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OneDrive\Documents\SPEDE\Soumission\Excels\"/>
    </mc:Choice>
  </mc:AlternateContent>
  <xr:revisionPtr revIDLastSave="0" documentId="8_{E0247AD2-DB82-4FB1-A8FF-DB43DF7DAB87}" xr6:coauthVersionLast="47" xr6:coauthVersionMax="47" xr10:uidLastSave="{00000000-0000-0000-0000-000000000000}"/>
  <bookViews>
    <workbookView xWindow="-110" yWindow="-110" windowWidth="19420" windowHeight="10420" tabRatio="769" firstSheet="4" activeTab="10" xr2:uid="{6DB73735-2ADD-4954-BCBA-C4CF45BA501C}"/>
  </bookViews>
  <sheets>
    <sheet name="QC Sc. BAU" sheetId="11" r:id="rId1"/>
    <sheet name="CA Sc. BAU" sheetId="12" r:id="rId2"/>
    <sheet name="QC Sc. BAU 78%" sheetId="7" r:id="rId3"/>
    <sheet name="CA Sc. BAU 80%" sheetId="8" r:id="rId4"/>
    <sheet name="QC Sc. comp. pol." sheetId="5" r:id="rId5"/>
    <sheet name="CA Sc. comp. pol." sheetId="6" r:id="rId6"/>
    <sheet name="QC no covid" sheetId="1" r:id="rId7"/>
    <sheet name="CA no covid" sheetId="2" r:id="rId8"/>
    <sheet name="QC goal" sheetId="13" r:id="rId9"/>
    <sheet name="CA goal" sheetId="14" r:id="rId10"/>
    <sheet name="Summary - targets" sheetId="15" r:id="rId11"/>
  </sheets>
  <definedNames>
    <definedName name="x">"$I$6+(LIGNE(INDEX(A:A;1):INDEX(A:A;$C$6))-1)*($C$7-$C$6)/($C$8-1)"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6" l="1"/>
  <c r="F40" i="6"/>
  <c r="F41" i="6" s="1"/>
  <c r="F42" i="6" s="1"/>
  <c r="F45" i="6" s="1"/>
  <c r="P32" i="11"/>
  <c r="P29" i="11"/>
  <c r="P26" i="11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25" i="15"/>
  <c r="J32" i="1"/>
  <c r="J33" i="5"/>
  <c r="M32" i="11"/>
  <c r="L32" i="11"/>
  <c r="L35" i="8" l="1"/>
  <c r="K35" i="7"/>
  <c r="D26" i="15" l="1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25" i="15"/>
  <c r="E39" i="15" l="1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3" i="15"/>
  <c r="I3" i="15"/>
  <c r="J35" i="11"/>
  <c r="J33" i="11"/>
  <c r="N34" i="11"/>
  <c r="J34" i="11" s="1"/>
  <c r="J27" i="11"/>
  <c r="J28" i="11"/>
  <c r="J29" i="11"/>
  <c r="J30" i="11"/>
  <c r="J31" i="11"/>
  <c r="J32" i="11"/>
  <c r="J26" i="11"/>
  <c r="J25" i="11"/>
  <c r="J24" i="11"/>
  <c r="J23" i="11"/>
  <c r="J22" i="11"/>
  <c r="J21" i="11"/>
  <c r="J20" i="11"/>
  <c r="J18" i="11"/>
  <c r="J19" i="11"/>
  <c r="M26" i="11"/>
  <c r="I27" i="11"/>
  <c r="I26" i="11"/>
  <c r="I28" i="11" s="1"/>
  <c r="I29" i="11" s="1"/>
  <c r="I30" i="11" s="1"/>
  <c r="I31" i="11" s="1"/>
  <c r="I32" i="11" s="1"/>
  <c r="I33" i="11" s="1"/>
  <c r="I34" i="11" s="1"/>
  <c r="I21" i="15" l="1"/>
  <c r="E18" i="15"/>
  <c r="M34" i="13"/>
  <c r="M33" i="13"/>
  <c r="M31" i="13"/>
  <c r="M30" i="13"/>
  <c r="M28" i="13"/>
  <c r="M27" i="13"/>
  <c r="J35" i="14"/>
  <c r="I35" i="13"/>
  <c r="I35" i="14" a="1"/>
  <c r="I35" i="14" s="1"/>
  <c r="H35" i="14" a="1"/>
  <c r="H35" i="14" s="1"/>
  <c r="G35" i="14" a="1"/>
  <c r="G35" i="14" s="1"/>
  <c r="F35" i="14" a="1"/>
  <c r="F35" i="14" s="1"/>
  <c r="E35" i="14" a="1"/>
  <c r="E35" i="14" s="1"/>
  <c r="D35" i="14" a="1"/>
  <c r="D35" i="14" s="1"/>
  <c r="I34" i="14" a="1"/>
  <c r="I34" i="14" s="1"/>
  <c r="H34" i="14" a="1"/>
  <c r="H34" i="14" s="1"/>
  <c r="G34" i="14" a="1"/>
  <c r="G34" i="14" s="1"/>
  <c r="F34" i="14" a="1"/>
  <c r="F34" i="14" s="1"/>
  <c r="E34" i="14" a="1"/>
  <c r="E34" i="14" s="1"/>
  <c r="D34" i="14" a="1"/>
  <c r="D34" i="14" s="1"/>
  <c r="I33" i="14" a="1"/>
  <c r="I33" i="14" s="1"/>
  <c r="H33" i="14" a="1"/>
  <c r="H33" i="14" s="1"/>
  <c r="G33" i="14" a="1"/>
  <c r="G33" i="14" s="1"/>
  <c r="F33" i="14" a="1"/>
  <c r="F33" i="14" s="1"/>
  <c r="E33" i="14" a="1"/>
  <c r="E33" i="14" s="1"/>
  <c r="D33" i="14" a="1"/>
  <c r="D33" i="14" s="1"/>
  <c r="I32" i="14"/>
  <c r="I32" i="14" a="1"/>
  <c r="H32" i="14"/>
  <c r="H32" i="14" a="1"/>
  <c r="G32" i="14" a="1"/>
  <c r="G32" i="14" s="1"/>
  <c r="F32" i="14" a="1"/>
  <c r="F32" i="14" s="1"/>
  <c r="E32" i="14" a="1"/>
  <c r="E32" i="14" s="1"/>
  <c r="D32" i="14"/>
  <c r="D32" i="14" a="1"/>
  <c r="I31" i="14" a="1"/>
  <c r="I31" i="14" s="1"/>
  <c r="H31" i="14" a="1"/>
  <c r="H31" i="14" s="1"/>
  <c r="G31" i="14" a="1"/>
  <c r="G31" i="14" s="1"/>
  <c r="F31" i="14"/>
  <c r="F31" i="14" a="1"/>
  <c r="E31" i="14" a="1"/>
  <c r="E31" i="14" s="1"/>
  <c r="D31" i="14" a="1"/>
  <c r="D31" i="14" s="1"/>
  <c r="I30" i="14" a="1"/>
  <c r="I30" i="14" s="1"/>
  <c r="H30" i="14" a="1"/>
  <c r="H30" i="14" s="1"/>
  <c r="G30" i="14" a="1"/>
  <c r="G30" i="14" s="1"/>
  <c r="F30" i="14" a="1"/>
  <c r="F30" i="14" s="1"/>
  <c r="E30" i="14" a="1"/>
  <c r="E30" i="14" s="1"/>
  <c r="D30" i="14" a="1"/>
  <c r="D30" i="14" s="1"/>
  <c r="I29" i="14" a="1"/>
  <c r="I29" i="14" s="1"/>
  <c r="H29" i="14" a="1"/>
  <c r="H29" i="14" s="1"/>
  <c r="G29" i="14" a="1"/>
  <c r="G29" i="14" s="1"/>
  <c r="F29" i="14" a="1"/>
  <c r="F29" i="14" s="1"/>
  <c r="E29" i="14" a="1"/>
  <c r="E29" i="14" s="1"/>
  <c r="D29" i="14" a="1"/>
  <c r="D29" i="14" s="1"/>
  <c r="I28" i="14" a="1"/>
  <c r="I28" i="14" s="1"/>
  <c r="H28" i="14" a="1"/>
  <c r="H28" i="14" s="1"/>
  <c r="G28" i="14" a="1"/>
  <c r="G28" i="14" s="1"/>
  <c r="F28" i="14" a="1"/>
  <c r="F28" i="14" s="1"/>
  <c r="E28" i="14" a="1"/>
  <c r="E28" i="14" s="1"/>
  <c r="D28" i="14" a="1"/>
  <c r="D28" i="14" s="1"/>
  <c r="C28" i="14" a="1"/>
  <c r="C28" i="14" s="1"/>
  <c r="I27" i="14" a="1"/>
  <c r="I27" i="14" s="1"/>
  <c r="H27" i="14" a="1"/>
  <c r="H27" i="14" s="1"/>
  <c r="G27" i="14" a="1"/>
  <c r="G27" i="14" s="1"/>
  <c r="F27" i="14" a="1"/>
  <c r="F27" i="14" s="1"/>
  <c r="E27" i="14" a="1"/>
  <c r="E27" i="14" s="1"/>
  <c r="D27" i="14" a="1"/>
  <c r="D27" i="14" s="1"/>
  <c r="C27" i="14" a="1"/>
  <c r="C27" i="14" s="1"/>
  <c r="I26" i="14"/>
  <c r="I26" i="14" a="1"/>
  <c r="H26" i="14" a="1"/>
  <c r="H26" i="14" s="1"/>
  <c r="G26" i="14" a="1"/>
  <c r="G26" i="14" s="1"/>
  <c r="F26" i="14" a="1"/>
  <c r="F26" i="14" s="1"/>
  <c r="E26" i="14" a="1"/>
  <c r="E26" i="14" s="1"/>
  <c r="D26" i="14" a="1"/>
  <c r="D26" i="14" s="1"/>
  <c r="C26" i="14"/>
  <c r="C32" i="14" s="1" a="1"/>
  <c r="C32" i="14" s="1"/>
  <c r="J25" i="14"/>
  <c r="J24" i="14"/>
  <c r="N24" i="14" s="1"/>
  <c r="O23" i="14"/>
  <c r="J23" i="14"/>
  <c r="N23" i="14" s="1"/>
  <c r="J22" i="14"/>
  <c r="N22" i="14" s="1"/>
  <c r="J21" i="14"/>
  <c r="N21" i="14" s="1"/>
  <c r="O20" i="14"/>
  <c r="J20" i="14"/>
  <c r="K20" i="14" s="1"/>
  <c r="K19" i="14"/>
  <c r="J19" i="14"/>
  <c r="N19" i="14" s="1"/>
  <c r="O18" i="14"/>
  <c r="J18" i="14"/>
  <c r="J17" i="14"/>
  <c r="K17" i="14" s="1"/>
  <c r="J16" i="14"/>
  <c r="K16" i="14" s="1"/>
  <c r="J15" i="14"/>
  <c r="J14" i="14"/>
  <c r="J13" i="14"/>
  <c r="K13" i="14" s="1"/>
  <c r="J12" i="14"/>
  <c r="K12" i="14" s="1"/>
  <c r="J11" i="14"/>
  <c r="J10" i="14"/>
  <c r="K11" i="14" s="1"/>
  <c r="K9" i="14"/>
  <c r="J9" i="14"/>
  <c r="J8" i="14"/>
  <c r="K8" i="14" s="1"/>
  <c r="J7" i="14"/>
  <c r="J6" i="14"/>
  <c r="K7" i="14" s="1"/>
  <c r="J5" i="14"/>
  <c r="I25" i="13"/>
  <c r="I26" i="13" s="1"/>
  <c r="I24" i="13"/>
  <c r="J24" i="13" s="1"/>
  <c r="I23" i="13"/>
  <c r="I22" i="13"/>
  <c r="J22" i="13" s="1"/>
  <c r="I21" i="13"/>
  <c r="I20" i="13"/>
  <c r="I19" i="13"/>
  <c r="J19" i="13" s="1"/>
  <c r="I18" i="13"/>
  <c r="I17" i="13"/>
  <c r="I16" i="13"/>
  <c r="I15" i="13"/>
  <c r="I14" i="13"/>
  <c r="I13" i="13"/>
  <c r="I12" i="13"/>
  <c r="I11" i="13"/>
  <c r="I10" i="13"/>
  <c r="I9" i="13"/>
  <c r="I8" i="13"/>
  <c r="I7" i="13"/>
  <c r="J26" i="14" l="1"/>
  <c r="J27" i="14" s="1"/>
  <c r="K25" i="14"/>
  <c r="K21" i="14"/>
  <c r="K22" i="14"/>
  <c r="K18" i="14"/>
  <c r="K15" i="14"/>
  <c r="K24" i="14"/>
  <c r="K18" i="13"/>
  <c r="J18" i="13" s="1"/>
  <c r="J25" i="13"/>
  <c r="J21" i="13"/>
  <c r="K23" i="13"/>
  <c r="M23" i="13" s="1"/>
  <c r="K20" i="13"/>
  <c r="M20" i="13" s="1"/>
  <c r="J20" i="13" s="1"/>
  <c r="K6" i="14"/>
  <c r="N20" i="14"/>
  <c r="C29" i="14" a="1"/>
  <c r="C29" i="14" s="1"/>
  <c r="N18" i="14"/>
  <c r="K23" i="14"/>
  <c r="N25" i="14"/>
  <c r="K10" i="14"/>
  <c r="K14" i="14"/>
  <c r="C33" i="14" a="1"/>
  <c r="C33" i="14" s="1"/>
  <c r="C30" i="14" a="1"/>
  <c r="C30" i="14" s="1"/>
  <c r="C34" i="14" a="1"/>
  <c r="C34" i="14" s="1"/>
  <c r="C31" i="14" a="1"/>
  <c r="C31" i="14" s="1"/>
  <c r="C35" i="14" a="1"/>
  <c r="C35" i="14" s="1"/>
  <c r="I27" i="13"/>
  <c r="J27" i="13" s="1"/>
  <c r="K26" i="14" l="1"/>
  <c r="M26" i="13"/>
  <c r="J26" i="13" s="1"/>
  <c r="J23" i="13"/>
  <c r="M29" i="13"/>
  <c r="M32" i="13"/>
  <c r="N28" i="14"/>
  <c r="N35" i="14"/>
  <c r="L35" i="14" s="1"/>
  <c r="N31" i="14"/>
  <c r="N34" i="14"/>
  <c r="N27" i="14"/>
  <c r="L27" i="14" s="1"/>
  <c r="N30" i="14"/>
  <c r="N33" i="14"/>
  <c r="N26" i="14"/>
  <c r="L26" i="14" s="1"/>
  <c r="N29" i="14"/>
  <c r="N32" i="14"/>
  <c r="J28" i="14"/>
  <c r="K27" i="14"/>
  <c r="I28" i="13"/>
  <c r="J28" i="13" s="1"/>
  <c r="M35" i="13" l="1"/>
  <c r="J35" i="13" s="1"/>
  <c r="O26" i="14"/>
  <c r="J29" i="14"/>
  <c r="L28" i="14"/>
  <c r="K28" i="14"/>
  <c r="I29" i="13"/>
  <c r="J29" i="13" s="1"/>
  <c r="K26" i="13"/>
  <c r="L26" i="13" s="1"/>
  <c r="K29" i="14" l="1"/>
  <c r="J30" i="14"/>
  <c r="L29" i="14"/>
  <c r="I30" i="13"/>
  <c r="J30" i="13" s="1"/>
  <c r="J31" i="14" l="1"/>
  <c r="L30" i="14"/>
  <c r="K30" i="14"/>
  <c r="I31" i="13"/>
  <c r="K29" i="13" l="1"/>
  <c r="L29" i="13" s="1"/>
  <c r="J31" i="13"/>
  <c r="J32" i="14"/>
  <c r="L31" i="14"/>
  <c r="O29" i="14" s="1"/>
  <c r="K31" i="14"/>
  <c r="I32" i="13"/>
  <c r="J32" i="13" s="1"/>
  <c r="L32" i="14" l="1"/>
  <c r="K32" i="14"/>
  <c r="J33" i="14"/>
  <c r="I33" i="13"/>
  <c r="J33" i="13" s="1"/>
  <c r="J34" i="14" l="1"/>
  <c r="L34" i="14" s="1"/>
  <c r="L33" i="14"/>
  <c r="K33" i="14"/>
  <c r="I34" i="13"/>
  <c r="L32" i="13" l="1"/>
  <c r="J34" i="13"/>
  <c r="K35" i="14"/>
  <c r="O32" i="14"/>
  <c r="K34" i="14"/>
  <c r="J1" i="6" l="1"/>
  <c r="I26" i="5" l="1"/>
  <c r="I26" i="7" l="1"/>
  <c r="N26" i="11"/>
  <c r="I25" i="7"/>
  <c r="I25" i="11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25" i="8"/>
  <c r="M25" i="8" s="1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I36" i="5" l="1"/>
  <c r="J35" i="2" l="1"/>
  <c r="I26" i="1"/>
  <c r="I27" i="1" s="1"/>
  <c r="I28" i="1" s="1"/>
  <c r="I29" i="1" s="1"/>
  <c r="I30" i="1" s="1"/>
  <c r="I31" i="1" s="1"/>
  <c r="I32" i="1" s="1"/>
  <c r="I33" i="1" s="1"/>
  <c r="I34" i="1" s="1"/>
  <c r="I25" i="1"/>
  <c r="I27" i="7" l="1"/>
  <c r="I28" i="7" s="1"/>
  <c r="I29" i="7" s="1"/>
  <c r="I30" i="7" s="1"/>
  <c r="I31" i="7" s="1"/>
  <c r="I32" i="7" s="1"/>
  <c r="I33" i="7" l="1"/>
  <c r="I34" i="7" s="1"/>
  <c r="K32" i="7"/>
  <c r="K26" i="7"/>
  <c r="L26" i="7" s="1"/>
  <c r="I27" i="5"/>
  <c r="I28" i="5" s="1"/>
  <c r="I29" i="5" s="1"/>
  <c r="I30" i="5" s="1"/>
  <c r="I31" i="5" s="1"/>
  <c r="I32" i="5" s="1"/>
  <c r="I33" i="5" s="1"/>
  <c r="I34" i="5" s="1"/>
  <c r="I35" i="5" s="1"/>
  <c r="L27" i="8" l="1"/>
  <c r="K26" i="8" a="1"/>
  <c r="K26" i="8" s="1"/>
  <c r="K27" i="8" a="1"/>
  <c r="K27" i="8" s="1"/>
  <c r="K28" i="8" a="1"/>
  <c r="K28" i="8" s="1"/>
  <c r="K29" i="8" a="1"/>
  <c r="K29" i="8" s="1"/>
  <c r="K30" i="8" a="1"/>
  <c r="K30" i="8" s="1"/>
  <c r="K31" i="8" a="1"/>
  <c r="K31" i="8" s="1"/>
  <c r="K32" i="8" a="1"/>
  <c r="K32" i="8" s="1"/>
  <c r="K33" i="8" a="1"/>
  <c r="K33" i="8" s="1"/>
  <c r="K34" i="8" a="1"/>
  <c r="K34" i="8" s="1"/>
  <c r="K35" i="8" a="1"/>
  <c r="K35" i="8" s="1"/>
  <c r="L26" i="8"/>
  <c r="I35" i="12" a="1"/>
  <c r="I35" i="12" s="1"/>
  <c r="H35" i="12" a="1"/>
  <c r="H35" i="12" s="1"/>
  <c r="G35" i="12" a="1"/>
  <c r="G35" i="12" s="1"/>
  <c r="F35" i="12" a="1"/>
  <c r="F35" i="12" s="1"/>
  <c r="E35" i="12" a="1"/>
  <c r="E35" i="12" s="1"/>
  <c r="D35" i="12" a="1"/>
  <c r="D35" i="12" s="1"/>
  <c r="I34" i="12" a="1"/>
  <c r="I34" i="12" s="1"/>
  <c r="H34" i="12" a="1"/>
  <c r="H34" i="12" s="1"/>
  <c r="G34" i="12" a="1"/>
  <c r="G34" i="12" s="1"/>
  <c r="F34" i="12" a="1"/>
  <c r="F34" i="12" s="1"/>
  <c r="E34" i="12" a="1"/>
  <c r="E34" i="12" s="1"/>
  <c r="D34" i="12" a="1"/>
  <c r="D34" i="12" s="1"/>
  <c r="I33" i="12" a="1"/>
  <c r="I33" i="12" s="1"/>
  <c r="H33" i="12" a="1"/>
  <c r="H33" i="12" s="1"/>
  <c r="G33" i="12" a="1"/>
  <c r="G33" i="12" s="1"/>
  <c r="F33" i="12" a="1"/>
  <c r="F33" i="12" s="1"/>
  <c r="E33" i="12" a="1"/>
  <c r="E33" i="12" s="1"/>
  <c r="D33" i="12" a="1"/>
  <c r="D33" i="12" s="1"/>
  <c r="I32" i="12" a="1"/>
  <c r="I32" i="12" s="1"/>
  <c r="H32" i="12" a="1"/>
  <c r="H32" i="12" s="1"/>
  <c r="G32" i="12" a="1"/>
  <c r="G32" i="12" s="1"/>
  <c r="F32" i="12" a="1"/>
  <c r="F32" i="12" s="1"/>
  <c r="E32" i="12" a="1"/>
  <c r="E32" i="12" s="1"/>
  <c r="D32" i="12" a="1"/>
  <c r="D32" i="12" s="1"/>
  <c r="I31" i="12" a="1"/>
  <c r="I31" i="12" s="1"/>
  <c r="H31" i="12" a="1"/>
  <c r="H31" i="12" s="1"/>
  <c r="G31" i="12" a="1"/>
  <c r="G31" i="12" s="1"/>
  <c r="F31" i="12" a="1"/>
  <c r="F31" i="12" s="1"/>
  <c r="E31" i="12" a="1"/>
  <c r="E31" i="12" s="1"/>
  <c r="D31" i="12" a="1"/>
  <c r="D31" i="12" s="1"/>
  <c r="I30" i="12" a="1"/>
  <c r="I30" i="12" s="1"/>
  <c r="H30" i="12" a="1"/>
  <c r="H30" i="12" s="1"/>
  <c r="G30" i="12" a="1"/>
  <c r="G30" i="12" s="1"/>
  <c r="F30" i="12" a="1"/>
  <c r="F30" i="12" s="1"/>
  <c r="E30" i="12" a="1"/>
  <c r="E30" i="12" s="1"/>
  <c r="D30" i="12" a="1"/>
  <c r="D30" i="12" s="1"/>
  <c r="I29" i="12" a="1"/>
  <c r="I29" i="12" s="1"/>
  <c r="H29" i="12" a="1"/>
  <c r="H29" i="12" s="1"/>
  <c r="G29" i="12" a="1"/>
  <c r="G29" i="12" s="1"/>
  <c r="F29" i="12" a="1"/>
  <c r="F29" i="12" s="1"/>
  <c r="E29" i="12" a="1"/>
  <c r="E29" i="12" s="1"/>
  <c r="D29" i="12" a="1"/>
  <c r="D29" i="12" s="1"/>
  <c r="I28" i="12" a="1"/>
  <c r="I28" i="12" s="1"/>
  <c r="H28" i="12" a="1"/>
  <c r="H28" i="12" s="1"/>
  <c r="G28" i="12" a="1"/>
  <c r="G28" i="12" s="1"/>
  <c r="F28" i="12" a="1"/>
  <c r="F28" i="12" s="1"/>
  <c r="E28" i="12" a="1"/>
  <c r="E28" i="12" s="1"/>
  <c r="D28" i="12"/>
  <c r="D28" i="12" a="1"/>
  <c r="I27" i="12" a="1"/>
  <c r="I27" i="12" s="1"/>
  <c r="H27" i="12" a="1"/>
  <c r="H27" i="12" s="1"/>
  <c r="G27" i="12" a="1"/>
  <c r="G27" i="12" s="1"/>
  <c r="F27" i="12" a="1"/>
  <c r="F27" i="12" s="1"/>
  <c r="E27" i="12" a="1"/>
  <c r="E27" i="12" s="1"/>
  <c r="D27" i="12" a="1"/>
  <c r="D27" i="12" s="1"/>
  <c r="I26" i="12" a="1"/>
  <c r="I26" i="12" s="1"/>
  <c r="H26" i="12" a="1"/>
  <c r="H26" i="12" s="1"/>
  <c r="G26" i="12" a="1"/>
  <c r="G26" i="12" s="1"/>
  <c r="F26" i="12" a="1"/>
  <c r="F26" i="12" s="1"/>
  <c r="E26" i="12" a="1"/>
  <c r="E26" i="12" s="1"/>
  <c r="D26" i="12" a="1"/>
  <c r="D26" i="12" s="1"/>
  <c r="C26" i="12"/>
  <c r="C29" i="12" s="1" a="1"/>
  <c r="C29" i="12" s="1"/>
  <c r="J24" i="12"/>
  <c r="O23" i="12"/>
  <c r="J23" i="12"/>
  <c r="J22" i="12"/>
  <c r="N22" i="12" s="1"/>
  <c r="J21" i="12"/>
  <c r="O20" i="12"/>
  <c r="J20" i="12"/>
  <c r="J19" i="12"/>
  <c r="O18" i="12"/>
  <c r="J18" i="12"/>
  <c r="N18" i="12" s="1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I24" i="11"/>
  <c r="I23" i="11"/>
  <c r="I22" i="11"/>
  <c r="I21" i="11"/>
  <c r="I20" i="11"/>
  <c r="I19" i="11"/>
  <c r="I18" i="11"/>
  <c r="L18" i="11" s="1"/>
  <c r="N18" i="11" s="1"/>
  <c r="I17" i="11"/>
  <c r="I16" i="11"/>
  <c r="I15" i="11"/>
  <c r="I14" i="11"/>
  <c r="I13" i="11"/>
  <c r="I12" i="11"/>
  <c r="I11" i="11"/>
  <c r="I10" i="11"/>
  <c r="I9" i="11"/>
  <c r="I8" i="11"/>
  <c r="I7" i="11"/>
  <c r="H26" i="1" a="1"/>
  <c r="H26" i="1" s="1"/>
  <c r="H27" i="1" a="1"/>
  <c r="H27" i="1" s="1"/>
  <c r="H28" i="1" a="1"/>
  <c r="H28" i="1"/>
  <c r="H29" i="1" a="1"/>
  <c r="H29" i="1"/>
  <c r="H30" i="1" a="1"/>
  <c r="H30" i="1" s="1"/>
  <c r="H31" i="1" a="1"/>
  <c r="H31" i="1" s="1"/>
  <c r="H32" i="1" a="1"/>
  <c r="H32" i="1"/>
  <c r="H33" i="1" a="1"/>
  <c r="H33" i="1" s="1"/>
  <c r="H34" i="1" a="1"/>
  <c r="H34" i="1" s="1"/>
  <c r="H35" i="1" a="1"/>
  <c r="H35" i="1" s="1"/>
  <c r="H25" i="1" a="1"/>
  <c r="H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25" i="1" a="1"/>
  <c r="G25" i="1" s="1"/>
  <c r="F26" i="1" a="1"/>
  <c r="F26" i="1" s="1"/>
  <c r="F27" i="1" a="1"/>
  <c r="F27" i="1" s="1"/>
  <c r="F28" i="1" a="1"/>
  <c r="F28" i="1" s="1"/>
  <c r="F29" i="1" a="1"/>
  <c r="F29" i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25" i="1" a="1"/>
  <c r="F25" i="1" s="1"/>
  <c r="E26" i="1" a="1"/>
  <c r="E26" i="1" s="1"/>
  <c r="E27" i="1" a="1"/>
  <c r="E27" i="1" s="1"/>
  <c r="E28" i="1" a="1"/>
  <c r="E28" i="1"/>
  <c r="E29" i="1" a="1"/>
  <c r="E29" i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25" i="1" a="1"/>
  <c r="E25" i="1" s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26" i="1" a="1"/>
  <c r="D26" i="1" s="1"/>
  <c r="D25" i="1" a="1"/>
  <c r="D25" i="1" s="1"/>
  <c r="C28" i="12" l="1" a="1"/>
  <c r="C28" i="12" s="1"/>
  <c r="N24" i="12"/>
  <c r="J26" i="12"/>
  <c r="N19" i="12"/>
  <c r="L20" i="11"/>
  <c r="N20" i="11" s="1"/>
  <c r="N20" i="12"/>
  <c r="N28" i="12" s="1"/>
  <c r="N23" i="12"/>
  <c r="J25" i="12"/>
  <c r="N21" i="12"/>
  <c r="C33" i="12" a="1"/>
  <c r="C33" i="12" s="1"/>
  <c r="C30" i="12" a="1"/>
  <c r="C30" i="12" s="1"/>
  <c r="C34" i="12" a="1"/>
  <c r="C34" i="12" s="1"/>
  <c r="C27" i="12" a="1"/>
  <c r="C27" i="12" s="1"/>
  <c r="C31" i="12" a="1"/>
  <c r="C31" i="12" s="1"/>
  <c r="C35" i="12" a="1"/>
  <c r="C35" i="12" s="1"/>
  <c r="C32" i="12" a="1"/>
  <c r="C32" i="12" s="1"/>
  <c r="N30" i="12" l="1"/>
  <c r="L26" i="12"/>
  <c r="J27" i="12"/>
  <c r="J28" i="12" s="1"/>
  <c r="J29" i="12" s="1"/>
  <c r="N29" i="12"/>
  <c r="N34" i="12"/>
  <c r="N35" i="12"/>
  <c r="L35" i="12" s="1"/>
  <c r="N26" i="12"/>
  <c r="N31" i="12"/>
  <c r="N33" i="12"/>
  <c r="N25" i="12"/>
  <c r="N32" i="12"/>
  <c r="L28" i="12"/>
  <c r="N27" i="12"/>
  <c r="L23" i="11"/>
  <c r="N23" i="11" s="1"/>
  <c r="N29" i="11" s="1"/>
  <c r="J30" i="12" l="1"/>
  <c r="J31" i="12" s="1"/>
  <c r="J32" i="12" s="1"/>
  <c r="P29" i="12"/>
  <c r="P26" i="12"/>
  <c r="L27" i="12"/>
  <c r="L26" i="11"/>
  <c r="L29" i="11"/>
  <c r="M29" i="11" s="1"/>
  <c r="L29" i="12"/>
  <c r="O26" i="12"/>
  <c r="N32" i="11"/>
  <c r="J33" i="12" l="1"/>
  <c r="J34" i="12" s="1"/>
  <c r="P32" i="12"/>
  <c r="L30" i="12"/>
  <c r="C27" i="1" a="1"/>
  <c r="C27" i="1" s="1"/>
  <c r="C26" i="1" a="1"/>
  <c r="C26" i="1" s="1"/>
  <c r="C25" i="1" a="1"/>
  <c r="C25" i="1" s="1"/>
  <c r="L34" i="8"/>
  <c r="L32" i="8"/>
  <c r="L30" i="8"/>
  <c r="L28" i="8"/>
  <c r="N26" i="8" s="1"/>
  <c r="M24" i="8"/>
  <c r="N23" i="8"/>
  <c r="M23" i="8"/>
  <c r="M22" i="8"/>
  <c r="M21" i="8"/>
  <c r="N20" i="8"/>
  <c r="M20" i="8"/>
  <c r="M19" i="8"/>
  <c r="N18" i="8"/>
  <c r="M18" i="8"/>
  <c r="L31" i="12" l="1"/>
  <c r="O29" i="12" s="1"/>
  <c r="K20" i="7"/>
  <c r="M20" i="7" s="1"/>
  <c r="K23" i="7"/>
  <c r="M23" i="7" s="1"/>
  <c r="K18" i="7"/>
  <c r="M18" i="7" s="1"/>
  <c r="L31" i="8"/>
  <c r="L25" i="8"/>
  <c r="L29" i="8"/>
  <c r="L32" i="7" l="1"/>
  <c r="L32" i="12"/>
  <c r="L33" i="8"/>
  <c r="N32" i="8" s="1"/>
  <c r="N29" i="8"/>
  <c r="L33" i="12" l="1"/>
  <c r="L34" i="12" l="1"/>
  <c r="O32" i="12" s="1"/>
  <c r="J36" i="6" l="1"/>
  <c r="J28" i="6" s="1"/>
  <c r="J29" i="6" s="1"/>
  <c r="J30" i="6" s="1"/>
  <c r="J31" i="6" s="1"/>
  <c r="J32" i="6" s="1"/>
  <c r="J33" i="6" s="1"/>
  <c r="K29" i="7"/>
  <c r="L29" i="7" s="1"/>
  <c r="J34" i="6" l="1"/>
  <c r="J35" i="6" s="1"/>
  <c r="N24" i="6"/>
  <c r="M24" i="6"/>
  <c r="M23" i="6"/>
  <c r="M22" i="6"/>
  <c r="N21" i="6"/>
  <c r="M21" i="6"/>
  <c r="M20" i="6"/>
  <c r="N19" i="6"/>
  <c r="M19" i="6"/>
  <c r="N20" i="2"/>
  <c r="N18" i="2"/>
  <c r="M19" i="2"/>
  <c r="M20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M18" i="2" s="1"/>
  <c r="J19" i="2"/>
  <c r="J20" i="2"/>
  <c r="J21" i="2"/>
  <c r="M21" i="2" s="1"/>
  <c r="J22" i="2"/>
  <c r="M22" i="2" s="1"/>
  <c r="J23" i="2"/>
  <c r="M23" i="2" s="1"/>
  <c r="J24" i="2"/>
  <c r="J25" i="2" s="1"/>
  <c r="J5" i="2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J26" i="2" l="1"/>
  <c r="M24" i="2"/>
  <c r="M30" i="2" s="1"/>
  <c r="J21" i="5"/>
  <c r="L21" i="5" s="1"/>
  <c r="J24" i="5"/>
  <c r="L24" i="5" s="1"/>
  <c r="M25" i="6"/>
  <c r="M34" i="6" s="1"/>
  <c r="J19" i="5"/>
  <c r="L19" i="5" s="1"/>
  <c r="M27" i="6"/>
  <c r="L26" i="6" s="1"/>
  <c r="M31" i="6"/>
  <c r="M36" i="6"/>
  <c r="L36" i="6" s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2" i="1"/>
  <c r="I23" i="1"/>
  <c r="I24" i="1"/>
  <c r="I20" i="1"/>
  <c r="J20" i="1" s="1"/>
  <c r="L20" i="1" s="1"/>
  <c r="M27" i="2" l="1"/>
  <c r="M35" i="2"/>
  <c r="K35" i="2" s="1"/>
  <c r="J27" i="2"/>
  <c r="K26" i="2"/>
  <c r="M32" i="2"/>
  <c r="M28" i="2"/>
  <c r="M31" i="2"/>
  <c r="M29" i="2"/>
  <c r="M33" i="2"/>
  <c r="M34" i="2"/>
  <c r="M26" i="2"/>
  <c r="K25" i="2" s="1"/>
  <c r="M35" i="6"/>
  <c r="M28" i="6"/>
  <c r="M30" i="6"/>
  <c r="M29" i="6"/>
  <c r="M32" i="6"/>
  <c r="J23" i="1"/>
  <c r="L23" i="1" s="1"/>
  <c r="M33" i="6"/>
  <c r="L27" i="6"/>
  <c r="L27" i="5"/>
  <c r="L33" i="5"/>
  <c r="J36" i="5" s="1"/>
  <c r="L30" i="5"/>
  <c r="J18" i="1"/>
  <c r="L18" i="1" s="1"/>
  <c r="M25" i="2" l="1"/>
  <c r="N23" i="2"/>
  <c r="J28" i="2"/>
  <c r="K27" i="2"/>
  <c r="L26" i="1"/>
  <c r="L32" i="1"/>
  <c r="L29" i="1"/>
  <c r="J26" i="1"/>
  <c r="L28" i="6"/>
  <c r="J27" i="5"/>
  <c r="K27" i="5" s="1"/>
  <c r="J29" i="2" l="1"/>
  <c r="K28" i="2"/>
  <c r="N26" i="2"/>
  <c r="K26" i="1"/>
  <c r="L29" i="6"/>
  <c r="N27" i="6" s="1"/>
  <c r="J30" i="2" l="1"/>
  <c r="K29" i="2"/>
  <c r="L30" i="6"/>
  <c r="J31" i="2" l="1"/>
  <c r="K30" i="2"/>
  <c r="L31" i="6"/>
  <c r="J29" i="1"/>
  <c r="K29" i="1" s="1"/>
  <c r="J32" i="2" l="1"/>
  <c r="K31" i="2"/>
  <c r="N29" i="2" s="1"/>
  <c r="L32" i="6"/>
  <c r="N30" i="6" s="1"/>
  <c r="J30" i="5"/>
  <c r="K30" i="5" s="1"/>
  <c r="J33" i="2" l="1"/>
  <c r="K32" i="2"/>
  <c r="L33" i="6"/>
  <c r="J34" i="2" l="1"/>
  <c r="K34" i="2" s="1"/>
  <c r="K33" i="2"/>
  <c r="N32" i="2" s="1"/>
  <c r="K32" i="1"/>
  <c r="L35" i="6"/>
  <c r="L34" i="6"/>
  <c r="N33" i="6" l="1"/>
  <c r="K3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tc={759935DC-0B3A-4CE9-87AE-1756C9FC780C}</author>
  </authors>
  <commentList>
    <comment ref="C26" authorId="0" shapeId="0" xr:uid="{759935DC-0B3A-4CE9-87AE-1756C9FC780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Baisse moyenne de 12,6% par rapport à 2019 (CA RPR sales)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tc={B7B7FD1C-654A-4D05-A2B6-A0C89F2AF243}</author>
    <author>tc={4ABA76FE-063B-4542-8D7C-23AD4C87A7A9}</author>
  </authors>
  <commentList>
    <comment ref="M25" authorId="0" shapeId="0" xr:uid="{B7B7FD1C-654A-4D05-A2B6-A0C89F2AF24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Données officielles des surrendered instruments, mais nous n'avons pas les émissions réelles de 2020, la couverture n'est donc pas juste</t>
      </text>
    </comment>
    <comment ref="C26" authorId="1" shapeId="0" xr:uid="{4ABA76FE-063B-4542-8D7C-23AD4C87A7A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Baisse moyenne de 12,6% par rapport à 2019 (CA RPR sales)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tc={ACB99A9E-9295-427B-8057-799B272C937F}</author>
    <author>tc={B511A91D-4AD9-44DD-B72B-D6BE37AD1838}</author>
  </authors>
  <commentList>
    <comment ref="J5" authorId="0" shapeId="0" xr:uid="{ACB99A9E-9295-427B-8057-799B272C93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estimate</t>
      </text>
    </comment>
    <comment ref="J36" authorId="1" shapeId="0" xr:uid="{B511A91D-4AD9-44DD-B72B-D6BE37AD18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Scoping Plan objective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tc={EE3BCBAC-9E00-43EA-9040-D6B1A0059D3B}</author>
  </authors>
  <commentList>
    <comment ref="C26" authorId="0" shapeId="0" xr:uid="{EE3BCBAC-9E00-43EA-9040-D6B1A0059D3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Baisse moyenne de 12,6% par rapport à 2019 (CA RPR sales)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<sst xmlns="http://schemas.openxmlformats.org/spreadsheetml/2006/main" count="152" uniqueCount="46">
  <si>
    <t>QC</t>
  </si>
  <si>
    <t>couverture totale</t>
  </si>
  <si>
    <t>estimation avec taux moyen de couverture et estimation linéaire des émissions</t>
  </si>
  <si>
    <t>Transport</t>
  </si>
  <si>
    <t xml:space="preserve">Agriculture </t>
  </si>
  <si>
    <t xml:space="preserve">Source: </t>
  </si>
  <si>
    <t>https://www.environnement.gouv.qc.ca/changements/ges/2002/index.htm</t>
  </si>
  <si>
    <t>Transportation</t>
  </si>
  <si>
    <t>Electric Power</t>
  </si>
  <si>
    <t>Industrial</t>
  </si>
  <si>
    <t>Commercial &amp; Residential</t>
  </si>
  <si>
    <t>Agriculture</t>
  </si>
  <si>
    <t>High GWP</t>
  </si>
  <si>
    <t>Recycling &amp; Waste</t>
  </si>
  <si>
    <t>Reference year</t>
  </si>
  <si>
    <t>emissions  / CP</t>
  </si>
  <si>
    <t>Total</t>
  </si>
  <si>
    <t>Surrendered instruments</t>
  </si>
  <si>
    <t>Surrendered instruments /CP</t>
  </si>
  <si>
    <t>Business-as-usual</t>
  </si>
  <si>
    <t>2021 - 2030</t>
  </si>
  <si>
    <t>2030sc</t>
  </si>
  <si>
    <t>this - 9*2020bau</t>
  </si>
  <si>
    <t>2021 - 2030 - 385</t>
  </si>
  <si>
    <t>Scoping plan : 40% below 1990 levels</t>
  </si>
  <si>
    <t>CA</t>
  </si>
  <si>
    <t>TOTAL</t>
  </si>
  <si>
    <t>Objectif - covered</t>
  </si>
  <si>
    <t>Objective - total</t>
  </si>
  <si>
    <t>BAU covered</t>
  </si>
  <si>
    <t>BAU - total</t>
  </si>
  <si>
    <t>Business-as-usual Scenario</t>
  </si>
  <si>
    <t>Industry</t>
  </si>
  <si>
    <t>Residential and commercial</t>
  </si>
  <si>
    <t>Waste</t>
  </si>
  <si>
    <t>Electricity</t>
  </si>
  <si>
    <t>Total emissions</t>
  </si>
  <si>
    <t>Coverage rate</t>
  </si>
  <si>
    <t>Coverage</t>
  </si>
  <si>
    <t>Higher coverage rate</t>
  </si>
  <si>
    <t>Covered emissions</t>
  </si>
  <si>
    <t> 37,5 % below 1990 level</t>
  </si>
  <si>
    <t>Business-as-usual without covid</t>
  </si>
  <si>
    <t>Surrendered Instruments</t>
  </si>
  <si>
    <t>Climate target</t>
  </si>
  <si>
    <t>Residential andcommercial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</si>
</sst>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7" formatCode="0.0"/>
    <numFmt numFmtId="168" formatCode="0.0000%"/>
    <numFmt numFmtId="169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88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2" fontId="0" fillId="0" borderId="0" xfId="0" applyNumberFormat="1" applyAlignment="1"/>
    <xf numFmtId="2" fontId="2" fillId="0" borderId="0" xfId="0" applyNumberFormat="1" applyFont="1"/>
    <xf numFmtId="2" fontId="2" fillId="0" borderId="0" xfId="0" applyNumberFormat="1" applyFont="1" applyAlignment="1"/>
    <xf numFmtId="43" fontId="0" fillId="0" borderId="0" xfId="0" applyNumberFormat="1"/>
    <xf numFmtId="3" fontId="3" fillId="0" borderId="0" xfId="0" applyNumberFormat="1" applyFont="1"/>
    <xf numFmtId="3" fontId="0" fillId="0" borderId="0" xfId="0" applyNumberFormat="1"/>
    <xf numFmtId="0" fontId="2" fillId="0" borderId="0" xfId="0" applyFont="1"/>
    <xf numFmtId="0" fontId="0" fillId="0" borderId="0" xfId="0" applyBorder="1"/>
    <xf numFmtId="10" fontId="0" fillId="0" borderId="0" xfId="2" applyNumberFormat="1" applyFont="1"/>
    <xf numFmtId="10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" fontId="0" fillId="0" borderId="0" xfId="1" applyNumberFormat="1" applyFont="1" applyAlignment="1"/>
    <xf numFmtId="2" fontId="0" fillId="0" borderId="0" xfId="1" applyNumberFormat="1" applyFont="1" applyFill="1" applyBorder="1" applyAlignment="1"/>
    <xf numFmtId="0" fontId="4" fillId="0" borderId="0" xfId="0" applyFont="1"/>
    <xf numFmtId="43" fontId="5" fillId="0" borderId="0" xfId="0" applyNumberFormat="1" applyFont="1"/>
    <xf numFmtId="43" fontId="2" fillId="0" borderId="0" xfId="1" applyNumberFormat="1" applyFont="1"/>
    <xf numFmtId="43" fontId="7" fillId="0" borderId="0" xfId="1" applyNumberFormat="1" applyFont="1"/>
    <xf numFmtId="43" fontId="7" fillId="0" borderId="0" xfId="0" applyNumberFormat="1" applyFont="1"/>
    <xf numFmtId="2" fontId="3" fillId="0" borderId="0" xfId="0" applyNumberFormat="1" applyFont="1"/>
    <xf numFmtId="10" fontId="2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7" fontId="0" fillId="0" borderId="0" xfId="2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10" fontId="4" fillId="0" borderId="0" xfId="2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1" fillId="0" borderId="0" xfId="2" applyNumberFormat="1" applyFont="1" applyBorder="1"/>
    <xf numFmtId="2" fontId="4" fillId="0" borderId="0" xfId="2" applyNumberFormat="1" applyFont="1" applyBorder="1" applyAlignment="1">
      <alignment horizontal="center"/>
    </xf>
    <xf numFmtId="2" fontId="7" fillId="0" borderId="0" xfId="2" applyNumberFormat="1" applyFont="1" applyBorder="1" applyAlignment="1">
      <alignment horizontal="center"/>
    </xf>
    <xf numFmtId="4" fontId="3" fillId="0" borderId="0" xfId="0" applyNumberFormat="1" applyFont="1"/>
    <xf numFmtId="4" fontId="0" fillId="0" borderId="0" xfId="0" applyNumberFormat="1"/>
    <xf numFmtId="10" fontId="0" fillId="0" borderId="0" xfId="2" applyNumberFormat="1" applyFont="1" applyBorder="1"/>
    <xf numFmtId="0" fontId="5" fillId="0" borderId="0" xfId="0" applyFont="1"/>
    <xf numFmtId="10" fontId="5" fillId="0" borderId="0" xfId="2" applyNumberFormat="1" applyFont="1" applyBorder="1"/>
    <xf numFmtId="0" fontId="7" fillId="0" borderId="0" xfId="0" applyFont="1"/>
    <xf numFmtId="10" fontId="2" fillId="0" borderId="0" xfId="2" applyNumberFormat="1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Border="1" applyAlignment="1">
      <alignment horizontal="center"/>
    </xf>
    <xf numFmtId="0" fontId="12" fillId="0" borderId="0" xfId="1" applyNumberFormat="1" applyFont="1" applyAlignment="1"/>
    <xf numFmtId="0" fontId="13" fillId="0" borderId="0" xfId="0" applyFont="1"/>
    <xf numFmtId="0" fontId="3" fillId="0" borderId="0" xfId="0" applyFont="1"/>
    <xf numFmtId="0" fontId="14" fillId="0" borderId="0" xfId="3"/>
    <xf numFmtId="164" fontId="4" fillId="0" borderId="0" xfId="1" applyNumberFormat="1" applyFont="1"/>
    <xf numFmtId="0" fontId="9" fillId="0" borderId="0" xfId="0" applyFont="1"/>
    <xf numFmtId="2" fontId="4" fillId="0" borderId="0" xfId="0" applyNumberFormat="1" applyFont="1"/>
    <xf numFmtId="43" fontId="15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6" fillId="0" borderId="0" xfId="0" applyNumberFormat="1" applyFont="1"/>
    <xf numFmtId="2" fontId="2" fillId="0" borderId="0" xfId="1" applyNumberFormat="1" applyFont="1"/>
    <xf numFmtId="2" fontId="0" fillId="0" borderId="0" xfId="1" applyNumberFormat="1" applyFont="1"/>
    <xf numFmtId="2" fontId="5" fillId="0" borderId="0" xfId="0" applyNumberFormat="1" applyFont="1"/>
    <xf numFmtId="2" fontId="7" fillId="0" borderId="0" xfId="0" applyNumberFormat="1" applyFont="1"/>
    <xf numFmtId="4" fontId="0" fillId="0" borderId="0" xfId="1" applyNumberFormat="1" applyFont="1"/>
    <xf numFmtId="4" fontId="6" fillId="0" borderId="0" xfId="0" applyNumberFormat="1" applyFont="1"/>
    <xf numFmtId="2" fontId="7" fillId="0" borderId="0" xfId="0" applyNumberFormat="1" applyFont="1" applyAlignment="1">
      <alignment horizontal="center"/>
    </xf>
    <xf numFmtId="168" fontId="4" fillId="0" borderId="0" xfId="0" applyNumberFormat="1" applyFont="1" applyBorder="1"/>
    <xf numFmtId="168" fontId="4" fillId="0" borderId="0" xfId="2" applyNumberFormat="1" applyFont="1" applyBorder="1" applyAlignment="1">
      <alignment horizontal="center"/>
    </xf>
    <xf numFmtId="168" fontId="7" fillId="0" borderId="0" xfId="2" applyNumberFormat="1" applyFont="1" applyBorder="1" applyAlignment="1">
      <alignment horizontal="center"/>
    </xf>
    <xf numFmtId="168" fontId="5" fillId="0" borderId="0" xfId="2" applyNumberFormat="1" applyFont="1" applyBorder="1" applyAlignment="1">
      <alignment horizontal="center"/>
    </xf>
    <xf numFmtId="10" fontId="7" fillId="0" borderId="0" xfId="2" applyNumberFormat="1" applyFont="1"/>
    <xf numFmtId="0" fontId="0" fillId="0" borderId="0" xfId="0" applyAlignment="1">
      <alignment horizontal="center"/>
    </xf>
    <xf numFmtId="167" fontId="0" fillId="0" borderId="0" xfId="2" applyNumberFormat="1" applyFont="1" applyFill="1" applyBorder="1"/>
    <xf numFmtId="2" fontId="5" fillId="0" borderId="0" xfId="2" applyNumberFormat="1" applyFont="1" applyBorder="1" applyAlignment="1">
      <alignment horizontal="center"/>
    </xf>
    <xf numFmtId="10" fontId="5" fillId="0" borderId="0" xfId="2" applyNumberFormat="1" applyFont="1"/>
    <xf numFmtId="43" fontId="0" fillId="0" borderId="0" xfId="1" applyFont="1"/>
    <xf numFmtId="43" fontId="3" fillId="0" borderId="0" xfId="1" applyFont="1"/>
    <xf numFmtId="43" fontId="0" fillId="0" borderId="0" xfId="1" applyFont="1" applyBorder="1"/>
    <xf numFmtId="43" fontId="4" fillId="0" borderId="0" xfId="1" applyFont="1" applyBorder="1"/>
    <xf numFmtId="43" fontId="2" fillId="0" borderId="0" xfId="1" applyFont="1"/>
    <xf numFmtId="43" fontId="4" fillId="0" borderId="0" xfId="1" applyFont="1"/>
    <xf numFmtId="43" fontId="7" fillId="0" borderId="0" xfId="1" applyFont="1"/>
    <xf numFmtId="43" fontId="5" fillId="0" borderId="0" xfId="1" applyFont="1"/>
    <xf numFmtId="43" fontId="4" fillId="0" borderId="0" xfId="0" applyNumberFormat="1" applyFont="1"/>
    <xf numFmtId="169" fontId="0" fillId="0" borderId="0" xfId="0" applyNumberFormat="1"/>
    <xf numFmtId="2" fontId="4" fillId="0" borderId="0" xfId="0" applyNumberFormat="1" applyFont="1" applyBorder="1"/>
    <xf numFmtId="169" fontId="4" fillId="0" borderId="0" xfId="0" applyNumberFormat="1" applyFont="1"/>
    <xf numFmtId="0" fontId="0" fillId="0" borderId="0" xfId="0" applyAlignment="1">
      <alignment horizontal="center"/>
    </xf>
  </cellXfs>
  <cellStyles count="4">
    <cellStyle name="Lien hypertexte" xfId="3" builtinId="8"/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émie Martin" id="{364768A4-84C4-451B-A002-769800755627}" userId="5ac692ad07196ba9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" dT="2021-12-21T10:14:34.33" personId="{364768A4-84C4-451B-A002-769800755627}" id="{759935DC-0B3A-4CE9-87AE-1756C9FC780C}">
    <text>Baisse moyenne de 12,6% par rapport à 2019 (CA RPR sales)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5" dT="2021-12-16T13:25:38.19" personId="{364768A4-84C4-451B-A002-769800755627}" id="{B7B7FD1C-654A-4D05-A2B6-A0C89F2AF243}">
    <text>Données officielles des surrendered instruments, mais nous n'avons pas les émissions réelles de 2020, la couverture n'est donc pas juste</text>
  </threadedComment>
  <threadedComment ref="C26" dT="2021-12-21T10:14:34.33" personId="{364768A4-84C4-451B-A002-769800755627}" id="{4ABA76FE-063B-4542-8D7C-23AD4C87A7A9}">
    <text>Baisse moyenne de 12,6% par rapport à 2019 (CA RPR sales)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5" dT="2021-12-16T15:12:06.26" personId="{364768A4-84C4-451B-A002-769800755627}" id="{ACB99A9E-9295-427B-8057-799B272C937F}">
    <text>IPCC estimate</text>
  </threadedComment>
  <threadedComment ref="J36" dT="2021-12-16T15:12:20.27" personId="{364768A4-84C4-451B-A002-769800755627}" id="{B511A91D-4AD9-44DD-B72B-D6BE37AD1838}">
    <text>Scoping Plan objective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6" dT="2021-12-21T10:14:34.33" personId="{364768A4-84C4-451B-A002-769800755627}" id="{EE3BCBAC-9E00-43EA-9040-D6B1A0059D3B}">
    <text>Baisse moyenne de 12,6% par rapport à 2019 (CA RPR sales)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nvironnement.gouv.qc.ca/changements/ges/2002/index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9D2A-03E9-4F55-8D5A-1BB07861B38E}">
  <dimension ref="A1:P38"/>
  <sheetViews>
    <sheetView zoomScale="70" zoomScaleNormal="70" workbookViewId="0">
      <selection activeCell="B5" sqref="B5"/>
    </sheetView>
  </sheetViews>
  <sheetFormatPr baseColWidth="10" defaultRowHeight="14.5" x14ac:dyDescent="0.35"/>
  <cols>
    <col min="2" max="2" width="23.81640625" customWidth="1"/>
    <col min="3" max="8" width="26.6328125" style="60" customWidth="1"/>
    <col min="9" max="11" width="26.08984375" style="54" customWidth="1"/>
    <col min="12" max="12" width="19" style="2" customWidth="1"/>
    <col min="13" max="13" width="30.6328125" style="2" customWidth="1"/>
    <col min="14" max="14" width="16.36328125" customWidth="1"/>
  </cols>
  <sheetData>
    <row r="1" spans="1:14" ht="23.5" x14ac:dyDescent="0.55000000000000004">
      <c r="B1" s="44" t="s">
        <v>31</v>
      </c>
    </row>
    <row r="4" spans="1:14" x14ac:dyDescent="0.35">
      <c r="B4" t="s">
        <v>14</v>
      </c>
      <c r="C4" s="60" t="s">
        <v>3</v>
      </c>
      <c r="D4" s="60" t="s">
        <v>32</v>
      </c>
      <c r="E4" s="60" t="s">
        <v>33</v>
      </c>
      <c r="F4" s="60" t="s">
        <v>4</v>
      </c>
      <c r="G4" s="60" t="s">
        <v>34</v>
      </c>
      <c r="H4" s="60" t="s">
        <v>35</v>
      </c>
      <c r="I4" s="54" t="s">
        <v>36</v>
      </c>
      <c r="J4" s="54" t="s">
        <v>40</v>
      </c>
      <c r="L4" s="2" t="s">
        <v>15</v>
      </c>
      <c r="M4" s="2" t="s">
        <v>17</v>
      </c>
      <c r="N4" s="2" t="s">
        <v>37</v>
      </c>
    </row>
    <row r="5" spans="1:14" x14ac:dyDescent="0.35">
      <c r="B5">
        <v>2000</v>
      </c>
      <c r="C5" s="38">
        <v>31.033000000000001</v>
      </c>
      <c r="D5" s="2">
        <v>29.466000000000001</v>
      </c>
      <c r="E5" s="38">
        <v>11.760999999999999</v>
      </c>
      <c r="F5" s="38">
        <v>7.1689999999999996</v>
      </c>
      <c r="G5" s="8">
        <v>6.7130000000000001</v>
      </c>
      <c r="H5" s="38">
        <v>0.33200000000000002</v>
      </c>
      <c r="N5" s="2"/>
    </row>
    <row r="6" spans="1:14" x14ac:dyDescent="0.35">
      <c r="B6">
        <v>2001</v>
      </c>
      <c r="C6" s="2">
        <v>30.404</v>
      </c>
      <c r="D6" s="38">
        <v>28.256</v>
      </c>
      <c r="E6" s="38">
        <v>10.954000000000001</v>
      </c>
      <c r="F6" s="63">
        <v>7.4530000000000003</v>
      </c>
      <c r="G6" s="8">
        <v>6.9219999999999997</v>
      </c>
      <c r="H6" s="60">
        <v>0.36599999999999999</v>
      </c>
      <c r="N6" s="2"/>
    </row>
    <row r="7" spans="1:14" x14ac:dyDescent="0.35">
      <c r="A7" s="16"/>
      <c r="B7">
        <v>2002</v>
      </c>
      <c r="C7" s="58">
        <v>31.138000000000002</v>
      </c>
      <c r="D7" s="2">
        <v>28.568999999999999</v>
      </c>
      <c r="E7" s="58">
        <v>11.638999999999999</v>
      </c>
      <c r="F7" s="64">
        <v>7.492</v>
      </c>
      <c r="G7" s="58">
        <v>7.0010000000000003</v>
      </c>
      <c r="H7" s="58">
        <v>0.23599999999999999</v>
      </c>
      <c r="I7" s="61">
        <f t="shared" ref="I7:I19" si="0">SUM(C7:H7)</f>
        <v>86.075000000000017</v>
      </c>
      <c r="J7" s="61"/>
      <c r="K7" s="61"/>
      <c r="M7" s="3"/>
      <c r="N7" s="11"/>
    </row>
    <row r="8" spans="1:14" x14ac:dyDescent="0.35">
      <c r="A8" s="16"/>
      <c r="B8">
        <v>2003</v>
      </c>
      <c r="C8" s="2">
        <v>33.091000000000001</v>
      </c>
      <c r="D8" s="2">
        <v>29.396000000000001</v>
      </c>
      <c r="E8" s="2">
        <v>12.943</v>
      </c>
      <c r="F8" s="38">
        <v>7.45</v>
      </c>
      <c r="G8" s="2">
        <v>7.1820000000000004</v>
      </c>
      <c r="H8" s="2">
        <v>1.51</v>
      </c>
      <c r="I8" s="61">
        <f t="shared" si="0"/>
        <v>91.572000000000017</v>
      </c>
      <c r="J8" s="74"/>
      <c r="K8" s="61"/>
      <c r="M8" s="18"/>
      <c r="N8" s="11"/>
    </row>
    <row r="9" spans="1:14" x14ac:dyDescent="0.35">
      <c r="A9" s="16"/>
      <c r="B9">
        <v>2004</v>
      </c>
      <c r="C9" s="2">
        <v>33.503999999999998</v>
      </c>
      <c r="D9" s="2">
        <v>29.518999999999998</v>
      </c>
      <c r="E9" s="2">
        <v>12.522</v>
      </c>
      <c r="F9" s="38">
        <v>7.6840000000000002</v>
      </c>
      <c r="G9" s="2">
        <v>6.5890000000000004</v>
      </c>
      <c r="H9" s="2">
        <v>1.2549999999999999</v>
      </c>
      <c r="I9" s="61">
        <f t="shared" si="0"/>
        <v>91.072999999999993</v>
      </c>
      <c r="J9" s="74"/>
      <c r="K9" s="61"/>
      <c r="M9" s="18"/>
    </row>
    <row r="10" spans="1:14" x14ac:dyDescent="0.35">
      <c r="A10" s="16"/>
      <c r="B10">
        <v>2005</v>
      </c>
      <c r="C10" s="2">
        <v>33.277999999999999</v>
      </c>
      <c r="D10" s="2">
        <v>28.803999999999998</v>
      </c>
      <c r="E10" s="2">
        <v>11.353999999999999</v>
      </c>
      <c r="F10" s="38">
        <v>7.6459999999999999</v>
      </c>
      <c r="G10" s="2">
        <v>6.7969999999999997</v>
      </c>
      <c r="H10" s="2">
        <v>0.378</v>
      </c>
      <c r="I10" s="61">
        <f t="shared" si="0"/>
        <v>88.256999999999991</v>
      </c>
      <c r="J10" s="74"/>
      <c r="K10" s="61"/>
      <c r="M10" s="18"/>
    </row>
    <row r="11" spans="1:14" x14ac:dyDescent="0.35">
      <c r="A11" s="16"/>
      <c r="B11">
        <v>2006</v>
      </c>
      <c r="C11" s="2">
        <v>33.235999999999997</v>
      </c>
      <c r="D11" s="2">
        <v>29.184000000000001</v>
      </c>
      <c r="E11" s="2">
        <v>10.097</v>
      </c>
      <c r="F11" s="38">
        <v>7.6360000000000001</v>
      </c>
      <c r="G11" s="2">
        <v>6.8940000000000001</v>
      </c>
      <c r="H11" s="2">
        <v>0.214</v>
      </c>
      <c r="I11" s="61">
        <f t="shared" si="0"/>
        <v>87.260999999999996</v>
      </c>
      <c r="J11" s="74"/>
      <c r="K11" s="61"/>
      <c r="L11" s="4"/>
      <c r="M11" s="5"/>
    </row>
    <row r="12" spans="1:14" x14ac:dyDescent="0.35">
      <c r="A12" s="16"/>
      <c r="B12">
        <v>2007</v>
      </c>
      <c r="C12" s="2">
        <v>34.593000000000004</v>
      </c>
      <c r="D12" s="2">
        <v>30.649000000000001</v>
      </c>
      <c r="E12" s="2">
        <v>10.500999999999999</v>
      </c>
      <c r="F12" s="38">
        <v>7.79</v>
      </c>
      <c r="G12" s="2">
        <v>7.1159999999999997</v>
      </c>
      <c r="H12" s="2">
        <v>0.25</v>
      </c>
      <c r="I12" s="61">
        <f t="shared" si="0"/>
        <v>90.899000000000015</v>
      </c>
      <c r="J12" s="74"/>
      <c r="K12" s="61"/>
      <c r="L12" s="4"/>
      <c r="M12" s="5"/>
    </row>
    <row r="13" spans="1:14" x14ac:dyDescent="0.35">
      <c r="A13" s="16"/>
      <c r="B13">
        <v>2008</v>
      </c>
      <c r="C13" s="2">
        <v>34.848999999999997</v>
      </c>
      <c r="D13" s="2">
        <v>27.645</v>
      </c>
      <c r="E13" s="2">
        <v>9.5030000000000001</v>
      </c>
      <c r="F13" s="38">
        <v>7.75</v>
      </c>
      <c r="G13" s="2">
        <v>6.9950000000000001</v>
      </c>
      <c r="H13" s="2">
        <v>0.23300000000000001</v>
      </c>
      <c r="I13" s="61">
        <f t="shared" si="0"/>
        <v>86.975000000000009</v>
      </c>
      <c r="J13" s="74"/>
      <c r="K13" s="61"/>
      <c r="L13" s="4"/>
      <c r="M13" s="5"/>
    </row>
    <row r="14" spans="1:14" x14ac:dyDescent="0.35">
      <c r="A14" s="16"/>
      <c r="B14">
        <v>2009</v>
      </c>
      <c r="C14" s="2">
        <v>34.58</v>
      </c>
      <c r="D14" s="2">
        <v>26.271000000000001</v>
      </c>
      <c r="E14" s="2">
        <v>10.218999999999999</v>
      </c>
      <c r="F14" s="38">
        <v>7.7069999999999999</v>
      </c>
      <c r="G14" s="2">
        <v>6.9059999999999997</v>
      </c>
      <c r="H14" s="2">
        <v>0.38200000000000001</v>
      </c>
      <c r="I14" s="61">
        <f t="shared" si="0"/>
        <v>86.064999999999998</v>
      </c>
      <c r="J14" s="74"/>
      <c r="K14" s="61"/>
      <c r="L14" s="4"/>
      <c r="M14" s="5"/>
    </row>
    <row r="15" spans="1:14" x14ac:dyDescent="0.35">
      <c r="A15" s="16"/>
      <c r="B15">
        <v>2010</v>
      </c>
      <c r="C15" s="2">
        <v>34.450000000000003</v>
      </c>
      <c r="D15" s="2">
        <v>25.515000000000001</v>
      </c>
      <c r="E15" s="2">
        <v>9.2309999999999999</v>
      </c>
      <c r="F15" s="60">
        <v>7.7149999999999999</v>
      </c>
      <c r="G15" s="2">
        <v>6.7279999999999998</v>
      </c>
      <c r="H15" s="2">
        <v>0.20799999999999999</v>
      </c>
      <c r="I15" s="61">
        <f t="shared" si="0"/>
        <v>83.846999999999994</v>
      </c>
      <c r="J15" s="74"/>
      <c r="K15" s="61"/>
      <c r="L15" s="4"/>
      <c r="M15" s="5"/>
    </row>
    <row r="16" spans="1:14" x14ac:dyDescent="0.35">
      <c r="A16" s="16"/>
      <c r="B16">
        <v>2011</v>
      </c>
      <c r="C16" s="2">
        <v>35.762</v>
      </c>
      <c r="D16" s="2">
        <v>25.32</v>
      </c>
      <c r="E16" s="2">
        <v>8.9280000000000008</v>
      </c>
      <c r="F16" s="38">
        <v>7.7069999999999999</v>
      </c>
      <c r="G16" s="2">
        <v>6.6390000000000002</v>
      </c>
      <c r="H16" s="2">
        <v>0.215</v>
      </c>
      <c r="I16" s="61">
        <f t="shared" si="0"/>
        <v>84.570999999999998</v>
      </c>
      <c r="J16" s="74"/>
      <c r="K16" s="61"/>
      <c r="L16" s="4"/>
      <c r="M16" s="5"/>
    </row>
    <row r="17" spans="1:16" x14ac:dyDescent="0.35">
      <c r="A17" s="16"/>
      <c r="B17">
        <v>2012</v>
      </c>
      <c r="C17" s="2">
        <v>35.17</v>
      </c>
      <c r="D17" s="2">
        <v>25.407</v>
      </c>
      <c r="E17" s="2">
        <v>7.7160000000000002</v>
      </c>
      <c r="F17" s="38">
        <v>7.7770000000000001</v>
      </c>
      <c r="G17" s="2">
        <v>6.5350000000000001</v>
      </c>
      <c r="H17" s="2">
        <v>0.20699999999999999</v>
      </c>
      <c r="I17" s="61">
        <f t="shared" si="0"/>
        <v>82.811999999999983</v>
      </c>
      <c r="J17" s="74"/>
      <c r="K17" s="61"/>
      <c r="L17" s="4"/>
      <c r="M17" s="5"/>
    </row>
    <row r="18" spans="1:16" x14ac:dyDescent="0.35">
      <c r="A18" s="16"/>
      <c r="B18">
        <v>2013</v>
      </c>
      <c r="C18" s="2">
        <v>34.674999999999997</v>
      </c>
      <c r="D18" s="2">
        <v>25.387</v>
      </c>
      <c r="E18" s="2">
        <v>7.8879999999999999</v>
      </c>
      <c r="F18" s="38">
        <v>7.8719999999999999</v>
      </c>
      <c r="G18" s="2">
        <v>6.5019999999999998</v>
      </c>
      <c r="H18" s="2">
        <v>0.214</v>
      </c>
      <c r="I18" s="61">
        <f t="shared" si="0"/>
        <v>82.537999999999997</v>
      </c>
      <c r="J18" s="82">
        <f>M18/2</f>
        <v>18.332351500000001</v>
      </c>
      <c r="K18" s="61"/>
      <c r="L18" s="24">
        <f>SUM(I18:I19)</f>
        <v>163.49799999999999</v>
      </c>
      <c r="M18" s="17">
        <v>36.664703000000003</v>
      </c>
      <c r="N18" s="11">
        <f>M18/L18</f>
        <v>0.22425169115218538</v>
      </c>
    </row>
    <row r="19" spans="1:16" x14ac:dyDescent="0.35">
      <c r="A19" s="16"/>
      <c r="B19">
        <v>2014</v>
      </c>
      <c r="C19" s="2">
        <v>33.048999999999999</v>
      </c>
      <c r="D19" s="2">
        <v>25.35</v>
      </c>
      <c r="E19" s="2">
        <v>8.1890000000000001</v>
      </c>
      <c r="F19" s="2">
        <v>7.6890000000000001</v>
      </c>
      <c r="G19" s="2">
        <v>6.4610000000000003</v>
      </c>
      <c r="H19" s="2">
        <v>0.222</v>
      </c>
      <c r="I19" s="61">
        <f t="shared" si="0"/>
        <v>80.95999999999998</v>
      </c>
      <c r="J19" s="82">
        <f>J18</f>
        <v>18.332351500000001</v>
      </c>
      <c r="K19" s="61"/>
      <c r="M19" s="17"/>
      <c r="N19" s="11">
        <v>0.22425169115218538</v>
      </c>
    </row>
    <row r="20" spans="1:16" x14ac:dyDescent="0.35">
      <c r="A20" s="57"/>
      <c r="B20">
        <v>2015</v>
      </c>
      <c r="C20" s="2">
        <v>33.625999999999998</v>
      </c>
      <c r="D20" s="2">
        <v>24.358000000000001</v>
      </c>
      <c r="E20" s="2">
        <v>8.2729999999999997</v>
      </c>
      <c r="F20" s="2">
        <v>7.774</v>
      </c>
      <c r="G20" s="2">
        <v>6.6970000000000001</v>
      </c>
      <c r="H20" s="2">
        <v>0.19400000000000001</v>
      </c>
      <c r="I20" s="61">
        <f>SUM(C20:H20)</f>
        <v>80.921999999999997</v>
      </c>
      <c r="J20" s="82">
        <f>M20/3</f>
        <v>58.715172666666668</v>
      </c>
      <c r="K20" s="61"/>
      <c r="L20" s="2">
        <f>SUM(I20:I22)</f>
        <v>240.53399999999999</v>
      </c>
      <c r="M20" s="2">
        <v>176.14551800000001</v>
      </c>
      <c r="N20" s="11">
        <f>M20/L20</f>
        <v>0.73231026798706222</v>
      </c>
    </row>
    <row r="21" spans="1:16" x14ac:dyDescent="0.35">
      <c r="B21">
        <v>2016</v>
      </c>
      <c r="C21">
        <v>33.67</v>
      </c>
      <c r="D21">
        <v>23.48</v>
      </c>
      <c r="E21">
        <v>8.1999999999999993</v>
      </c>
      <c r="F21">
        <v>7.9</v>
      </c>
      <c r="G21">
        <v>5.03</v>
      </c>
      <c r="H21" s="2">
        <v>0.22600000000000001</v>
      </c>
      <c r="I21" s="61">
        <f t="shared" ref="I21:I24" si="1">SUM(C21:H21)</f>
        <v>78.506000000000014</v>
      </c>
      <c r="J21" s="82">
        <f>J20</f>
        <v>58.715172666666668</v>
      </c>
      <c r="K21" s="61"/>
      <c r="N21" s="11">
        <v>0.73231026798706222</v>
      </c>
    </row>
    <row r="22" spans="1:16" x14ac:dyDescent="0.35">
      <c r="B22">
        <v>2017</v>
      </c>
      <c r="C22">
        <v>35.61</v>
      </c>
      <c r="D22">
        <v>24.51</v>
      </c>
      <c r="E22">
        <v>8.16</v>
      </c>
      <c r="F22">
        <v>7.82</v>
      </c>
      <c r="G22">
        <v>4.78</v>
      </c>
      <c r="H22" s="2">
        <v>0.22600000000000001</v>
      </c>
      <c r="I22" s="61">
        <f t="shared" si="1"/>
        <v>81.105999999999995</v>
      </c>
      <c r="J22" s="82">
        <f>J21</f>
        <v>58.715172666666668</v>
      </c>
      <c r="K22" s="61"/>
      <c r="N22" s="11">
        <v>0.73231026798706222</v>
      </c>
    </row>
    <row r="23" spans="1:16" x14ac:dyDescent="0.35">
      <c r="B23">
        <v>2018</v>
      </c>
      <c r="C23">
        <v>35.61</v>
      </c>
      <c r="D23">
        <v>24.5</v>
      </c>
      <c r="E23">
        <v>8.0500000000000007</v>
      </c>
      <c r="F23">
        <v>7.92</v>
      </c>
      <c r="G23">
        <v>4.6500000000000004</v>
      </c>
      <c r="H23" s="2">
        <v>0.24</v>
      </c>
      <c r="I23" s="61">
        <f t="shared" si="1"/>
        <v>80.97</v>
      </c>
      <c r="J23" s="82">
        <f>M23/3</f>
        <v>59.392862333333333</v>
      </c>
      <c r="K23" s="61"/>
      <c r="L23" s="4">
        <f>SUM(I23:I25)</f>
        <v>237.7</v>
      </c>
      <c r="M23" s="2">
        <v>178.17858699999999</v>
      </c>
      <c r="N23" s="11">
        <f>M23/L23</f>
        <v>0.74959439209087086</v>
      </c>
    </row>
    <row r="24" spans="1:16" x14ac:dyDescent="0.35">
      <c r="B24">
        <v>2019</v>
      </c>
      <c r="C24">
        <v>36.47</v>
      </c>
      <c r="D24">
        <v>25.15</v>
      </c>
      <c r="E24">
        <v>8.3000000000000007</v>
      </c>
      <c r="F24">
        <v>7.92</v>
      </c>
      <c r="G24">
        <v>4.6500000000000004</v>
      </c>
      <c r="H24" s="2">
        <v>0.23</v>
      </c>
      <c r="I24" s="61">
        <f t="shared" si="1"/>
        <v>82.720000000000013</v>
      </c>
      <c r="J24" s="82">
        <f>J23</f>
        <v>59.392862333333333</v>
      </c>
      <c r="K24" s="61"/>
      <c r="L24" s="4"/>
      <c r="N24" s="11">
        <v>0.74959439209087086</v>
      </c>
    </row>
    <row r="25" spans="1:16" x14ac:dyDescent="0.35">
      <c r="B25">
        <v>2020</v>
      </c>
      <c r="C25">
        <v>31.64</v>
      </c>
      <c r="D25">
        <v>22.67</v>
      </c>
      <c r="E25">
        <v>7.1</v>
      </c>
      <c r="F25">
        <v>7.88</v>
      </c>
      <c r="G25">
        <v>4.49</v>
      </c>
      <c r="H25">
        <v>0.23</v>
      </c>
      <c r="I25" s="61">
        <f>SUM(C25:H25)</f>
        <v>74.010000000000005</v>
      </c>
      <c r="J25" s="82">
        <f>J24</f>
        <v>59.392862333333333</v>
      </c>
      <c r="K25" s="70"/>
      <c r="L25" s="4"/>
      <c r="N25" s="11">
        <v>0.74959439209087086</v>
      </c>
    </row>
    <row r="26" spans="1:16" x14ac:dyDescent="0.35">
      <c r="B26">
        <v>2021</v>
      </c>
      <c r="C26" s="59"/>
      <c r="D26" s="59"/>
      <c r="E26" s="59"/>
      <c r="F26" s="59"/>
      <c r="G26" s="59"/>
      <c r="H26" s="59"/>
      <c r="I26" s="62">
        <f>I24+($I$35-$I$24)/10</f>
        <v>82.348000000000013</v>
      </c>
      <c r="J26" s="81">
        <f>I26*N26</f>
        <v>61.015942474048828</v>
      </c>
      <c r="K26" s="70"/>
      <c r="L26" s="4">
        <f>SUM(I26:I28)</f>
        <v>245.84533333333334</v>
      </c>
      <c r="M26" s="4">
        <f>L26*N26</f>
        <v>182.15967256253975</v>
      </c>
      <c r="N26" s="43">
        <f>AVERAGE(N23,N20)</f>
        <v>0.74095233003896654</v>
      </c>
      <c r="P26" s="2">
        <f>SUM(I26:I28)</f>
        <v>245.84533333333334</v>
      </c>
    </row>
    <row r="27" spans="1:16" x14ac:dyDescent="0.35">
      <c r="B27">
        <v>2022</v>
      </c>
      <c r="C27" s="59"/>
      <c r="D27" s="59"/>
      <c r="E27" s="59"/>
      <c r="F27" s="59"/>
      <c r="G27" s="59"/>
      <c r="H27" s="59"/>
      <c r="I27" s="62">
        <f>I26+($I$35-$I$24)/9</f>
        <v>81.934666666666672</v>
      </c>
      <c r="J27" s="81">
        <f t="shared" ref="J27:J35" si="2">I27*N27</f>
        <v>60.709682177632715</v>
      </c>
      <c r="K27" s="70"/>
      <c r="L27" s="4"/>
      <c r="M27" s="4"/>
      <c r="N27" s="43">
        <v>0.74095233003896654</v>
      </c>
    </row>
    <row r="28" spans="1:16" x14ac:dyDescent="0.35">
      <c r="B28">
        <v>2023</v>
      </c>
      <c r="C28" s="59"/>
      <c r="D28" s="59"/>
      <c r="E28" s="59"/>
      <c r="F28" s="59"/>
      <c r="G28" s="59"/>
      <c r="H28" s="59"/>
      <c r="I28" s="62">
        <f t="shared" ref="I28:I34" si="3">I27+($I$35-$I$24)/10</f>
        <v>81.562666666666672</v>
      </c>
      <c r="J28" s="81">
        <f t="shared" si="2"/>
        <v>60.434047910858219</v>
      </c>
      <c r="K28" s="70"/>
      <c r="L28" s="4"/>
      <c r="M28" s="4"/>
      <c r="N28" s="43">
        <v>0.74095233003896654</v>
      </c>
    </row>
    <row r="29" spans="1:16" x14ac:dyDescent="0.35">
      <c r="B29">
        <v>2024</v>
      </c>
      <c r="C29" s="59"/>
      <c r="D29" s="59"/>
      <c r="E29" s="59"/>
      <c r="F29" s="59"/>
      <c r="G29" s="59"/>
      <c r="H29" s="59"/>
      <c r="I29" s="62">
        <f t="shared" si="3"/>
        <v>81.190666666666672</v>
      </c>
      <c r="J29" s="81">
        <f t="shared" si="2"/>
        <v>60.158413644083723</v>
      </c>
      <c r="K29" s="70"/>
      <c r="L29" s="4">
        <f>SUM(I29:I31)</f>
        <v>242.45600000000002</v>
      </c>
      <c r="M29" s="4">
        <f>L29*N29</f>
        <v>179.64833813192769</v>
      </c>
      <c r="N29" s="43">
        <f>AVERAGE(N20,N23)</f>
        <v>0.74095233003896654</v>
      </c>
      <c r="P29" s="2">
        <f>SUM(I29:I31)</f>
        <v>242.45600000000002</v>
      </c>
    </row>
    <row r="30" spans="1:16" x14ac:dyDescent="0.35">
      <c r="B30">
        <v>2025</v>
      </c>
      <c r="C30" s="59"/>
      <c r="D30" s="59"/>
      <c r="E30" s="59"/>
      <c r="F30" s="59"/>
      <c r="G30" s="59"/>
      <c r="H30" s="59"/>
      <c r="I30" s="62">
        <f t="shared" si="3"/>
        <v>80.818666666666672</v>
      </c>
      <c r="J30" s="81">
        <f t="shared" si="2"/>
        <v>59.882779377309227</v>
      </c>
      <c r="K30" s="70"/>
      <c r="L30" s="4"/>
      <c r="M30" s="4"/>
      <c r="N30" s="43">
        <v>0.74095233003896654</v>
      </c>
    </row>
    <row r="31" spans="1:16" x14ac:dyDescent="0.35">
      <c r="B31">
        <v>2026</v>
      </c>
      <c r="C31" s="59"/>
      <c r="D31" s="59"/>
      <c r="E31" s="59"/>
      <c r="F31" s="59"/>
      <c r="G31" s="59"/>
      <c r="H31" s="59"/>
      <c r="I31" s="62">
        <f t="shared" si="3"/>
        <v>80.446666666666673</v>
      </c>
      <c r="J31" s="81">
        <f t="shared" si="2"/>
        <v>59.607145110534731</v>
      </c>
      <c r="K31" s="70"/>
      <c r="L31" s="4"/>
      <c r="M31" s="4"/>
      <c r="N31" s="43">
        <v>0.74095233003896654</v>
      </c>
    </row>
    <row r="32" spans="1:16" x14ac:dyDescent="0.35">
      <c r="B32">
        <v>2027</v>
      </c>
      <c r="C32" s="59"/>
      <c r="D32" s="59"/>
      <c r="E32" s="59"/>
      <c r="F32" s="59"/>
      <c r="G32" s="59"/>
      <c r="H32" s="59"/>
      <c r="I32" s="62">
        <f t="shared" si="3"/>
        <v>80.074666666666673</v>
      </c>
      <c r="J32" s="81">
        <f t="shared" si="2"/>
        <v>59.331510843760235</v>
      </c>
      <c r="K32" s="70"/>
      <c r="L32" s="4">
        <f>SUM(I32:I34)</f>
        <v>239.108</v>
      </c>
      <c r="M32" s="4">
        <f>L32*N32</f>
        <v>177.1676297309572</v>
      </c>
      <c r="N32" s="43">
        <f>AVERAGE(N20,N23)</f>
        <v>0.74095233003896654</v>
      </c>
      <c r="P32" s="2">
        <f>SUM(I32:I34)</f>
        <v>239.108</v>
      </c>
    </row>
    <row r="33" spans="2:14" x14ac:dyDescent="0.35">
      <c r="B33">
        <v>2028</v>
      </c>
      <c r="C33" s="59"/>
      <c r="D33" s="59"/>
      <c r="E33" s="59"/>
      <c r="F33" s="59"/>
      <c r="G33" s="59"/>
      <c r="H33" s="59"/>
      <c r="I33" s="62">
        <f t="shared" si="3"/>
        <v>79.702666666666673</v>
      </c>
      <c r="J33" s="81">
        <f t="shared" si="2"/>
        <v>59.055876576985739</v>
      </c>
      <c r="K33" s="70"/>
      <c r="N33" s="43">
        <v>0.74095233003896654</v>
      </c>
    </row>
    <row r="34" spans="2:14" x14ac:dyDescent="0.35">
      <c r="B34">
        <v>2029</v>
      </c>
      <c r="C34" s="59"/>
      <c r="D34" s="59"/>
      <c r="E34" s="59"/>
      <c r="F34" s="59"/>
      <c r="G34" s="59"/>
      <c r="H34" s="59"/>
      <c r="I34" s="62">
        <f t="shared" si="3"/>
        <v>79.330666666666673</v>
      </c>
      <c r="J34" s="81">
        <f t="shared" si="2"/>
        <v>58.78024231021125</v>
      </c>
      <c r="K34" s="70"/>
      <c r="N34" s="43">
        <f>AVERAGE(N22,N25)</f>
        <v>0.74095233003896654</v>
      </c>
    </row>
    <row r="35" spans="2:14" x14ac:dyDescent="0.35">
      <c r="B35">
        <v>2030</v>
      </c>
      <c r="C35" s="59"/>
      <c r="D35" s="59"/>
      <c r="E35" s="59"/>
      <c r="F35" s="59"/>
      <c r="G35" s="59"/>
      <c r="H35" s="59"/>
      <c r="I35" s="62">
        <v>79</v>
      </c>
      <c r="J35" s="81">
        <f t="shared" si="2"/>
        <v>58.535234073078357</v>
      </c>
      <c r="K35" s="70"/>
      <c r="N35" s="43">
        <v>0.74095233003896654</v>
      </c>
    </row>
    <row r="38" spans="2:14" x14ac:dyDescent="0.35">
      <c r="B38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CC5C-F052-4795-A548-F2E1E1C1A00C}">
  <dimension ref="B1:AJ58"/>
  <sheetViews>
    <sheetView zoomScale="55" zoomScaleNormal="55" workbookViewId="0">
      <selection activeCell="M9" sqref="M9"/>
    </sheetView>
  </sheetViews>
  <sheetFormatPr baseColWidth="10" defaultRowHeight="14.5" x14ac:dyDescent="0.35"/>
  <cols>
    <col min="2" max="4" width="25.453125" customWidth="1"/>
    <col min="5" max="5" width="18.54296875" customWidth="1"/>
    <col min="6" max="6" width="27.08984375" customWidth="1"/>
    <col min="7" max="7" width="17.1796875" customWidth="1"/>
    <col min="8" max="8" width="20.1796875" customWidth="1"/>
    <col min="9" max="9" width="25.6328125" customWidth="1"/>
    <col min="10" max="10" width="17.7265625" style="31" customWidth="1"/>
    <col min="11" max="11" width="17.7265625" style="66" customWidth="1"/>
    <col min="12" max="12" width="26.08984375" customWidth="1"/>
    <col min="13" max="13" width="20.7265625" customWidth="1"/>
    <col min="14" max="14" width="21.1796875" customWidth="1"/>
    <col min="15" max="15" width="35.90625" customWidth="1"/>
  </cols>
  <sheetData>
    <row r="1" spans="2:36" ht="23.5" x14ac:dyDescent="0.55000000000000004">
      <c r="B1" s="44" t="s">
        <v>31</v>
      </c>
    </row>
    <row r="2" spans="2:36" x14ac:dyDescent="0.35">
      <c r="M2" s="10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10"/>
      <c r="AJ2" s="10"/>
    </row>
    <row r="3" spans="2:36" x14ac:dyDescent="0.35">
      <c r="J3" s="32"/>
      <c r="K3" s="67"/>
      <c r="M3" s="10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10"/>
      <c r="AJ3" s="10"/>
    </row>
    <row r="4" spans="2:36" x14ac:dyDescent="0.35">
      <c r="B4" s="30" t="s">
        <v>14</v>
      </c>
      <c r="C4" s="30" t="s">
        <v>7</v>
      </c>
      <c r="D4" s="30" t="s">
        <v>8</v>
      </c>
      <c r="E4" s="30" t="s">
        <v>9</v>
      </c>
      <c r="F4" s="30" t="s">
        <v>10</v>
      </c>
      <c r="G4" s="30" t="s">
        <v>11</v>
      </c>
      <c r="H4" s="30" t="s">
        <v>12</v>
      </c>
      <c r="I4" s="30" t="s">
        <v>13</v>
      </c>
      <c r="J4" s="32" t="s">
        <v>16</v>
      </c>
      <c r="K4" s="67"/>
      <c r="L4" s="33" t="s">
        <v>17</v>
      </c>
      <c r="N4" s="33" t="s">
        <v>38</v>
      </c>
      <c r="O4" s="28" t="s">
        <v>18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10"/>
      <c r="AJ4" s="10"/>
    </row>
    <row r="5" spans="2:36" x14ac:dyDescent="0.35">
      <c r="B5" s="29">
        <v>2000</v>
      </c>
      <c r="C5" s="28">
        <v>175.7</v>
      </c>
      <c r="D5" s="28">
        <v>104.7</v>
      </c>
      <c r="E5" s="28">
        <v>93</v>
      </c>
      <c r="F5" s="28">
        <v>44.2</v>
      </c>
      <c r="G5" s="28">
        <v>30.8</v>
      </c>
      <c r="H5" s="28">
        <v>6.3</v>
      </c>
      <c r="I5" s="28">
        <v>7.1</v>
      </c>
      <c r="J5" s="35">
        <f>SUM(C5:I5)</f>
        <v>461.8</v>
      </c>
      <c r="K5" s="68"/>
      <c r="M5" s="10"/>
      <c r="N5" s="27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10"/>
      <c r="AJ5" s="10"/>
    </row>
    <row r="6" spans="2:36" x14ac:dyDescent="0.35">
      <c r="B6" s="29">
        <v>2001</v>
      </c>
      <c r="C6" s="72">
        <v>175.7</v>
      </c>
      <c r="D6" s="72">
        <v>121.9</v>
      </c>
      <c r="E6" s="72">
        <v>92.5</v>
      </c>
      <c r="F6" s="72">
        <v>42.6</v>
      </c>
      <c r="G6" s="72">
        <v>31.1</v>
      </c>
      <c r="H6" s="72">
        <v>6.6</v>
      </c>
      <c r="I6" s="72">
        <v>7.3</v>
      </c>
      <c r="J6" s="35">
        <f t="shared" ref="J6:J24" si="0">SUM(C6:I6)</f>
        <v>477.7000000000001</v>
      </c>
      <c r="K6" s="69"/>
      <c r="M6" s="10"/>
      <c r="N6" s="27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10"/>
      <c r="AJ6" s="10"/>
    </row>
    <row r="7" spans="2:36" x14ac:dyDescent="0.35">
      <c r="B7" s="29">
        <v>2002</v>
      </c>
      <c r="C7" s="72">
        <v>183</v>
      </c>
      <c r="D7" s="72">
        <v>108.6</v>
      </c>
      <c r="E7" s="72">
        <v>93.7</v>
      </c>
      <c r="F7" s="72">
        <v>43.6</v>
      </c>
      <c r="G7" s="72">
        <v>33.1</v>
      </c>
      <c r="H7" s="72">
        <v>7.1</v>
      </c>
      <c r="I7" s="72">
        <v>7.3</v>
      </c>
      <c r="J7" s="35">
        <f t="shared" si="0"/>
        <v>476.40000000000009</v>
      </c>
      <c r="K7" s="69"/>
      <c r="M7" s="10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10"/>
      <c r="AJ7" s="10"/>
    </row>
    <row r="8" spans="2:36" x14ac:dyDescent="0.35">
      <c r="B8" s="29">
        <v>2003</v>
      </c>
      <c r="C8" s="72">
        <v>180.2</v>
      </c>
      <c r="D8" s="72">
        <v>112.5</v>
      </c>
      <c r="E8" s="72">
        <v>92</v>
      </c>
      <c r="F8" s="72">
        <v>42.7</v>
      </c>
      <c r="G8" s="72">
        <v>33.6</v>
      </c>
      <c r="H8" s="72">
        <v>7.8</v>
      </c>
      <c r="I8" s="72">
        <v>7.4</v>
      </c>
      <c r="J8" s="35">
        <f t="shared" si="0"/>
        <v>476.2</v>
      </c>
      <c r="K8" s="69"/>
      <c r="M8" s="10"/>
      <c r="N8" s="27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10"/>
      <c r="AJ8" s="10"/>
    </row>
    <row r="9" spans="2:36" x14ac:dyDescent="0.35">
      <c r="B9" s="29">
        <v>2004</v>
      </c>
      <c r="C9" s="72">
        <v>181.5</v>
      </c>
      <c r="D9" s="72">
        <v>115.1</v>
      </c>
      <c r="E9" s="72">
        <v>95.4</v>
      </c>
      <c r="F9" s="72">
        <v>45.3</v>
      </c>
      <c r="G9" s="72">
        <v>32.9</v>
      </c>
      <c r="H9" s="72">
        <v>8.5</v>
      </c>
      <c r="I9" s="72">
        <v>7.4</v>
      </c>
      <c r="J9" s="35">
        <f t="shared" si="0"/>
        <v>486.09999999999997</v>
      </c>
      <c r="K9" s="69"/>
      <c r="M9" s="10"/>
      <c r="N9" s="27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0"/>
      <c r="AJ9" s="10"/>
    </row>
    <row r="10" spans="2:36" x14ac:dyDescent="0.35">
      <c r="B10" s="29">
        <v>2005</v>
      </c>
      <c r="C10" s="72">
        <v>183.1</v>
      </c>
      <c r="D10" s="72">
        <v>107.8</v>
      </c>
      <c r="E10" s="72">
        <v>93.2</v>
      </c>
      <c r="F10" s="72">
        <v>43.4</v>
      </c>
      <c r="G10" s="72">
        <v>33.700000000000003</v>
      </c>
      <c r="H10" s="72">
        <v>9.3000000000000007</v>
      </c>
      <c r="I10" s="72">
        <v>7.6</v>
      </c>
      <c r="J10" s="35">
        <f t="shared" si="0"/>
        <v>478.09999999999997</v>
      </c>
      <c r="K10" s="6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2:36" x14ac:dyDescent="0.35">
      <c r="B11" s="29">
        <v>2006</v>
      </c>
      <c r="C11" s="72">
        <v>183</v>
      </c>
      <c r="D11" s="72">
        <v>104.4</v>
      </c>
      <c r="E11" s="72">
        <v>92.9</v>
      </c>
      <c r="F11" s="72">
        <v>43.6</v>
      </c>
      <c r="G11" s="72">
        <v>34.5</v>
      </c>
      <c r="H11" s="72">
        <v>10.1</v>
      </c>
      <c r="I11" s="72">
        <v>7.7</v>
      </c>
      <c r="J11" s="35">
        <f t="shared" si="0"/>
        <v>476.2</v>
      </c>
      <c r="K11" s="6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2:36" x14ac:dyDescent="0.35">
      <c r="B12" s="29">
        <v>2007</v>
      </c>
      <c r="C12" s="72">
        <v>182.8</v>
      </c>
      <c r="D12" s="72">
        <v>113.8</v>
      </c>
      <c r="E12" s="72">
        <v>90.3</v>
      </c>
      <c r="F12" s="72">
        <v>44</v>
      </c>
      <c r="G12" s="72">
        <v>35.1</v>
      </c>
      <c r="H12" s="72">
        <v>10.8</v>
      </c>
      <c r="I12" s="72">
        <v>7.8</v>
      </c>
      <c r="J12" s="35">
        <f t="shared" si="0"/>
        <v>484.60000000000008</v>
      </c>
      <c r="K12" s="6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2:36" x14ac:dyDescent="0.35">
      <c r="B13" s="29">
        <v>2008</v>
      </c>
      <c r="C13" s="72">
        <v>171.9</v>
      </c>
      <c r="D13" s="72">
        <v>120.1</v>
      </c>
      <c r="E13" s="72">
        <v>88.1</v>
      </c>
      <c r="F13" s="72">
        <v>44.4</v>
      </c>
      <c r="G13" s="72">
        <v>35</v>
      </c>
      <c r="H13" s="72">
        <v>11.7</v>
      </c>
      <c r="I13" s="72">
        <v>7.9</v>
      </c>
      <c r="J13" s="35">
        <f t="shared" si="0"/>
        <v>479.09999999999997</v>
      </c>
      <c r="K13" s="6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2:36" x14ac:dyDescent="0.35">
      <c r="B14" s="29">
        <v>2009</v>
      </c>
      <c r="C14" s="72">
        <v>165.7</v>
      </c>
      <c r="D14" s="72">
        <v>101.3</v>
      </c>
      <c r="E14" s="72">
        <v>85.6</v>
      </c>
      <c r="F14" s="72">
        <v>44.5</v>
      </c>
      <c r="G14" s="72">
        <v>32.799999999999997</v>
      </c>
      <c r="H14" s="72">
        <v>12.3</v>
      </c>
      <c r="I14" s="72">
        <v>8</v>
      </c>
      <c r="J14" s="35">
        <f t="shared" si="0"/>
        <v>450.20000000000005</v>
      </c>
      <c r="K14" s="69"/>
      <c r="M14" s="10"/>
      <c r="N14" s="10"/>
      <c r="O14" s="27"/>
      <c r="P14" s="27"/>
      <c r="Q14" s="27"/>
      <c r="R14" s="27"/>
      <c r="S14" s="27"/>
      <c r="T14" s="27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2:36" x14ac:dyDescent="0.35">
      <c r="B15" s="29">
        <v>2010</v>
      </c>
      <c r="C15" s="72">
        <v>162.9</v>
      </c>
      <c r="D15" s="72">
        <v>90.3</v>
      </c>
      <c r="E15" s="72">
        <v>87.8</v>
      </c>
      <c r="F15" s="72">
        <v>46</v>
      </c>
      <c r="G15" s="72">
        <v>33.6</v>
      </c>
      <c r="H15" s="72">
        <v>13.5</v>
      </c>
      <c r="I15" s="72">
        <v>8.1</v>
      </c>
      <c r="J15" s="35">
        <f t="shared" si="0"/>
        <v>442.20000000000005</v>
      </c>
      <c r="K15" s="6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2:36" x14ac:dyDescent="0.35">
      <c r="B16" s="29">
        <v>2011</v>
      </c>
      <c r="C16" s="72">
        <v>159.5</v>
      </c>
      <c r="D16" s="72">
        <v>89.2</v>
      </c>
      <c r="E16" s="72">
        <v>85.8</v>
      </c>
      <c r="F16" s="72">
        <v>46</v>
      </c>
      <c r="G16" s="72">
        <v>34.200000000000003</v>
      </c>
      <c r="H16" s="72">
        <v>14.5</v>
      </c>
      <c r="I16" s="72">
        <v>8.1999999999999993</v>
      </c>
      <c r="J16" s="35">
        <f t="shared" si="0"/>
        <v>437.4</v>
      </c>
      <c r="K16" s="6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2:36" x14ac:dyDescent="0.35">
      <c r="B17" s="29">
        <v>2012</v>
      </c>
      <c r="C17" s="72">
        <v>156.9</v>
      </c>
      <c r="D17" s="72">
        <v>98.9</v>
      </c>
      <c r="E17" s="72">
        <v>80.7</v>
      </c>
      <c r="F17" s="72">
        <v>39.200000000000003</v>
      </c>
      <c r="G17" s="72">
        <v>35.200000000000003</v>
      </c>
      <c r="H17" s="72">
        <v>15.5</v>
      </c>
      <c r="I17" s="72">
        <v>8.1999999999999993</v>
      </c>
      <c r="J17" s="35">
        <f t="shared" si="0"/>
        <v>434.59999999999997</v>
      </c>
      <c r="K17" s="6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 x14ac:dyDescent="0.35">
      <c r="B18" s="29">
        <v>2013</v>
      </c>
      <c r="C18" s="72">
        <v>157</v>
      </c>
      <c r="D18" s="72">
        <v>93.4</v>
      </c>
      <c r="E18" s="72">
        <v>83</v>
      </c>
      <c r="F18" s="72">
        <v>39.1</v>
      </c>
      <c r="G18" s="72">
        <v>33.9</v>
      </c>
      <c r="H18" s="72">
        <v>16.8</v>
      </c>
      <c r="I18" s="72">
        <v>8.3000000000000007</v>
      </c>
      <c r="J18" s="35">
        <f t="shared" si="0"/>
        <v>431.5</v>
      </c>
      <c r="K18" s="69"/>
      <c r="L18" s="10">
        <v>144.99997500000001</v>
      </c>
      <c r="M18" s="37"/>
      <c r="N18" s="39">
        <f>L18/J18</f>
        <v>0.33603702201622249</v>
      </c>
      <c r="O18" s="10">
        <f>SUM(L18:L19)</f>
        <v>291.18120199999998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2:36" x14ac:dyDescent="0.35">
      <c r="B19" s="29">
        <v>2014</v>
      </c>
      <c r="C19" s="72">
        <v>157.69999999999999</v>
      </c>
      <c r="D19" s="72">
        <v>89.8</v>
      </c>
      <c r="E19" s="72">
        <v>85.2</v>
      </c>
      <c r="F19" s="72">
        <v>35.6</v>
      </c>
      <c r="G19" s="72">
        <v>33.9</v>
      </c>
      <c r="H19" s="72">
        <v>17.7</v>
      </c>
      <c r="I19" s="72">
        <v>8.3000000000000007</v>
      </c>
      <c r="J19" s="35">
        <f t="shared" si="0"/>
        <v>428.2</v>
      </c>
      <c r="K19" s="69"/>
      <c r="L19" s="10">
        <v>146.18122699999998</v>
      </c>
      <c r="M19" s="38"/>
      <c r="N19" s="39">
        <f t="shared" ref="N19:N24" si="1">L19/J19</f>
        <v>0.34138539701074261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 x14ac:dyDescent="0.35">
      <c r="B20" s="29">
        <v>2015</v>
      </c>
      <c r="C20" s="72">
        <v>161.5</v>
      </c>
      <c r="D20" s="72">
        <v>86</v>
      </c>
      <c r="E20" s="72">
        <v>83.2</v>
      </c>
      <c r="F20" s="72">
        <v>36.299999999999997</v>
      </c>
      <c r="G20" s="72">
        <v>32.6</v>
      </c>
      <c r="H20" s="72">
        <v>18.600000000000001</v>
      </c>
      <c r="I20" s="72">
        <v>8.4</v>
      </c>
      <c r="J20" s="35">
        <f t="shared" si="0"/>
        <v>426.6</v>
      </c>
      <c r="K20" s="69"/>
      <c r="L20">
        <v>340.32349900000003</v>
      </c>
      <c r="M20" s="38"/>
      <c r="N20" s="39">
        <f t="shared" si="1"/>
        <v>0.79775785044538217</v>
      </c>
      <c r="O20">
        <f>SUM(L20:L22)</f>
        <v>981.44209300000011</v>
      </c>
    </row>
    <row r="21" spans="2:36" x14ac:dyDescent="0.35">
      <c r="B21" s="29">
        <v>2016</v>
      </c>
      <c r="C21" s="72">
        <v>165.2</v>
      </c>
      <c r="D21" s="72">
        <v>70.400000000000006</v>
      </c>
      <c r="E21" s="72">
        <v>81.599999999999994</v>
      </c>
      <c r="F21" s="72">
        <v>37.200000000000003</v>
      </c>
      <c r="G21" s="72">
        <v>32.200000000000003</v>
      </c>
      <c r="H21" s="72">
        <v>19.399999999999999</v>
      </c>
      <c r="I21" s="72">
        <v>8.5</v>
      </c>
      <c r="J21" s="35">
        <f t="shared" si="0"/>
        <v>414.49999999999994</v>
      </c>
      <c r="K21" s="69"/>
      <c r="L21">
        <v>324.06901900000003</v>
      </c>
      <c r="M21" s="38"/>
      <c r="N21" s="39">
        <f t="shared" si="1"/>
        <v>0.78183116767189398</v>
      </c>
    </row>
    <row r="22" spans="2:36" x14ac:dyDescent="0.35">
      <c r="B22" s="29">
        <v>2017</v>
      </c>
      <c r="C22" s="28">
        <v>166.6</v>
      </c>
      <c r="D22" s="28">
        <v>64.2</v>
      </c>
      <c r="E22" s="28">
        <v>81.7</v>
      </c>
      <c r="F22" s="28">
        <v>37.6</v>
      </c>
      <c r="G22" s="28">
        <v>31.7</v>
      </c>
      <c r="H22" s="28">
        <v>20.100000000000001</v>
      </c>
      <c r="I22" s="28">
        <v>8.6</v>
      </c>
      <c r="J22" s="35">
        <f t="shared" si="0"/>
        <v>410.50000000000006</v>
      </c>
      <c r="K22" s="69"/>
      <c r="L22">
        <v>317.049575</v>
      </c>
      <c r="M22" s="38"/>
      <c r="N22" s="39">
        <f t="shared" si="1"/>
        <v>0.77234975639464054</v>
      </c>
    </row>
    <row r="23" spans="2:36" x14ac:dyDescent="0.35">
      <c r="B23" s="29">
        <v>2018</v>
      </c>
      <c r="C23" s="28">
        <v>165.3</v>
      </c>
      <c r="D23" s="28">
        <v>65</v>
      </c>
      <c r="E23" s="28">
        <v>81.900000000000006</v>
      </c>
      <c r="F23" s="28">
        <v>37.4</v>
      </c>
      <c r="G23" s="28">
        <v>32.200000000000003</v>
      </c>
      <c r="H23" s="28">
        <v>20.5</v>
      </c>
      <c r="I23" s="28">
        <v>8.6999999999999993</v>
      </c>
      <c r="J23" s="35">
        <f t="shared" si="0"/>
        <v>411</v>
      </c>
      <c r="K23" s="69"/>
      <c r="L23">
        <v>320.95495299999999</v>
      </c>
      <c r="M23" s="38"/>
      <c r="N23" s="39">
        <f t="shared" si="1"/>
        <v>0.78091229440389287</v>
      </c>
      <c r="O23">
        <f>SUM(L23:L24,L25)</f>
        <v>912.24197400000014</v>
      </c>
    </row>
    <row r="24" spans="2:36" x14ac:dyDescent="0.35">
      <c r="B24" s="29">
        <v>2019</v>
      </c>
      <c r="C24" s="28">
        <v>162.4</v>
      </c>
      <c r="D24" s="28">
        <v>60.2</v>
      </c>
      <c r="E24" s="28">
        <v>80.400000000000006</v>
      </c>
      <c r="F24" s="28">
        <v>40.5</v>
      </c>
      <c r="G24" s="28">
        <v>31.4</v>
      </c>
      <c r="H24" s="28">
        <v>20.7</v>
      </c>
      <c r="I24" s="28">
        <v>8.8000000000000007</v>
      </c>
      <c r="J24" s="35">
        <f t="shared" si="0"/>
        <v>404.4</v>
      </c>
      <c r="K24" s="69"/>
      <c r="L24">
        <v>311.74203199999999</v>
      </c>
      <c r="M24" s="38"/>
      <c r="N24" s="39">
        <f t="shared" si="1"/>
        <v>0.77087545004945601</v>
      </c>
    </row>
    <row r="25" spans="2:36" x14ac:dyDescent="0.35">
      <c r="B25" s="29">
        <v>2020</v>
      </c>
      <c r="C25" s="28">
        <v>135.80000000000001</v>
      </c>
      <c r="D25" s="28">
        <v>59.5</v>
      </c>
      <c r="E25" s="28">
        <v>73.3</v>
      </c>
      <c r="F25" s="28">
        <v>38.700000000000003</v>
      </c>
      <c r="G25" s="28">
        <v>31.6</v>
      </c>
      <c r="H25" s="28">
        <v>21.3</v>
      </c>
      <c r="I25" s="28">
        <v>8.9</v>
      </c>
      <c r="J25" s="73">
        <f>SUM(C25:I25)</f>
        <v>369.1</v>
      </c>
      <c r="K25" s="69"/>
      <c r="L25" s="50">
        <v>279.5449890000001</v>
      </c>
      <c r="N25" s="41">
        <f>L25/J25</f>
        <v>0.75736924681658113</v>
      </c>
    </row>
    <row r="26" spans="2:36" x14ac:dyDescent="0.35">
      <c r="B26" s="29">
        <v>2021</v>
      </c>
      <c r="C26" s="4">
        <f>0.874*C24</f>
        <v>141.9376</v>
      </c>
      <c r="D26" s="4" cm="1">
        <f t="array" ref="D26">TREND(D$5:D$24,$B$5:$B$24,$B26)</f>
        <v>63.33932330827065</v>
      </c>
      <c r="E26" s="4" cm="1">
        <f t="array" ref="E26">TREND($E$5:$E$24,$B$5:$B$24,B26)</f>
        <v>78.2086466165415</v>
      </c>
      <c r="F26" s="4" cm="1">
        <f t="array" ref="F26">TREND(F$5:F$24,$B$5:$B$24,$B26)</f>
        <v>37.002932330827093</v>
      </c>
      <c r="G26" s="4" cm="1">
        <f t="array" ref="G26">TREND(G$5:G$24,$B$5:$B$24,$B26)</f>
        <v>33.037518796992487</v>
      </c>
      <c r="H26" s="4" cm="1">
        <f t="array" ref="H26">TREND(H$5:H$24,$B$5:$B$24,$B26)</f>
        <v>23.094962406015156</v>
      </c>
      <c r="I26" s="4" cm="1">
        <f t="array" ref="I26">TREND(I$5:I$24,$B$5:$B$24,$B26)</f>
        <v>8.9691729323308209</v>
      </c>
      <c r="J26" s="36">
        <f>J24+($J$35-$J$24)/10</f>
        <v>402.85999999999996</v>
      </c>
      <c r="K26" s="68"/>
      <c r="L26" s="9">
        <f>J26*N26</f>
        <v>314.53105308606939</v>
      </c>
      <c r="N26" s="12">
        <f>AVERAGE($N$20:$N$24)</f>
        <v>0.78074530379305318</v>
      </c>
      <c r="O26" s="9">
        <f>SUM(L26:L28)</f>
        <v>939.58533336540381</v>
      </c>
      <c r="P26" s="2">
        <f>SUM(J26:J28)</f>
        <v>1203.4466666666665</v>
      </c>
    </row>
    <row r="27" spans="2:36" x14ac:dyDescent="0.35">
      <c r="B27" s="29">
        <v>2022</v>
      </c>
      <c r="C27" s="4" cm="1">
        <f t="array" ref="C27">TREND($C$5:$C$26,$B$5:$B$26,B27)</f>
        <v>148.19774545454584</v>
      </c>
      <c r="D27" s="4" cm="1">
        <f t="array" ref="D27">TREND(D$5:D$24,$B$5:$B$24,$B27)</f>
        <v>60.509699248120342</v>
      </c>
      <c r="E27" s="4" cm="1">
        <f t="array" ref="E27">TREND($E$5:$E$24,$B$5:$B$24,B27)</f>
        <v>77.409398496240783</v>
      </c>
      <c r="F27" s="4" cm="1">
        <f t="array" ref="F27">TREND(F$5:F$24,$B$5:$B$24,$B27)</f>
        <v>36.597969924811991</v>
      </c>
      <c r="G27" s="4" cm="1">
        <f t="array" ref="G27">TREND(G$5:G$24,$B$5:$B$24,$B27)</f>
        <v>33.025563909774448</v>
      </c>
      <c r="H27" s="4" cm="1">
        <f t="array" ref="H27">TREND(H$5:H$24,$B$5:$B$24,$B27)</f>
        <v>23.938872180451426</v>
      </c>
      <c r="I27" s="4" cm="1">
        <f t="array" ref="I27">TREND(I$5:I$24,$B$5:$B$24,$B27)</f>
        <v>9.0551879699247877</v>
      </c>
      <c r="J27" s="36">
        <f>J26+($J$35-$J$24)/9</f>
        <v>401.14888888888885</v>
      </c>
      <c r="K27" s="68"/>
      <c r="L27" s="9">
        <f t="shared" ref="L27:L35" si="2">J27*N27</f>
        <v>313.19511112180123</v>
      </c>
      <c r="N27" s="12">
        <f t="shared" ref="N27:N35" si="3">AVERAGE($N$20:$N$24)</f>
        <v>0.78074530379305318</v>
      </c>
      <c r="O27" s="9"/>
    </row>
    <row r="28" spans="2:36" x14ac:dyDescent="0.35">
      <c r="B28" s="29">
        <v>2023</v>
      </c>
      <c r="C28" s="4" cm="1">
        <f t="array" ref="C28">TREND($C$5:$C$26,$B$5:$B$26,B28)</f>
        <v>146.55747984189748</v>
      </c>
      <c r="D28" s="4" cm="1">
        <f t="array" ref="D28">TREND(D$5:D$24,$B$5:$B$24,$B28)</f>
        <v>57.680075187970033</v>
      </c>
      <c r="E28" s="4" cm="1">
        <f t="array" ref="E28">TREND($E$5:$E$24,$B$5:$B$24,B28)</f>
        <v>76.610150375940066</v>
      </c>
      <c r="F28" s="4" cm="1">
        <f t="array" ref="F28">TREND(F$5:F$24,$B$5:$B$24,$B28)</f>
        <v>36.193007518797003</v>
      </c>
      <c r="G28" s="4" cm="1">
        <f t="array" ref="G28">TREND(G$5:G$24,$B$5:$B$24,$B28)</f>
        <v>33.013609022556395</v>
      </c>
      <c r="H28" s="4" cm="1">
        <f t="array" ref="H28">TREND(H$5:H$24,$B$5:$B$24,$B28)</f>
        <v>24.782781954887469</v>
      </c>
      <c r="I28" s="4" cm="1">
        <f t="array" ref="I28">TREND(I$5:I$24,$B$5:$B$24,$B28)</f>
        <v>9.1412030075187829</v>
      </c>
      <c r="J28" s="36">
        <f t="shared" ref="J28:J34" si="4">J27+($J$35-$J$24)/9</f>
        <v>399.43777777777774</v>
      </c>
      <c r="K28" s="68"/>
      <c r="L28" s="9">
        <f t="shared" si="2"/>
        <v>311.85916915753313</v>
      </c>
      <c r="N28" s="12">
        <f t="shared" si="3"/>
        <v>0.78074530379305318</v>
      </c>
      <c r="O28" s="9"/>
    </row>
    <row r="29" spans="2:36" x14ac:dyDescent="0.35">
      <c r="B29" s="29">
        <v>2024</v>
      </c>
      <c r="C29" s="4" cm="1">
        <f t="array" ref="C29">TREND($C$5:$C$26,$B$5:$B$26,B29)</f>
        <v>144.91721422924911</v>
      </c>
      <c r="D29" s="4" cm="1">
        <f t="array" ref="D29">TREND(D$5:D$24,$B$5:$B$24,$B29)</f>
        <v>54.850451127819724</v>
      </c>
      <c r="E29" s="4" cm="1">
        <f t="array" ref="E29">TREND($E$5:$E$24,$B$5:$B$24,B29)</f>
        <v>75.810902255639348</v>
      </c>
      <c r="F29" s="4" cm="1">
        <f t="array" ref="F29">TREND(F$5:F$24,$B$5:$B$24,$B29)</f>
        <v>35.788045112781901</v>
      </c>
      <c r="G29" s="4" cm="1">
        <f t="array" ref="G29">TREND(G$5:G$24,$B$5:$B$24,$B29)</f>
        <v>33.001654135338356</v>
      </c>
      <c r="H29" s="4" cm="1">
        <f t="array" ref="H29">TREND(H$5:H$24,$B$5:$B$24,$B29)</f>
        <v>25.626691729323511</v>
      </c>
      <c r="I29" s="4" cm="1">
        <f t="array" ref="I29">TREND(I$5:I$24,$B$5:$B$24,$B29)</f>
        <v>9.2272180451127781</v>
      </c>
      <c r="J29" s="36">
        <f t="shared" si="4"/>
        <v>397.72666666666663</v>
      </c>
      <c r="K29" s="68"/>
      <c r="L29" s="9">
        <f t="shared" si="2"/>
        <v>310.52322719326503</v>
      </c>
      <c r="N29" s="12">
        <f t="shared" si="3"/>
        <v>0.78074530379305318</v>
      </c>
      <c r="O29" s="9">
        <f>SUM(L29:L31)</f>
        <v>927.56185568699073</v>
      </c>
      <c r="P29" s="2">
        <f>SUM(J29:J31)</f>
        <v>1188.0466666666666</v>
      </c>
    </row>
    <row r="30" spans="2:36" x14ac:dyDescent="0.35">
      <c r="B30" s="29">
        <v>2025</v>
      </c>
      <c r="C30" s="4" cm="1">
        <f t="array" ref="C30">TREND($C$5:$C$26,$B$5:$B$26,B30)</f>
        <v>143.2769486166012</v>
      </c>
      <c r="D30" s="4" cm="1">
        <f t="array" ref="D30">TREND(D$5:D$24,$B$5:$B$24,$B30)</f>
        <v>52.020827067669416</v>
      </c>
      <c r="E30" s="4" cm="1">
        <f t="array" ref="E30">TREND($E$5:$E$24,$B$5:$B$24,B30)</f>
        <v>75.011654135338404</v>
      </c>
      <c r="F30" s="4" cm="1">
        <f t="array" ref="F30">TREND(F$5:F$24,$B$5:$B$24,$B30)</f>
        <v>35.383082706766913</v>
      </c>
      <c r="G30" s="4" cm="1">
        <f t="array" ref="G30">TREND(G$5:G$24,$B$5:$B$24,$B30)</f>
        <v>32.98969924812031</v>
      </c>
      <c r="H30" s="4" cm="1">
        <f t="array" ref="H30">TREND(H$5:H$24,$B$5:$B$24,$B30)</f>
        <v>26.470601503759553</v>
      </c>
      <c r="I30" s="4" cm="1">
        <f t="array" ref="I30">TREND(I$5:I$24,$B$5:$B$24,$B30)</f>
        <v>9.3132330827067449</v>
      </c>
      <c r="J30" s="36">
        <f t="shared" si="4"/>
        <v>396.01555555555552</v>
      </c>
      <c r="K30" s="68"/>
      <c r="L30" s="9">
        <f>J30*N30</f>
        <v>309.18728522899693</v>
      </c>
      <c r="N30" s="12">
        <f t="shared" si="3"/>
        <v>0.78074530379305318</v>
      </c>
      <c r="O30" s="9"/>
    </row>
    <row r="31" spans="2:36" x14ac:dyDescent="0.35">
      <c r="B31" s="29">
        <v>2026</v>
      </c>
      <c r="C31" s="4" cm="1">
        <f t="array" ref="C31">TREND($C$5:$C$26,$B$5:$B$26,B31)</f>
        <v>141.63668300395284</v>
      </c>
      <c r="D31" s="4" cm="1">
        <f t="array" ref="D31">TREND(D$5:D$24,$B$5:$B$24,$B31)</f>
        <v>49.191203007519107</v>
      </c>
      <c r="E31" s="4" cm="1">
        <f t="array" ref="E31">TREND($E$5:$E$24,$B$5:$B$24,B31)</f>
        <v>74.212406015037686</v>
      </c>
      <c r="F31" s="4" cm="1">
        <f t="array" ref="F31">TREND(F$5:F$24,$B$5:$B$24,$B31)</f>
        <v>34.978120300751925</v>
      </c>
      <c r="G31" s="4" cm="1">
        <f t="array" ref="G31">TREND(G$5:G$24,$B$5:$B$24,$B31)</f>
        <v>32.977744360902264</v>
      </c>
      <c r="H31" s="4" cm="1">
        <f t="array" ref="H31">TREND(H$5:H$24,$B$5:$B$24,$B31)</f>
        <v>27.314511278195596</v>
      </c>
      <c r="I31" s="4" cm="1">
        <f t="array" ref="I31">TREND(I$5:I$24,$B$5:$B$24,$B31)</f>
        <v>9.3992481203007401</v>
      </c>
      <c r="J31" s="36">
        <f t="shared" si="4"/>
        <v>394.30444444444441</v>
      </c>
      <c r="K31" s="68"/>
      <c r="L31" s="9">
        <f t="shared" si="2"/>
        <v>307.85134326472883</v>
      </c>
      <c r="N31" s="12">
        <f t="shared" si="3"/>
        <v>0.78074530379305318</v>
      </c>
      <c r="O31" s="9"/>
    </row>
    <row r="32" spans="2:36" x14ac:dyDescent="0.35">
      <c r="B32" s="29">
        <v>2027</v>
      </c>
      <c r="C32" s="4" cm="1">
        <f t="array" ref="C32">TREND($C$5:$C$26,$B$5:$B$26,B32)</f>
        <v>139.99641739130448</v>
      </c>
      <c r="D32" s="4" cm="1">
        <f t="array" ref="D32">TREND(D$5:D$24,$B$5:$B$24,$B32)</f>
        <v>46.361578947368798</v>
      </c>
      <c r="E32" s="4" cm="1">
        <f t="array" ref="E32">TREND($E$5:$E$24,$B$5:$B$24,B32)</f>
        <v>73.413157894736969</v>
      </c>
      <c r="F32" s="4" cm="1">
        <f t="array" ref="F32">TREND(F$5:F$24,$B$5:$B$24,$B32)</f>
        <v>34.573157894736823</v>
      </c>
      <c r="G32" s="4" cm="1">
        <f t="array" ref="G32">TREND(G$5:G$24,$B$5:$B$24,$B32)</f>
        <v>32.965789473684218</v>
      </c>
      <c r="H32" s="4" cm="1">
        <f t="array" ref="H32">TREND(H$5:H$24,$B$5:$B$24,$B32)</f>
        <v>28.158421052631866</v>
      </c>
      <c r="I32" s="4" cm="1">
        <f t="array" ref="I32">TREND(I$5:I$24,$B$5:$B$24,$B32)</f>
        <v>9.4852631578947353</v>
      </c>
      <c r="J32" s="36">
        <f t="shared" si="4"/>
        <v>392.59333333333331</v>
      </c>
      <c r="K32" s="68"/>
      <c r="L32" s="9">
        <f t="shared" si="2"/>
        <v>306.51540130046072</v>
      </c>
      <c r="N32" s="12">
        <f t="shared" si="3"/>
        <v>0.78074530379305318</v>
      </c>
      <c r="O32" s="9">
        <f>SUM(L32:L34)</f>
        <v>915.53837800857775</v>
      </c>
      <c r="P32" s="2">
        <f>SUM(J32:J34)</f>
        <v>1172.6466666666665</v>
      </c>
    </row>
    <row r="33" spans="2:17" x14ac:dyDescent="0.35">
      <c r="B33" s="29">
        <v>2028</v>
      </c>
      <c r="C33" s="4" cm="1">
        <f t="array" ref="C33">TREND($C$5:$C$26,$B$5:$B$26,B33)</f>
        <v>138.35615177865657</v>
      </c>
      <c r="D33" s="4" cm="1">
        <f t="array" ref="D33">TREND(D$5:D$24,$B$5:$B$24,$B33)</f>
        <v>43.53195488721758</v>
      </c>
      <c r="E33" s="4" cm="1">
        <f t="array" ref="E33">TREND($E$5:$E$24,$B$5:$B$24,B33)</f>
        <v>72.613909774436252</v>
      </c>
      <c r="F33" s="4" cm="1">
        <f t="array" ref="F33">TREND(F$5:F$24,$B$5:$B$24,$B33)</f>
        <v>34.168195488721835</v>
      </c>
      <c r="G33" s="4" cm="1">
        <f t="array" ref="G33">TREND(G$5:G$24,$B$5:$B$24,$B33)</f>
        <v>32.953834586466172</v>
      </c>
      <c r="H33" s="4" cm="1">
        <f t="array" ref="H33">TREND(H$5:H$24,$B$5:$B$24,$B33)</f>
        <v>29.002330827067908</v>
      </c>
      <c r="I33" s="4" cm="1">
        <f t="array" ref="I33">TREND(I$5:I$24,$B$5:$B$24,$B33)</f>
        <v>9.5712781954887021</v>
      </c>
      <c r="J33" s="36">
        <f t="shared" si="4"/>
        <v>390.8822222222222</v>
      </c>
      <c r="K33" s="68"/>
      <c r="L33" s="9">
        <f t="shared" si="2"/>
        <v>305.17945933619256</v>
      </c>
      <c r="N33" s="12">
        <f>AVERAGE($N$20:$N$24)</f>
        <v>0.78074530379305318</v>
      </c>
    </row>
    <row r="34" spans="2:17" x14ac:dyDescent="0.35">
      <c r="B34" s="29">
        <v>2029</v>
      </c>
      <c r="C34" s="4" cm="1">
        <f t="array" ref="C34">TREND($C$5:$C$26,$B$5:$B$26,B34)</f>
        <v>136.7158861660082</v>
      </c>
      <c r="D34" s="4" cm="1">
        <f t="array" ref="D34">TREND(D$5:D$24,$B$5:$B$24,$B34)</f>
        <v>40.702330827067271</v>
      </c>
      <c r="E34" s="4" cm="1">
        <f t="array" ref="E34">TREND($E$5:$E$24,$B$5:$B$24,B34)</f>
        <v>71.814661654135534</v>
      </c>
      <c r="F34" s="4" cm="1">
        <f t="array" ref="F34">TREND(F$5:F$24,$B$5:$B$24,$B34)</f>
        <v>33.763233082706734</v>
      </c>
      <c r="G34" s="4" cm="1">
        <f t="array" ref="G34">TREND(G$5:G$24,$B$5:$B$24,$B34)</f>
        <v>32.941879699248133</v>
      </c>
      <c r="H34" s="4" cm="1">
        <f t="array" ref="H34">TREND(H$5:H$24,$B$5:$B$24,$B34)</f>
        <v>29.846240601503951</v>
      </c>
      <c r="I34" s="4" cm="1">
        <f t="array" ref="I34">TREND(I$5:I$24,$B$5:$B$24,$B34)</f>
        <v>9.6572932330826973</v>
      </c>
      <c r="J34" s="36">
        <f t="shared" si="4"/>
        <v>389.17111111111109</v>
      </c>
      <c r="K34" s="68"/>
      <c r="L34" s="9">
        <f t="shared" si="2"/>
        <v>303.84351737192446</v>
      </c>
      <c r="N34" s="12">
        <f t="shared" si="3"/>
        <v>0.78074530379305318</v>
      </c>
    </row>
    <row r="35" spans="2:17" x14ac:dyDescent="0.35">
      <c r="B35" s="29">
        <v>2030</v>
      </c>
      <c r="C35" s="4" cm="1">
        <f t="array" ref="C35">TREND($C$5:$C$26,$B$5:$B$26,B35)</f>
        <v>135.07562055335984</v>
      </c>
      <c r="D35" s="4" cm="1">
        <f t="array" ref="D35">TREND(D$5:D$24,$B$5:$B$24,$B35)</f>
        <v>37.872706766916963</v>
      </c>
      <c r="E35" s="4" cm="1">
        <f t="array" ref="E35">TREND($E$5:$E$24,$B$5:$B$24,B35)</f>
        <v>71.015413533834817</v>
      </c>
      <c r="F35" s="4" cm="1">
        <f t="array" ref="F35">TREND(F$5:F$24,$B$5:$B$24,$B35)</f>
        <v>33.358270676691745</v>
      </c>
      <c r="G35" s="4" cm="1">
        <f t="array" ref="G35">TREND(G$5:G$24,$B$5:$B$24,$B35)</f>
        <v>32.92992481203008</v>
      </c>
      <c r="H35" s="4" cm="1">
        <f t="array" ref="H35">TREND(H$5:H$24,$B$5:$B$24,$B35)</f>
        <v>30.690150375939993</v>
      </c>
      <c r="I35" s="4" cm="1">
        <f t="array" ref="I35">TREND(I$5:I$24,$B$5:$B$24,$B35)</f>
        <v>9.7433082706766641</v>
      </c>
      <c r="J35" s="65">
        <v>389</v>
      </c>
      <c r="K35" s="68"/>
      <c r="L35" s="9">
        <f t="shared" si="2"/>
        <v>303.70992317549769</v>
      </c>
      <c r="N35" s="12">
        <f t="shared" si="3"/>
        <v>0.78074530379305318</v>
      </c>
    </row>
    <row r="37" spans="2:17" x14ac:dyDescent="0.35">
      <c r="L37" s="84"/>
    </row>
    <row r="39" spans="2:17" x14ac:dyDescent="0.35">
      <c r="O39" s="7"/>
      <c r="Q39" s="7"/>
    </row>
    <row r="40" spans="2:17" x14ac:dyDescent="0.35">
      <c r="K40" s="78"/>
      <c r="P40" s="8"/>
    </row>
    <row r="41" spans="2:17" x14ac:dyDescent="0.35">
      <c r="K41" s="78"/>
    </row>
    <row r="42" spans="2:17" x14ac:dyDescent="0.35">
      <c r="F42" s="11"/>
      <c r="K42" s="78"/>
      <c r="L42" s="84"/>
    </row>
    <row r="46" spans="2:17" x14ac:dyDescent="0.35">
      <c r="P46" s="9"/>
    </row>
    <row r="47" spans="2:17" x14ac:dyDescent="0.35">
      <c r="O47" s="9"/>
      <c r="P47" s="9"/>
      <c r="Q47" s="9"/>
    </row>
    <row r="48" spans="2:17" x14ac:dyDescent="0.35">
      <c r="O48" s="9"/>
      <c r="P48" s="9"/>
      <c r="Q48" s="9"/>
    </row>
    <row r="49" spans="15:17" x14ac:dyDescent="0.35">
      <c r="O49" s="9"/>
      <c r="P49" s="9"/>
      <c r="Q49" s="9"/>
    </row>
    <row r="50" spans="15:17" x14ac:dyDescent="0.35">
      <c r="O50" s="9"/>
      <c r="P50" s="9"/>
      <c r="Q50" s="9"/>
    </row>
    <row r="51" spans="15:17" x14ac:dyDescent="0.35">
      <c r="O51" s="9"/>
      <c r="P51" s="9"/>
      <c r="Q51" s="9"/>
    </row>
    <row r="52" spans="15:17" x14ac:dyDescent="0.35">
      <c r="O52" s="9"/>
      <c r="P52" s="9"/>
      <c r="Q52" s="9"/>
    </row>
    <row r="53" spans="15:17" x14ac:dyDescent="0.35">
      <c r="O53" s="9"/>
      <c r="P53" s="9"/>
      <c r="Q53" s="9"/>
    </row>
    <row r="54" spans="15:17" x14ac:dyDescent="0.35">
      <c r="O54" s="9"/>
      <c r="P54" s="9"/>
      <c r="Q54" s="9"/>
    </row>
    <row r="55" spans="15:17" x14ac:dyDescent="0.35">
      <c r="O55" s="9"/>
      <c r="P55" s="9"/>
    </row>
    <row r="58" spans="15:17" x14ac:dyDescent="0.35">
      <c r="O58" s="13"/>
      <c r="P58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C030-8D4A-42B2-A888-0E7D80745F79}">
  <dimension ref="A1:M41"/>
  <sheetViews>
    <sheetView zoomScale="55" zoomScaleNormal="70" workbookViewId="0">
      <selection activeCell="B5" sqref="B5"/>
    </sheetView>
  </sheetViews>
  <sheetFormatPr baseColWidth="10" defaultRowHeight="14.5" x14ac:dyDescent="0.35"/>
  <cols>
    <col min="2" max="2" width="23.81640625" customWidth="1"/>
    <col min="3" max="8" width="26.6328125" style="1" customWidth="1"/>
    <col min="9" max="10" width="26.08984375" style="19" customWidth="1"/>
    <col min="11" max="11" width="19" style="2" customWidth="1"/>
    <col min="12" max="12" width="30.6328125" style="2" customWidth="1"/>
    <col min="13" max="13" width="16.36328125" customWidth="1"/>
  </cols>
  <sheetData>
    <row r="1" spans="1:13" ht="23.5" x14ac:dyDescent="0.55000000000000004">
      <c r="B1" s="44" t="s">
        <v>39</v>
      </c>
    </row>
    <row r="4" spans="1:13" x14ac:dyDescent="0.35">
      <c r="B4" t="s">
        <v>14</v>
      </c>
      <c r="C4" s="1" t="s">
        <v>3</v>
      </c>
      <c r="D4" s="1" t="s">
        <v>32</v>
      </c>
      <c r="E4" s="1" t="s">
        <v>33</v>
      </c>
      <c r="F4" s="1" t="s">
        <v>4</v>
      </c>
      <c r="G4" s="1" t="s">
        <v>34</v>
      </c>
      <c r="H4" s="1" t="s">
        <v>35</v>
      </c>
      <c r="I4" s="19" t="s">
        <v>36</v>
      </c>
      <c r="K4" s="2" t="s">
        <v>15</v>
      </c>
      <c r="L4" s="2" t="s">
        <v>17</v>
      </c>
      <c r="M4" s="2" t="s">
        <v>1</v>
      </c>
    </row>
    <row r="5" spans="1:13" x14ac:dyDescent="0.35">
      <c r="B5">
        <v>2000</v>
      </c>
      <c r="C5" s="38">
        <v>31.033000000000001</v>
      </c>
      <c r="D5" s="2">
        <v>29.466000000000001</v>
      </c>
      <c r="E5" s="38">
        <v>11.760999999999999</v>
      </c>
      <c r="F5" s="38">
        <v>7.1689999999999996</v>
      </c>
      <c r="G5" s="8">
        <v>6.7130000000000001</v>
      </c>
      <c r="H5" s="38">
        <v>0.33200000000000002</v>
      </c>
      <c r="M5" s="2"/>
    </row>
    <row r="6" spans="1:13" x14ac:dyDescent="0.35">
      <c r="B6">
        <v>2001</v>
      </c>
      <c r="C6" s="2">
        <v>30.404</v>
      </c>
      <c r="D6" s="38">
        <v>28.256</v>
      </c>
      <c r="E6" s="38">
        <v>10.954000000000001</v>
      </c>
      <c r="F6" s="63">
        <v>7.4530000000000003</v>
      </c>
      <c r="G6" s="8">
        <v>6.9219999999999997</v>
      </c>
      <c r="H6" s="60">
        <v>0.36599999999999999</v>
      </c>
      <c r="M6" s="2"/>
    </row>
    <row r="7" spans="1:13" x14ac:dyDescent="0.35">
      <c r="A7" s="16"/>
      <c r="B7">
        <v>2002</v>
      </c>
      <c r="C7" s="58">
        <v>31.138000000000002</v>
      </c>
      <c r="D7" s="2">
        <v>28.568999999999999</v>
      </c>
      <c r="E7" s="58">
        <v>11.638999999999999</v>
      </c>
      <c r="F7" s="64">
        <v>7.492</v>
      </c>
      <c r="G7" s="58">
        <v>7.0010000000000003</v>
      </c>
      <c r="H7" s="58">
        <v>0.23599999999999999</v>
      </c>
      <c r="I7" s="20">
        <v>86.075000000000017</v>
      </c>
      <c r="J7" s="20"/>
      <c r="L7" s="3"/>
      <c r="M7" s="11"/>
    </row>
    <row r="8" spans="1:13" x14ac:dyDescent="0.35">
      <c r="A8" s="16"/>
      <c r="B8">
        <v>2003</v>
      </c>
      <c r="C8" s="2">
        <v>33.091000000000001</v>
      </c>
      <c r="D8" s="2">
        <v>29.396000000000001</v>
      </c>
      <c r="E8" s="2">
        <v>12.943</v>
      </c>
      <c r="F8" s="38">
        <v>7.45</v>
      </c>
      <c r="G8" s="2">
        <v>7.1820000000000004</v>
      </c>
      <c r="H8" s="2">
        <v>1.51</v>
      </c>
      <c r="I8" s="20">
        <v>91.572000000000017</v>
      </c>
      <c r="J8" s="20"/>
      <c r="L8" s="18"/>
      <c r="M8" s="11"/>
    </row>
    <row r="9" spans="1:13" x14ac:dyDescent="0.35">
      <c r="A9" s="16"/>
      <c r="B9">
        <v>2004</v>
      </c>
      <c r="C9" s="2">
        <v>33.503999999999998</v>
      </c>
      <c r="D9" s="2">
        <v>29.518999999999998</v>
      </c>
      <c r="E9" s="2">
        <v>12.522</v>
      </c>
      <c r="F9" s="38">
        <v>7.6840000000000002</v>
      </c>
      <c r="G9" s="2">
        <v>6.5890000000000004</v>
      </c>
      <c r="H9" s="2">
        <v>1.2549999999999999</v>
      </c>
      <c r="I9" s="20">
        <v>91.072999999999993</v>
      </c>
      <c r="J9" s="20"/>
      <c r="L9" s="18"/>
    </row>
    <row r="10" spans="1:13" x14ac:dyDescent="0.35">
      <c r="A10" s="16"/>
      <c r="B10">
        <v>2005</v>
      </c>
      <c r="C10" s="2">
        <v>33.277999999999999</v>
      </c>
      <c r="D10" s="2">
        <v>28.803999999999998</v>
      </c>
      <c r="E10" s="2">
        <v>11.353999999999999</v>
      </c>
      <c r="F10" s="38">
        <v>7.6459999999999999</v>
      </c>
      <c r="G10" s="2">
        <v>6.7969999999999997</v>
      </c>
      <c r="H10" s="2">
        <v>0.378</v>
      </c>
      <c r="I10" s="20">
        <v>88.256999999999991</v>
      </c>
      <c r="J10" s="20"/>
      <c r="L10" s="18"/>
    </row>
    <row r="11" spans="1:13" x14ac:dyDescent="0.35">
      <c r="A11" s="16"/>
      <c r="B11">
        <v>2006</v>
      </c>
      <c r="C11" s="2">
        <v>33.235999999999997</v>
      </c>
      <c r="D11" s="2">
        <v>29.184000000000001</v>
      </c>
      <c r="E11" s="2">
        <v>10.097</v>
      </c>
      <c r="F11" s="38">
        <v>7.6360000000000001</v>
      </c>
      <c r="G11" s="2">
        <v>6.8940000000000001</v>
      </c>
      <c r="H11" s="2">
        <v>0.214</v>
      </c>
      <c r="I11" s="20">
        <v>87.260999999999996</v>
      </c>
      <c r="J11" s="20"/>
      <c r="K11" s="4"/>
      <c r="L11" s="5"/>
    </row>
    <row r="12" spans="1:13" x14ac:dyDescent="0.35">
      <c r="A12" s="16"/>
      <c r="B12">
        <v>2007</v>
      </c>
      <c r="C12" s="2">
        <v>34.593000000000004</v>
      </c>
      <c r="D12" s="2">
        <v>30.649000000000001</v>
      </c>
      <c r="E12" s="2">
        <v>10.500999999999999</v>
      </c>
      <c r="F12" s="38">
        <v>7.79</v>
      </c>
      <c r="G12" s="2">
        <v>7.1159999999999997</v>
      </c>
      <c r="H12" s="2">
        <v>0.25</v>
      </c>
      <c r="I12" s="20">
        <v>90.899000000000015</v>
      </c>
      <c r="J12" s="20"/>
      <c r="K12" s="4"/>
      <c r="L12" s="5"/>
    </row>
    <row r="13" spans="1:13" x14ac:dyDescent="0.35">
      <c r="A13" s="16"/>
      <c r="B13">
        <v>2008</v>
      </c>
      <c r="C13" s="2">
        <v>34.848999999999997</v>
      </c>
      <c r="D13" s="2">
        <v>27.645</v>
      </c>
      <c r="E13" s="2">
        <v>9.5030000000000001</v>
      </c>
      <c r="F13" s="38">
        <v>7.75</v>
      </c>
      <c r="G13" s="2">
        <v>6.9950000000000001</v>
      </c>
      <c r="H13" s="2">
        <v>0.23300000000000001</v>
      </c>
      <c r="I13" s="20">
        <v>86.975000000000009</v>
      </c>
      <c r="J13" s="20"/>
      <c r="K13" s="4"/>
      <c r="L13" s="5"/>
    </row>
    <row r="14" spans="1:13" x14ac:dyDescent="0.35">
      <c r="A14" s="16"/>
      <c r="B14">
        <v>2009</v>
      </c>
      <c r="C14" s="2">
        <v>34.58</v>
      </c>
      <c r="D14" s="2">
        <v>26.271000000000001</v>
      </c>
      <c r="E14" s="2">
        <v>10.218999999999999</v>
      </c>
      <c r="F14" s="38">
        <v>7.7069999999999999</v>
      </c>
      <c r="G14" s="2">
        <v>6.9059999999999997</v>
      </c>
      <c r="H14" s="2">
        <v>0.38200000000000001</v>
      </c>
      <c r="I14" s="20">
        <v>86.064999999999998</v>
      </c>
      <c r="J14" s="20"/>
      <c r="K14" s="4"/>
      <c r="L14" s="5"/>
    </row>
    <row r="15" spans="1:13" x14ac:dyDescent="0.35">
      <c r="A15" s="16"/>
      <c r="B15">
        <v>2010</v>
      </c>
      <c r="C15" s="2">
        <v>34.450000000000003</v>
      </c>
      <c r="D15" s="2">
        <v>25.515000000000001</v>
      </c>
      <c r="E15" s="2">
        <v>9.2309999999999999</v>
      </c>
      <c r="F15" s="60">
        <v>7.7149999999999999</v>
      </c>
      <c r="G15" s="2">
        <v>6.7279999999999998</v>
      </c>
      <c r="H15" s="2">
        <v>0.20799999999999999</v>
      </c>
      <c r="I15" s="20">
        <v>83.846999999999994</v>
      </c>
      <c r="J15" s="20"/>
      <c r="K15" s="4"/>
      <c r="L15" s="5"/>
    </row>
    <row r="16" spans="1:13" x14ac:dyDescent="0.35">
      <c r="A16" s="16"/>
      <c r="B16">
        <v>2011</v>
      </c>
      <c r="C16" s="2">
        <v>35.762</v>
      </c>
      <c r="D16" s="2">
        <v>25.32</v>
      </c>
      <c r="E16" s="2">
        <v>8.9280000000000008</v>
      </c>
      <c r="F16" s="38">
        <v>7.7069999999999999</v>
      </c>
      <c r="G16" s="2">
        <v>6.6390000000000002</v>
      </c>
      <c r="H16" s="2">
        <v>0.215</v>
      </c>
      <c r="I16" s="20">
        <v>84.570999999999998</v>
      </c>
      <c r="J16" s="20"/>
      <c r="K16" s="4"/>
      <c r="L16" s="5"/>
    </row>
    <row r="17" spans="1:13" x14ac:dyDescent="0.35">
      <c r="A17" s="16"/>
      <c r="B17">
        <v>2012</v>
      </c>
      <c r="C17" s="2">
        <v>35.17</v>
      </c>
      <c r="D17" s="2">
        <v>25.407</v>
      </c>
      <c r="E17" s="2">
        <v>7.7160000000000002</v>
      </c>
      <c r="F17" s="38">
        <v>7.7770000000000001</v>
      </c>
      <c r="G17" s="2">
        <v>6.5350000000000001</v>
      </c>
      <c r="H17" s="2">
        <v>0.20699999999999999</v>
      </c>
      <c r="I17" s="20">
        <v>82.811999999999983</v>
      </c>
      <c r="J17" s="20"/>
      <c r="K17" s="4"/>
      <c r="L17" s="5"/>
    </row>
    <row r="18" spans="1:13" x14ac:dyDescent="0.35">
      <c r="A18" s="16"/>
      <c r="B18">
        <v>2013</v>
      </c>
      <c r="C18" s="2">
        <v>34.674999999999997</v>
      </c>
      <c r="D18" s="2">
        <v>25.387</v>
      </c>
      <c r="E18" s="2">
        <v>7.8879999999999999</v>
      </c>
      <c r="F18" s="38">
        <v>7.8719999999999999</v>
      </c>
      <c r="G18" s="2">
        <v>6.5019999999999998</v>
      </c>
      <c r="H18" s="2">
        <v>0.214</v>
      </c>
      <c r="I18" s="20">
        <v>82.537999999999997</v>
      </c>
      <c r="J18" s="20"/>
      <c r="K18" s="24">
        <f>SUM(I18:I19)</f>
        <v>163.49799999999999</v>
      </c>
      <c r="L18" s="17">
        <v>36.664703000000003</v>
      </c>
      <c r="M18" s="11">
        <f>L18/K18</f>
        <v>0.22425169115218538</v>
      </c>
    </row>
    <row r="19" spans="1:13" x14ac:dyDescent="0.35">
      <c r="A19" s="16"/>
      <c r="B19">
        <v>2014</v>
      </c>
      <c r="C19" s="2">
        <v>33.048999999999999</v>
      </c>
      <c r="D19" s="2">
        <v>25.35</v>
      </c>
      <c r="E19" s="2">
        <v>8.1890000000000001</v>
      </c>
      <c r="F19" s="2">
        <v>7.6890000000000001</v>
      </c>
      <c r="G19" s="2">
        <v>6.4610000000000003</v>
      </c>
      <c r="H19" s="2">
        <v>0.222</v>
      </c>
      <c r="I19" s="20">
        <v>80.95999999999998</v>
      </c>
      <c r="J19" s="20"/>
      <c r="L19" s="17"/>
    </row>
    <row r="20" spans="1:13" x14ac:dyDescent="0.35">
      <c r="A20" s="56"/>
      <c r="B20">
        <v>2015</v>
      </c>
      <c r="C20" s="2">
        <v>33.625999999999998</v>
      </c>
      <c r="D20" s="2">
        <v>24.358000000000001</v>
      </c>
      <c r="E20" s="2">
        <v>8.2729999999999997</v>
      </c>
      <c r="F20" s="2">
        <v>7.774</v>
      </c>
      <c r="G20" s="2">
        <v>6.6970000000000001</v>
      </c>
      <c r="H20" s="2">
        <v>0.19400000000000001</v>
      </c>
      <c r="I20" s="20">
        <v>80.921999999999997</v>
      </c>
      <c r="J20" s="20"/>
      <c r="K20" s="2">
        <f>SUM(I20:I22)</f>
        <v>245.053</v>
      </c>
      <c r="L20" s="2">
        <v>176.14551800000001</v>
      </c>
      <c r="M20" s="11">
        <f>L20/K20</f>
        <v>0.71880580119402748</v>
      </c>
    </row>
    <row r="21" spans="1:13" x14ac:dyDescent="0.35">
      <c r="B21">
        <v>2016</v>
      </c>
      <c r="C21" s="2">
        <v>34.085000000000001</v>
      </c>
      <c r="D21" s="2">
        <v>23.472000000000001</v>
      </c>
      <c r="E21" s="2">
        <v>8.2609999999999992</v>
      </c>
      <c r="F21" s="2">
        <v>7.8090000000000002</v>
      </c>
      <c r="G21" s="2">
        <v>6.9960000000000004</v>
      </c>
      <c r="H21" s="2">
        <v>0.22600000000000001</v>
      </c>
      <c r="I21" s="20">
        <v>80.84899999999999</v>
      </c>
      <c r="J21" s="20"/>
      <c r="M21" s="11"/>
    </row>
    <row r="22" spans="1:13" x14ac:dyDescent="0.35">
      <c r="B22">
        <v>2017</v>
      </c>
      <c r="C22" s="2">
        <v>35.805</v>
      </c>
      <c r="D22" s="2">
        <v>24.521000000000001</v>
      </c>
      <c r="E22" s="2">
        <v>8.2780000000000005</v>
      </c>
      <c r="F22" s="2">
        <v>7.7009999999999996</v>
      </c>
      <c r="G22" s="2">
        <v>6.7510000000000003</v>
      </c>
      <c r="H22" s="2">
        <v>0.22600000000000001</v>
      </c>
      <c r="I22" s="20">
        <v>83.281999999999996</v>
      </c>
      <c r="J22" s="20"/>
      <c r="M22" s="11"/>
    </row>
    <row r="23" spans="1:13" x14ac:dyDescent="0.35">
      <c r="B23">
        <v>2018</v>
      </c>
      <c r="C23" s="2">
        <v>35.094000000000001</v>
      </c>
      <c r="D23" s="2">
        <v>24.532</v>
      </c>
      <c r="E23" s="2">
        <v>8.0559999999999992</v>
      </c>
      <c r="F23" s="2">
        <v>7.7539999999999996</v>
      </c>
      <c r="G23" s="2">
        <v>6.6040000000000001</v>
      </c>
      <c r="H23" s="2">
        <v>0.23300000000000001</v>
      </c>
      <c r="I23" s="20">
        <v>82.27300000000001</v>
      </c>
      <c r="J23" s="20"/>
      <c r="K23" s="4">
        <f>SUM(I23:I25)</f>
        <v>240.60300000000001</v>
      </c>
      <c r="L23" s="2">
        <v>178.17858699999999</v>
      </c>
      <c r="M23" s="11">
        <f>L23/K23</f>
        <v>0.74055014692252374</v>
      </c>
    </row>
    <row r="24" spans="1:13" x14ac:dyDescent="0.35">
      <c r="B24">
        <v>2019</v>
      </c>
      <c r="C24" s="2">
        <v>36.520000000000003</v>
      </c>
      <c r="D24" s="2">
        <v>24.798999999999999</v>
      </c>
      <c r="E24" s="2">
        <v>8.4220000000000006</v>
      </c>
      <c r="F24" s="2">
        <v>7.7759999999999998</v>
      </c>
      <c r="G24" s="2">
        <v>6.5839999999999996</v>
      </c>
      <c r="H24" s="2">
        <v>0.219</v>
      </c>
      <c r="I24" s="20">
        <v>84.32</v>
      </c>
      <c r="J24" s="20"/>
      <c r="K24" s="4"/>
    </row>
    <row r="25" spans="1:13" x14ac:dyDescent="0.35">
      <c r="B25">
        <v>2020</v>
      </c>
      <c r="C25">
        <v>31.64</v>
      </c>
      <c r="D25">
        <v>22.67</v>
      </c>
      <c r="E25">
        <v>7.1</v>
      </c>
      <c r="F25">
        <v>7.88</v>
      </c>
      <c r="G25">
        <v>4.49</v>
      </c>
      <c r="H25">
        <v>0.23</v>
      </c>
      <c r="I25" s="61">
        <f>SUM(C25:H25)</f>
        <v>74.010000000000005</v>
      </c>
      <c r="J25" s="74"/>
      <c r="K25" s="4"/>
    </row>
    <row r="26" spans="1:13" x14ac:dyDescent="0.35">
      <c r="B26">
        <v>2021</v>
      </c>
      <c r="C26" s="21"/>
      <c r="D26" s="21"/>
      <c r="E26" s="21"/>
      <c r="F26" s="21"/>
      <c r="G26" s="21"/>
      <c r="H26" s="21"/>
      <c r="I26" s="23">
        <f>I25+($I$35-$I$25)/10</f>
        <v>74.509</v>
      </c>
      <c r="J26" s="70"/>
      <c r="K26" s="4">
        <f>SUM(I26:I28)</f>
        <v>225.024</v>
      </c>
      <c r="L26" s="4">
        <f>K26*M26</f>
        <v>175.51872</v>
      </c>
      <c r="M26" s="25">
        <v>0.78</v>
      </c>
    </row>
    <row r="27" spans="1:13" x14ac:dyDescent="0.35">
      <c r="B27">
        <v>2022</v>
      </c>
      <c r="C27" s="21"/>
      <c r="D27" s="21"/>
      <c r="E27" s="21"/>
      <c r="F27" s="21"/>
      <c r="G27" s="21"/>
      <c r="H27" s="21"/>
      <c r="I27" s="23">
        <f t="shared" ref="I27:I34" si="0">I26+($I$35-$I$25)/10</f>
        <v>75.007999999999996</v>
      </c>
      <c r="J27" s="70"/>
      <c r="K27" s="4"/>
      <c r="L27" s="4"/>
      <c r="M27" s="9"/>
    </row>
    <row r="28" spans="1:13" x14ac:dyDescent="0.35">
      <c r="B28">
        <v>2023</v>
      </c>
      <c r="C28" s="21"/>
      <c r="D28" s="21"/>
      <c r="E28" s="21"/>
      <c r="F28" s="21"/>
      <c r="G28" s="21"/>
      <c r="H28" s="21"/>
      <c r="I28" s="23">
        <f t="shared" si="0"/>
        <v>75.506999999999991</v>
      </c>
      <c r="J28" s="70"/>
      <c r="K28" s="4"/>
      <c r="L28" s="4"/>
      <c r="M28" s="9"/>
    </row>
    <row r="29" spans="1:13" x14ac:dyDescent="0.35">
      <c r="B29">
        <v>2024</v>
      </c>
      <c r="C29" s="21"/>
      <c r="D29" s="21"/>
      <c r="E29" s="21"/>
      <c r="F29" s="21"/>
      <c r="G29" s="21"/>
      <c r="H29" s="21"/>
      <c r="I29" s="23">
        <f t="shared" si="0"/>
        <v>76.005999999999986</v>
      </c>
      <c r="J29" s="70"/>
      <c r="K29" s="4">
        <f>SUM(I29:I31)</f>
        <v>229.51499999999993</v>
      </c>
      <c r="L29" s="4">
        <f>K29*M29</f>
        <v>179.02169999999995</v>
      </c>
      <c r="M29" s="25">
        <v>0.78</v>
      </c>
    </row>
    <row r="30" spans="1:13" x14ac:dyDescent="0.35">
      <c r="B30">
        <v>2025</v>
      </c>
      <c r="C30" s="21"/>
      <c r="D30" s="21"/>
      <c r="E30" s="21"/>
      <c r="F30" s="21"/>
      <c r="G30" s="21"/>
      <c r="H30" s="21"/>
      <c r="I30" s="23">
        <f t="shared" si="0"/>
        <v>76.504999999999981</v>
      </c>
      <c r="J30" s="70"/>
      <c r="K30" s="4"/>
      <c r="L30" s="4"/>
      <c r="M30" s="9"/>
    </row>
    <row r="31" spans="1:13" x14ac:dyDescent="0.35">
      <c r="B31">
        <v>2026</v>
      </c>
      <c r="C31" s="21"/>
      <c r="D31" s="21"/>
      <c r="E31" s="21"/>
      <c r="F31" s="21"/>
      <c r="G31" s="21"/>
      <c r="H31" s="21"/>
      <c r="I31" s="23">
        <f t="shared" si="0"/>
        <v>77.003999999999976</v>
      </c>
      <c r="J31" s="70"/>
      <c r="K31" s="4"/>
      <c r="L31" s="4"/>
      <c r="M31" s="9"/>
    </row>
    <row r="32" spans="1:13" x14ac:dyDescent="0.35">
      <c r="B32">
        <v>2027</v>
      </c>
      <c r="C32" s="21"/>
      <c r="D32" s="21"/>
      <c r="E32" s="21"/>
      <c r="F32" s="21"/>
      <c r="G32" s="21"/>
      <c r="H32" s="21"/>
      <c r="I32" s="23">
        <f t="shared" si="0"/>
        <v>77.502999999999972</v>
      </c>
      <c r="J32" s="70"/>
      <c r="K32" s="4">
        <f>SUM(I32:I34)</f>
        <v>234.00599999999991</v>
      </c>
      <c r="L32" s="4">
        <f>K32*M32</f>
        <v>182.52467999999993</v>
      </c>
      <c r="M32" s="25">
        <v>0.78</v>
      </c>
    </row>
    <row r="33" spans="1:11" x14ac:dyDescent="0.35">
      <c r="B33">
        <v>2028</v>
      </c>
      <c r="C33" s="21"/>
      <c r="D33" s="21"/>
      <c r="E33" s="21"/>
      <c r="F33" s="21"/>
      <c r="G33" s="21"/>
      <c r="H33" s="21"/>
      <c r="I33" s="23">
        <f t="shared" si="0"/>
        <v>78.001999999999967</v>
      </c>
      <c r="J33" s="70"/>
    </row>
    <row r="34" spans="1:11" x14ac:dyDescent="0.35">
      <c r="B34">
        <v>2029</v>
      </c>
      <c r="C34" s="21"/>
      <c r="D34" s="21"/>
      <c r="E34" s="21"/>
      <c r="F34" s="21"/>
      <c r="G34" s="21"/>
      <c r="H34" s="21"/>
      <c r="I34" s="23">
        <f t="shared" si="0"/>
        <v>78.500999999999962</v>
      </c>
      <c r="J34" s="70"/>
    </row>
    <row r="35" spans="1:11" x14ac:dyDescent="0.35">
      <c r="B35">
        <v>2030</v>
      </c>
      <c r="C35" s="21"/>
      <c r="D35" s="21"/>
      <c r="E35" s="21"/>
      <c r="F35" s="21"/>
      <c r="G35" s="21"/>
      <c r="H35" s="21"/>
      <c r="I35" s="23">
        <v>79</v>
      </c>
      <c r="J35" s="70"/>
      <c r="K35" s="2">
        <f>I35*M32</f>
        <v>61.620000000000005</v>
      </c>
    </row>
    <row r="38" spans="1:11" x14ac:dyDescent="0.35">
      <c r="A38" t="s">
        <v>5</v>
      </c>
      <c r="B38" s="51" t="s">
        <v>6</v>
      </c>
    </row>
    <row r="39" spans="1:11" x14ac:dyDescent="0.35">
      <c r="I39" s="83"/>
    </row>
    <row r="40" spans="1:11" x14ac:dyDescent="0.35">
      <c r="I40" s="54"/>
    </row>
    <row r="41" spans="1:11" x14ac:dyDescent="0.35">
      <c r="I41" s="86"/>
    </row>
  </sheetData>
  <hyperlinks>
    <hyperlink ref="B38" r:id="rId1" xr:uid="{FF92373C-B9C4-46C9-8841-1352D33CC58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55D0-A7B6-4D7E-830D-8F9D4478552A}">
  <dimension ref="B1:AI58"/>
  <sheetViews>
    <sheetView topLeftCell="D1" zoomScale="55" zoomScaleNormal="55" workbookViewId="0">
      <selection activeCell="P20" sqref="P20"/>
    </sheetView>
  </sheetViews>
  <sheetFormatPr baseColWidth="10" defaultRowHeight="14.5" x14ac:dyDescent="0.35"/>
  <cols>
    <col min="2" max="4" width="25.453125" customWidth="1"/>
    <col min="5" max="5" width="18.54296875" customWidth="1"/>
    <col min="6" max="6" width="27.08984375" customWidth="1"/>
    <col min="7" max="7" width="17.1796875" customWidth="1"/>
    <col min="8" max="8" width="20.1796875" customWidth="1"/>
    <col min="9" max="9" width="25.6328125" customWidth="1"/>
    <col min="10" max="10" width="17.7265625" style="31" customWidth="1"/>
    <col min="11" max="11" width="26.08984375" customWidth="1"/>
    <col min="12" max="12" width="20.7265625" customWidth="1"/>
    <col min="13" max="13" width="21.1796875" customWidth="1"/>
    <col min="14" max="14" width="35.90625" customWidth="1"/>
  </cols>
  <sheetData>
    <row r="1" spans="2:35" ht="23.5" x14ac:dyDescent="0.55000000000000004">
      <c r="B1" s="44" t="s">
        <v>19</v>
      </c>
    </row>
    <row r="2" spans="2:35" x14ac:dyDescent="0.35">
      <c r="L2" s="10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0"/>
      <c r="AI2" s="10"/>
    </row>
    <row r="3" spans="2:35" x14ac:dyDescent="0.35">
      <c r="J3" s="32"/>
      <c r="L3" s="10"/>
      <c r="M3" s="27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10"/>
      <c r="AI3" s="10"/>
    </row>
    <row r="4" spans="2:35" x14ac:dyDescent="0.35">
      <c r="B4" s="30" t="s">
        <v>14</v>
      </c>
      <c r="C4" s="30" t="s">
        <v>7</v>
      </c>
      <c r="D4" s="30" t="s">
        <v>8</v>
      </c>
      <c r="E4" s="30" t="s">
        <v>9</v>
      </c>
      <c r="F4" s="30" t="s">
        <v>10</v>
      </c>
      <c r="G4" s="30" t="s">
        <v>11</v>
      </c>
      <c r="H4" s="30" t="s">
        <v>12</v>
      </c>
      <c r="I4" s="30" t="s">
        <v>13</v>
      </c>
      <c r="J4" s="32" t="s">
        <v>16</v>
      </c>
      <c r="K4" s="33" t="s">
        <v>17</v>
      </c>
      <c r="M4" s="33" t="s">
        <v>38</v>
      </c>
      <c r="N4" s="28" t="s">
        <v>18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10"/>
      <c r="AI4" s="10"/>
    </row>
    <row r="5" spans="2:35" x14ac:dyDescent="0.35">
      <c r="B5" s="29">
        <v>2000</v>
      </c>
      <c r="C5" s="28">
        <v>175.7</v>
      </c>
      <c r="D5" s="28">
        <v>104.7</v>
      </c>
      <c r="E5" s="28">
        <v>93</v>
      </c>
      <c r="F5" s="28">
        <v>44.2</v>
      </c>
      <c r="G5" s="28">
        <v>30.8</v>
      </c>
      <c r="H5" s="28">
        <v>6.3</v>
      </c>
      <c r="I5" s="28">
        <v>7.1</v>
      </c>
      <c r="J5" s="35">
        <f>SUM(C5:I5)</f>
        <v>461.8</v>
      </c>
      <c r="L5" s="10"/>
      <c r="M5" s="27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10"/>
      <c r="AI5" s="10"/>
    </row>
    <row r="6" spans="2:35" x14ac:dyDescent="0.35">
      <c r="B6" s="29">
        <v>2001</v>
      </c>
      <c r="C6" s="72">
        <v>175.7</v>
      </c>
      <c r="D6" s="72">
        <v>121.9</v>
      </c>
      <c r="E6" s="72">
        <v>92.5</v>
      </c>
      <c r="F6" s="72">
        <v>42.6</v>
      </c>
      <c r="G6" s="72">
        <v>31.1</v>
      </c>
      <c r="H6" s="72">
        <v>6.6</v>
      </c>
      <c r="I6" s="72">
        <v>7.3</v>
      </c>
      <c r="J6" s="35">
        <f t="shared" ref="J6:J24" si="0">SUM(C6:I6)</f>
        <v>477.7000000000001</v>
      </c>
      <c r="L6" s="1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10"/>
      <c r="AI6" s="10"/>
    </row>
    <row r="7" spans="2:35" x14ac:dyDescent="0.35">
      <c r="B7" s="29">
        <v>2002</v>
      </c>
      <c r="C7" s="72">
        <v>183</v>
      </c>
      <c r="D7" s="72">
        <v>108.6</v>
      </c>
      <c r="E7" s="72">
        <v>93.7</v>
      </c>
      <c r="F7" s="72">
        <v>43.6</v>
      </c>
      <c r="G7" s="72">
        <v>33.1</v>
      </c>
      <c r="H7" s="72">
        <v>7.1</v>
      </c>
      <c r="I7" s="72">
        <v>7.3</v>
      </c>
      <c r="J7" s="35">
        <f t="shared" si="0"/>
        <v>476.40000000000009</v>
      </c>
      <c r="L7" s="10"/>
      <c r="M7" s="27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10"/>
      <c r="AI7" s="10"/>
    </row>
    <row r="8" spans="2:35" x14ac:dyDescent="0.35">
      <c r="B8" s="29">
        <v>2003</v>
      </c>
      <c r="C8" s="72">
        <v>180.2</v>
      </c>
      <c r="D8" s="72">
        <v>112.5</v>
      </c>
      <c r="E8" s="72">
        <v>92</v>
      </c>
      <c r="F8" s="72">
        <v>42.7</v>
      </c>
      <c r="G8" s="72">
        <v>33.6</v>
      </c>
      <c r="H8" s="72">
        <v>7.8</v>
      </c>
      <c r="I8" s="72">
        <v>7.4</v>
      </c>
      <c r="J8" s="35">
        <f t="shared" si="0"/>
        <v>476.2</v>
      </c>
      <c r="L8" s="10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10"/>
      <c r="AI8" s="10"/>
    </row>
    <row r="9" spans="2:35" x14ac:dyDescent="0.35">
      <c r="B9" s="29">
        <v>2004</v>
      </c>
      <c r="C9" s="72">
        <v>181.5</v>
      </c>
      <c r="D9" s="72">
        <v>115.1</v>
      </c>
      <c r="E9" s="72">
        <v>95.4</v>
      </c>
      <c r="F9" s="72">
        <v>45.3</v>
      </c>
      <c r="G9" s="72">
        <v>32.9</v>
      </c>
      <c r="H9" s="72">
        <v>8.5</v>
      </c>
      <c r="I9" s="72">
        <v>7.4</v>
      </c>
      <c r="J9" s="35">
        <f t="shared" si="0"/>
        <v>486.09999999999997</v>
      </c>
      <c r="L9" s="10"/>
      <c r="M9" s="27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10"/>
      <c r="AI9" s="10"/>
    </row>
    <row r="10" spans="2:35" x14ac:dyDescent="0.35">
      <c r="B10" s="29">
        <v>2005</v>
      </c>
      <c r="C10" s="72">
        <v>183.1</v>
      </c>
      <c r="D10" s="72">
        <v>107.8</v>
      </c>
      <c r="E10" s="72">
        <v>93.2</v>
      </c>
      <c r="F10" s="72">
        <v>43.4</v>
      </c>
      <c r="G10" s="72">
        <v>33.700000000000003</v>
      </c>
      <c r="H10" s="72">
        <v>9.3000000000000007</v>
      </c>
      <c r="I10" s="72">
        <v>7.6</v>
      </c>
      <c r="J10" s="35">
        <f t="shared" si="0"/>
        <v>478.09999999999997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2:35" x14ac:dyDescent="0.35">
      <c r="B11" s="29">
        <v>2006</v>
      </c>
      <c r="C11" s="72">
        <v>183</v>
      </c>
      <c r="D11" s="72">
        <v>104.4</v>
      </c>
      <c r="E11" s="72">
        <v>92.9</v>
      </c>
      <c r="F11" s="72">
        <v>43.6</v>
      </c>
      <c r="G11" s="72">
        <v>34.5</v>
      </c>
      <c r="H11" s="72">
        <v>10.1</v>
      </c>
      <c r="I11" s="72">
        <v>7.7</v>
      </c>
      <c r="J11" s="35">
        <f t="shared" si="0"/>
        <v>476.2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2:35" x14ac:dyDescent="0.35">
      <c r="B12" s="29">
        <v>2007</v>
      </c>
      <c r="C12" s="72">
        <v>182.8</v>
      </c>
      <c r="D12" s="72">
        <v>113.8</v>
      </c>
      <c r="E12" s="72">
        <v>90.3</v>
      </c>
      <c r="F12" s="72">
        <v>44</v>
      </c>
      <c r="G12" s="72">
        <v>35.1</v>
      </c>
      <c r="H12" s="72">
        <v>10.8</v>
      </c>
      <c r="I12" s="72">
        <v>7.8</v>
      </c>
      <c r="J12" s="35">
        <f t="shared" si="0"/>
        <v>484.60000000000008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2:35" x14ac:dyDescent="0.35">
      <c r="B13" s="29">
        <v>2008</v>
      </c>
      <c r="C13" s="72">
        <v>171.9</v>
      </c>
      <c r="D13" s="72">
        <v>120.1</v>
      </c>
      <c r="E13" s="72">
        <v>88.1</v>
      </c>
      <c r="F13" s="72">
        <v>44.4</v>
      </c>
      <c r="G13" s="72">
        <v>35</v>
      </c>
      <c r="H13" s="72">
        <v>11.7</v>
      </c>
      <c r="I13" s="72">
        <v>7.9</v>
      </c>
      <c r="J13" s="35">
        <f t="shared" si="0"/>
        <v>479.09999999999997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2:35" x14ac:dyDescent="0.35">
      <c r="B14" s="29">
        <v>2009</v>
      </c>
      <c r="C14" s="72">
        <v>165.7</v>
      </c>
      <c r="D14" s="72">
        <v>101.3</v>
      </c>
      <c r="E14" s="72">
        <v>85.6</v>
      </c>
      <c r="F14" s="72">
        <v>44.5</v>
      </c>
      <c r="G14" s="72">
        <v>32.799999999999997</v>
      </c>
      <c r="H14" s="72">
        <v>12.3</v>
      </c>
      <c r="I14" s="72">
        <v>8</v>
      </c>
      <c r="J14" s="35">
        <f t="shared" si="0"/>
        <v>450.20000000000005</v>
      </c>
      <c r="L14" s="10"/>
      <c r="M14" s="10"/>
      <c r="N14" s="27"/>
      <c r="O14" s="27"/>
      <c r="P14" s="27"/>
      <c r="Q14" s="27"/>
      <c r="R14" s="27"/>
      <c r="S14" s="27"/>
      <c r="T14" s="27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2:35" x14ac:dyDescent="0.35">
      <c r="B15" s="29">
        <v>2010</v>
      </c>
      <c r="C15" s="72">
        <v>162.9</v>
      </c>
      <c r="D15" s="72">
        <v>90.3</v>
      </c>
      <c r="E15" s="72">
        <v>87.8</v>
      </c>
      <c r="F15" s="72">
        <v>46</v>
      </c>
      <c r="G15" s="72">
        <v>33.6</v>
      </c>
      <c r="H15" s="72">
        <v>13.5</v>
      </c>
      <c r="I15" s="72">
        <v>8.1</v>
      </c>
      <c r="J15" s="35">
        <f t="shared" si="0"/>
        <v>442.20000000000005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2:35" x14ac:dyDescent="0.35">
      <c r="B16" s="29">
        <v>2011</v>
      </c>
      <c r="C16" s="72">
        <v>159.5</v>
      </c>
      <c r="D16" s="72">
        <v>89.2</v>
      </c>
      <c r="E16" s="72">
        <v>85.8</v>
      </c>
      <c r="F16" s="72">
        <v>46</v>
      </c>
      <c r="G16" s="72">
        <v>34.200000000000003</v>
      </c>
      <c r="H16" s="72">
        <v>14.5</v>
      </c>
      <c r="I16" s="72">
        <v>8.1999999999999993</v>
      </c>
      <c r="J16" s="35">
        <f t="shared" si="0"/>
        <v>437.4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2:35" x14ac:dyDescent="0.35">
      <c r="B17" s="29">
        <v>2012</v>
      </c>
      <c r="C17" s="72">
        <v>156.9</v>
      </c>
      <c r="D17" s="72">
        <v>98.9</v>
      </c>
      <c r="E17" s="72">
        <v>80.7</v>
      </c>
      <c r="F17" s="72">
        <v>39.200000000000003</v>
      </c>
      <c r="G17" s="72">
        <v>35.200000000000003</v>
      </c>
      <c r="H17" s="72">
        <v>15.5</v>
      </c>
      <c r="I17" s="72">
        <v>8.1999999999999993</v>
      </c>
      <c r="J17" s="35">
        <f t="shared" si="0"/>
        <v>434.59999999999997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2:35" x14ac:dyDescent="0.35">
      <c r="B18" s="29">
        <v>2013</v>
      </c>
      <c r="C18" s="72">
        <v>157</v>
      </c>
      <c r="D18" s="72">
        <v>93.4</v>
      </c>
      <c r="E18" s="72">
        <v>83</v>
      </c>
      <c r="F18" s="72">
        <v>39.1</v>
      </c>
      <c r="G18" s="72">
        <v>33.9</v>
      </c>
      <c r="H18" s="72">
        <v>16.8</v>
      </c>
      <c r="I18" s="72">
        <v>8.3000000000000007</v>
      </c>
      <c r="J18" s="35">
        <f t="shared" si="0"/>
        <v>431.5</v>
      </c>
      <c r="K18" s="10">
        <v>144.99997500000001</v>
      </c>
      <c r="L18" s="37"/>
      <c r="M18" s="39">
        <f t="shared" ref="M18:M25" si="1">K18/J18</f>
        <v>0.33603702201622249</v>
      </c>
      <c r="N18" s="10">
        <f>SUM(K18:K19)</f>
        <v>291.18120199999998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2:35" x14ac:dyDescent="0.35">
      <c r="B19" s="29">
        <v>2014</v>
      </c>
      <c r="C19" s="72">
        <v>157.69999999999999</v>
      </c>
      <c r="D19" s="72">
        <v>89.8</v>
      </c>
      <c r="E19" s="72">
        <v>85.2</v>
      </c>
      <c r="F19" s="72">
        <v>35.6</v>
      </c>
      <c r="G19" s="72">
        <v>33.9</v>
      </c>
      <c r="H19" s="72">
        <v>17.7</v>
      </c>
      <c r="I19" s="72">
        <v>8.3000000000000007</v>
      </c>
      <c r="J19" s="35">
        <f t="shared" si="0"/>
        <v>428.2</v>
      </c>
      <c r="K19" s="10">
        <v>146.18122699999998</v>
      </c>
      <c r="L19" s="38"/>
      <c r="M19" s="39">
        <f t="shared" si="1"/>
        <v>0.34138539701074261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2:35" x14ac:dyDescent="0.35">
      <c r="B20" s="29">
        <v>2015</v>
      </c>
      <c r="C20" s="72">
        <v>161.5</v>
      </c>
      <c r="D20" s="72">
        <v>86</v>
      </c>
      <c r="E20" s="72">
        <v>83.2</v>
      </c>
      <c r="F20" s="72">
        <v>36.299999999999997</v>
      </c>
      <c r="G20" s="72">
        <v>32.6</v>
      </c>
      <c r="H20" s="72">
        <v>18.600000000000001</v>
      </c>
      <c r="I20" s="72">
        <v>8.4</v>
      </c>
      <c r="J20" s="35">
        <f t="shared" si="0"/>
        <v>426.6</v>
      </c>
      <c r="K20">
        <v>340.32349900000003</v>
      </c>
      <c r="L20" s="38"/>
      <c r="M20" s="39">
        <f t="shared" si="1"/>
        <v>0.79775785044538217</v>
      </c>
      <c r="N20">
        <f>SUM(K20:K22)</f>
        <v>981.44209300000011</v>
      </c>
    </row>
    <row r="21" spans="2:35" x14ac:dyDescent="0.35">
      <c r="B21" s="29">
        <v>2016</v>
      </c>
      <c r="C21" s="72">
        <v>165.2</v>
      </c>
      <c r="D21" s="72">
        <v>70.400000000000006</v>
      </c>
      <c r="E21" s="72">
        <v>81.599999999999994</v>
      </c>
      <c r="F21" s="72">
        <v>37.200000000000003</v>
      </c>
      <c r="G21" s="72">
        <v>32.200000000000003</v>
      </c>
      <c r="H21" s="72">
        <v>19.399999999999999</v>
      </c>
      <c r="I21" s="72">
        <v>8.5</v>
      </c>
      <c r="J21" s="35">
        <f t="shared" si="0"/>
        <v>414.49999999999994</v>
      </c>
      <c r="K21">
        <v>324.06901900000003</v>
      </c>
      <c r="L21" s="38"/>
      <c r="M21" s="39">
        <f t="shared" si="1"/>
        <v>0.78183116767189398</v>
      </c>
    </row>
    <row r="22" spans="2:35" x14ac:dyDescent="0.35">
      <c r="B22" s="29">
        <v>2017</v>
      </c>
      <c r="C22" s="28">
        <v>166.6</v>
      </c>
      <c r="D22" s="28">
        <v>64.2</v>
      </c>
      <c r="E22" s="28">
        <v>81.7</v>
      </c>
      <c r="F22" s="28">
        <v>37.6</v>
      </c>
      <c r="G22" s="28">
        <v>31.7</v>
      </c>
      <c r="H22" s="28">
        <v>20.100000000000001</v>
      </c>
      <c r="I22" s="28">
        <v>8.6</v>
      </c>
      <c r="J22" s="35">
        <f t="shared" si="0"/>
        <v>410.50000000000006</v>
      </c>
      <c r="K22">
        <v>317.049575</v>
      </c>
      <c r="L22" s="38"/>
      <c r="M22" s="39">
        <f t="shared" si="1"/>
        <v>0.77234975639464054</v>
      </c>
    </row>
    <row r="23" spans="2:35" x14ac:dyDescent="0.35">
      <c r="B23" s="29">
        <v>2018</v>
      </c>
      <c r="C23" s="28">
        <v>165.3</v>
      </c>
      <c r="D23" s="28">
        <v>65</v>
      </c>
      <c r="E23" s="28">
        <v>81.900000000000006</v>
      </c>
      <c r="F23" s="28">
        <v>37.4</v>
      </c>
      <c r="G23" s="28">
        <v>32.200000000000003</v>
      </c>
      <c r="H23" s="28">
        <v>20.5</v>
      </c>
      <c r="I23" s="28">
        <v>8.6999999999999993</v>
      </c>
      <c r="J23" s="35">
        <f t="shared" si="0"/>
        <v>411</v>
      </c>
      <c r="K23">
        <v>320.95495299999999</v>
      </c>
      <c r="L23" s="38"/>
      <c r="M23" s="39">
        <f t="shared" si="1"/>
        <v>0.78091229440389287</v>
      </c>
      <c r="N23">
        <f>SUM(K23:K25)</f>
        <v>912.24197400000014</v>
      </c>
    </row>
    <row r="24" spans="2:35" x14ac:dyDescent="0.35">
      <c r="B24" s="29">
        <v>2019</v>
      </c>
      <c r="C24" s="28">
        <v>162.4</v>
      </c>
      <c r="D24" s="28">
        <v>60.2</v>
      </c>
      <c r="E24" s="28">
        <v>80.400000000000006</v>
      </c>
      <c r="F24" s="28">
        <v>40.5</v>
      </c>
      <c r="G24" s="28">
        <v>31.4</v>
      </c>
      <c r="H24" s="28">
        <v>20.7</v>
      </c>
      <c r="I24" s="28">
        <v>8.8000000000000007</v>
      </c>
      <c r="J24" s="35">
        <f t="shared" si="0"/>
        <v>404.4</v>
      </c>
      <c r="K24">
        <v>311.74203199999999</v>
      </c>
      <c r="L24" s="38"/>
      <c r="M24" s="39">
        <f t="shared" si="1"/>
        <v>0.77087545004945601</v>
      </c>
    </row>
    <row r="25" spans="2:35" x14ac:dyDescent="0.35">
      <c r="B25" s="29">
        <v>2020</v>
      </c>
      <c r="C25" s="28">
        <v>135.80000000000001</v>
      </c>
      <c r="D25" s="28">
        <v>59.5</v>
      </c>
      <c r="E25" s="28">
        <v>73.3</v>
      </c>
      <c r="F25" s="28">
        <v>38.700000000000003</v>
      </c>
      <c r="G25" s="28">
        <v>31.6</v>
      </c>
      <c r="H25" s="28">
        <v>21.3</v>
      </c>
      <c r="I25" s="28">
        <v>8.9</v>
      </c>
      <c r="J25" s="36">
        <f>SUM(C25:I25)</f>
        <v>369.1</v>
      </c>
      <c r="K25" s="40">
        <v>279.5449890000001</v>
      </c>
      <c r="L25" s="42">
        <f>J25*M26</f>
        <v>295.28000000000003</v>
      </c>
      <c r="M25" s="39">
        <f t="shared" si="1"/>
        <v>0.75736924681658113</v>
      </c>
    </row>
    <row r="26" spans="2:35" x14ac:dyDescent="0.35">
      <c r="B26" s="29">
        <v>2021</v>
      </c>
      <c r="C26" s="4">
        <v>145.17140000000001</v>
      </c>
      <c r="D26" s="4">
        <v>61.41984962405968</v>
      </c>
      <c r="E26" s="4">
        <v>87.044887218045119</v>
      </c>
      <c r="F26" s="4">
        <v>41.278872180451117</v>
      </c>
      <c r="G26" s="4">
        <v>33.771578947368411</v>
      </c>
      <c r="H26" s="4">
        <v>23.003383458646795</v>
      </c>
      <c r="I26" s="4">
        <v>9.015037593984971</v>
      </c>
      <c r="J26" s="36">
        <v>400.70500902255611</v>
      </c>
      <c r="K26" s="9" cm="1">
        <f t="array" ref="K26">TREND($K$20:$K$24,$B$20:$B$24,B26)</f>
        <v>298.71701559999929</v>
      </c>
      <c r="L26" s="9">
        <f t="shared" ref="L26:L34" si="2">J26*M26</f>
        <v>320.56400721804494</v>
      </c>
      <c r="M26" s="12">
        <v>0.8</v>
      </c>
      <c r="N26" s="9">
        <f>SUM(L26:L28)</f>
        <v>958.57068591478651</v>
      </c>
    </row>
    <row r="27" spans="2:35" x14ac:dyDescent="0.35">
      <c r="B27" s="29">
        <v>2022</v>
      </c>
      <c r="C27" s="4">
        <v>151.1821363636368</v>
      </c>
      <c r="D27" s="4">
        <v>58.47548872180414</v>
      </c>
      <c r="E27" s="4">
        <v>86.64661654135341</v>
      </c>
      <c r="F27" s="4">
        <v>41.116165413533849</v>
      </c>
      <c r="G27" s="4">
        <v>33.797368421052624</v>
      </c>
      <c r="H27" s="4">
        <v>23.84150375939862</v>
      </c>
      <c r="I27" s="4">
        <v>9.0911278195488592</v>
      </c>
      <c r="J27" s="36">
        <v>399.40445246449434</v>
      </c>
      <c r="K27" s="9" cm="1">
        <f t="array" ref="K27">TREND($K$20:$K$24,$B$20:$B$24,B27)</f>
        <v>292.68931559999874</v>
      </c>
      <c r="L27" s="9">
        <f t="shared" si="2"/>
        <v>319.52356197159548</v>
      </c>
      <c r="M27" s="12">
        <v>0.8</v>
      </c>
      <c r="N27" s="9"/>
    </row>
    <row r="28" spans="2:35" x14ac:dyDescent="0.35">
      <c r="B28" s="29">
        <v>2023</v>
      </c>
      <c r="C28" s="4">
        <v>149.52450118577099</v>
      </c>
      <c r="D28" s="4">
        <v>55.531127819548601</v>
      </c>
      <c r="E28" s="4">
        <v>86.248345864661587</v>
      </c>
      <c r="F28" s="4">
        <v>40.953458646616525</v>
      </c>
      <c r="G28" s="4">
        <v>33.823157894736838</v>
      </c>
      <c r="H28" s="4">
        <v>24.679624060150445</v>
      </c>
      <c r="I28" s="4">
        <v>9.1672180451127758</v>
      </c>
      <c r="J28" s="36">
        <v>398.10389590643257</v>
      </c>
      <c r="K28" s="9" cm="1">
        <f t="array" ref="K28">TREND($K$20:$K$24,$B$20:$B$24,B28)</f>
        <v>286.6616156</v>
      </c>
      <c r="L28" s="9">
        <f t="shared" si="2"/>
        <v>318.48311672514609</v>
      </c>
      <c r="M28" s="12">
        <v>0.8</v>
      </c>
      <c r="N28" s="9"/>
    </row>
    <row r="29" spans="2:35" x14ac:dyDescent="0.35">
      <c r="B29" s="29">
        <v>2024</v>
      </c>
      <c r="C29" s="4">
        <v>147.86686600790517</v>
      </c>
      <c r="D29" s="4">
        <v>52.586766917293062</v>
      </c>
      <c r="E29" s="4">
        <v>85.850075187969878</v>
      </c>
      <c r="F29" s="4">
        <v>40.790751879699258</v>
      </c>
      <c r="G29" s="4">
        <v>33.848947368421044</v>
      </c>
      <c r="H29" s="4">
        <v>25.51774436090227</v>
      </c>
      <c r="I29" s="4">
        <v>9.2433082706766925</v>
      </c>
      <c r="J29" s="36">
        <v>396.8033393483708</v>
      </c>
      <c r="K29" s="9" cm="1">
        <f t="array" ref="K29">TREND($K$20:$K$24,$B$20:$B$24,B29)</f>
        <v>280.63391559999945</v>
      </c>
      <c r="L29" s="9">
        <f t="shared" si="2"/>
        <v>317.44267147869664</v>
      </c>
      <c r="M29" s="12">
        <v>0.8</v>
      </c>
      <c r="N29" s="9">
        <f>SUM(L29:L31)</f>
        <v>949.20667869674173</v>
      </c>
    </row>
    <row r="30" spans="2:35" x14ac:dyDescent="0.35">
      <c r="B30" s="29">
        <v>2025</v>
      </c>
      <c r="C30" s="4">
        <v>146.20923083003981</v>
      </c>
      <c r="D30" s="4">
        <v>49.642406015037523</v>
      </c>
      <c r="E30" s="4">
        <v>85.451804511278169</v>
      </c>
      <c r="F30" s="4">
        <v>40.628045112781933</v>
      </c>
      <c r="G30" s="4">
        <v>33.874736842105257</v>
      </c>
      <c r="H30" s="4">
        <v>26.355864661654095</v>
      </c>
      <c r="I30" s="4">
        <v>9.3193984962406091</v>
      </c>
      <c r="J30" s="36">
        <v>395.50278279030903</v>
      </c>
      <c r="K30" s="9" cm="1">
        <f t="array" ref="K30">TREND($K$20:$K$24,$B$20:$B$24,B30)</f>
        <v>274.6062155999989</v>
      </c>
      <c r="L30" s="9">
        <f t="shared" si="2"/>
        <v>316.40222623224724</v>
      </c>
      <c r="M30" s="12">
        <v>0.8</v>
      </c>
      <c r="N30" s="9"/>
    </row>
    <row r="31" spans="2:35" x14ac:dyDescent="0.35">
      <c r="B31" s="29">
        <v>2026</v>
      </c>
      <c r="C31" s="4">
        <v>144.551595652174</v>
      </c>
      <c r="D31" s="4">
        <v>46.698045112781074</v>
      </c>
      <c r="E31" s="4">
        <v>85.05353383458646</v>
      </c>
      <c r="F31" s="4">
        <v>40.465338345864666</v>
      </c>
      <c r="G31" s="4">
        <v>33.900526315789463</v>
      </c>
      <c r="H31" s="4">
        <v>27.193984962406148</v>
      </c>
      <c r="I31" s="4">
        <v>9.3954887218044973</v>
      </c>
      <c r="J31" s="36">
        <v>394.20222623224726</v>
      </c>
      <c r="K31" s="9" cm="1">
        <f t="array" ref="K31">TREND($K$20:$K$24,$B$20:$B$24,B31)</f>
        <v>268.57851559999835</v>
      </c>
      <c r="L31" s="9">
        <f t="shared" si="2"/>
        <v>315.36178098579785</v>
      </c>
      <c r="M31" s="12">
        <v>0.8</v>
      </c>
      <c r="N31" s="9"/>
    </row>
    <row r="32" spans="2:35" x14ac:dyDescent="0.35">
      <c r="B32" s="29">
        <v>2027</v>
      </c>
      <c r="C32" s="4">
        <v>142.89396047430864</v>
      </c>
      <c r="D32" s="4">
        <v>43.753684210525535</v>
      </c>
      <c r="E32" s="4">
        <v>84.655263157894751</v>
      </c>
      <c r="F32" s="4">
        <v>40.302631578947341</v>
      </c>
      <c r="G32" s="4">
        <v>33.926315789473676</v>
      </c>
      <c r="H32" s="4">
        <v>28.032105263157973</v>
      </c>
      <c r="I32" s="4">
        <v>9.471578947368414</v>
      </c>
      <c r="J32" s="36">
        <v>392.90166967418548</v>
      </c>
      <c r="K32" s="9" cm="1">
        <f t="array" ref="K32">TREND($K$20:$K$24,$B$20:$B$24,B32)</f>
        <v>262.55081559999962</v>
      </c>
      <c r="L32" s="9">
        <f t="shared" si="2"/>
        <v>314.3213357393484</v>
      </c>
      <c r="M32" s="12">
        <v>0.8</v>
      </c>
      <c r="N32" s="9">
        <f>SUM(L32:L34)</f>
        <v>939.84267147869696</v>
      </c>
    </row>
    <row r="33" spans="2:16" x14ac:dyDescent="0.35">
      <c r="B33" s="29">
        <v>2028</v>
      </c>
      <c r="C33" s="4">
        <v>141.23632529644283</v>
      </c>
      <c r="D33" s="4">
        <v>40.809323308269995</v>
      </c>
      <c r="E33" s="4">
        <v>84.256992481203042</v>
      </c>
      <c r="F33" s="4">
        <v>40.139924812030074</v>
      </c>
      <c r="G33" s="4">
        <v>33.95210526315789</v>
      </c>
      <c r="H33" s="4">
        <v>28.870225563909798</v>
      </c>
      <c r="I33" s="4">
        <v>9.5476691729323306</v>
      </c>
      <c r="J33" s="36">
        <v>391.60111311612371</v>
      </c>
      <c r="K33" s="9" cm="1">
        <f t="array" ref="K33">TREND($K$20:$K$24,$B$20:$B$24,B33)</f>
        <v>256.52311559999907</v>
      </c>
      <c r="L33" s="9">
        <f t="shared" si="2"/>
        <v>313.280890492899</v>
      </c>
      <c r="M33" s="12">
        <v>0.8</v>
      </c>
    </row>
    <row r="34" spans="2:16" x14ac:dyDescent="0.35">
      <c r="B34" s="29">
        <v>2029</v>
      </c>
      <c r="C34" s="4">
        <v>139.57869011857747</v>
      </c>
      <c r="D34" s="4">
        <v>37.864962406014456</v>
      </c>
      <c r="E34" s="4">
        <v>83.858721804511219</v>
      </c>
      <c r="F34" s="4">
        <v>39.977218045112807</v>
      </c>
      <c r="G34" s="4">
        <v>33.977894736842096</v>
      </c>
      <c r="H34" s="4">
        <v>29.708345864661624</v>
      </c>
      <c r="I34" s="4">
        <v>9.6237593984962473</v>
      </c>
      <c r="J34" s="36">
        <v>390.30055655806194</v>
      </c>
      <c r="K34" s="9" cm="1">
        <f t="array" ref="K34">TREND($K$20:$K$24,$B$20:$B$24,B34)</f>
        <v>250.49541559999852</v>
      </c>
      <c r="L34" s="9">
        <f t="shared" si="2"/>
        <v>312.24044524644955</v>
      </c>
      <c r="M34" s="12">
        <v>0.8</v>
      </c>
    </row>
    <row r="35" spans="2:16" x14ac:dyDescent="0.35">
      <c r="B35" s="29">
        <v>2030</v>
      </c>
      <c r="C35" s="4">
        <v>137.92105494071166</v>
      </c>
      <c r="D35" s="4">
        <v>34.920601503758917</v>
      </c>
      <c r="E35" s="4">
        <v>83.46045112781951</v>
      </c>
      <c r="F35" s="4">
        <v>39.814511278195482</v>
      </c>
      <c r="G35" s="4">
        <v>34.003684210526309</v>
      </c>
      <c r="H35" s="4">
        <v>30.546466165413676</v>
      </c>
      <c r="I35" s="4">
        <v>9.6998496240601355</v>
      </c>
      <c r="J35" s="36">
        <v>389</v>
      </c>
      <c r="K35" s="9" cm="1">
        <f t="array" ref="K35">TREND($K$20:$K$24,$B$20:$B$24,B35)</f>
        <v>244.46771559999979</v>
      </c>
      <c r="L35" s="9">
        <f>J35*M35</f>
        <v>311.20000000000005</v>
      </c>
      <c r="M35" s="12">
        <v>0.8</v>
      </c>
    </row>
    <row r="37" spans="2:16" x14ac:dyDescent="0.35">
      <c r="L37" s="2"/>
    </row>
    <row r="39" spans="2:16" x14ac:dyDescent="0.35">
      <c r="N39" s="7"/>
      <c r="P39" s="7"/>
    </row>
    <row r="40" spans="2:16" x14ac:dyDescent="0.35">
      <c r="O40" s="8"/>
    </row>
    <row r="41" spans="2:16" x14ac:dyDescent="0.35">
      <c r="K41" s="2"/>
    </row>
    <row r="42" spans="2:16" x14ac:dyDescent="0.35">
      <c r="F42" s="11"/>
    </row>
    <row r="43" spans="2:16" x14ac:dyDescent="0.35">
      <c r="K43" s="2"/>
      <c r="L43" s="2"/>
    </row>
    <row r="46" spans="2:16" x14ac:dyDescent="0.35">
      <c r="O46" s="9"/>
    </row>
    <row r="47" spans="2:16" x14ac:dyDescent="0.35">
      <c r="N47" s="9"/>
      <c r="O47" s="9"/>
      <c r="P47" s="9"/>
    </row>
    <row r="48" spans="2:16" x14ac:dyDescent="0.35">
      <c r="N48" s="9"/>
      <c r="O48" s="9"/>
      <c r="P48" s="9"/>
    </row>
    <row r="49" spans="14:16" x14ac:dyDescent="0.35">
      <c r="N49" s="9"/>
      <c r="O49" s="9"/>
      <c r="P49" s="9"/>
    </row>
    <row r="50" spans="14:16" x14ac:dyDescent="0.35">
      <c r="N50" s="9"/>
      <c r="O50" s="9"/>
      <c r="P50" s="9"/>
    </row>
    <row r="51" spans="14:16" x14ac:dyDescent="0.35">
      <c r="N51" s="9"/>
      <c r="O51" s="9"/>
      <c r="P51" s="9"/>
    </row>
    <row r="52" spans="14:16" x14ac:dyDescent="0.35">
      <c r="N52" s="9"/>
      <c r="O52" s="9"/>
      <c r="P52" s="9"/>
    </row>
    <row r="53" spans="14:16" x14ac:dyDescent="0.35">
      <c r="N53" s="9"/>
      <c r="O53" s="9"/>
      <c r="P53" s="9"/>
    </row>
    <row r="54" spans="14:16" x14ac:dyDescent="0.35">
      <c r="N54" s="9"/>
      <c r="O54" s="9"/>
      <c r="P54" s="9"/>
    </row>
    <row r="55" spans="14:16" x14ac:dyDescent="0.35">
      <c r="N55" s="9"/>
      <c r="O55" s="9"/>
    </row>
    <row r="58" spans="14:16" ht="116" x14ac:dyDescent="0.35">
      <c r="N58" s="13"/>
      <c r="O58" s="13" t="s"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3298-84B6-45ED-8E11-993009DAEDBD}">
  <dimension ref="A1:L39"/>
  <sheetViews>
    <sheetView zoomScale="70" zoomScaleNormal="70" workbookViewId="0">
      <selection activeCell="B5" sqref="B5"/>
    </sheetView>
  </sheetViews>
  <sheetFormatPr baseColWidth="10" defaultRowHeight="14.5" x14ac:dyDescent="0.35"/>
  <cols>
    <col min="2" max="2" width="23.81640625" customWidth="1"/>
    <col min="3" max="8" width="26.6328125" style="1" customWidth="1"/>
    <col min="9" max="9" width="26.08984375" style="19" customWidth="1"/>
    <col min="10" max="10" width="19" style="2" customWidth="1"/>
    <col min="11" max="11" width="30.6328125" style="2" customWidth="1"/>
    <col min="12" max="12" width="16.36328125" customWidth="1"/>
  </cols>
  <sheetData>
    <row r="1" spans="1:12" ht="23.5" x14ac:dyDescent="0.55000000000000004">
      <c r="B1" s="45" t="s">
        <v>41</v>
      </c>
    </row>
    <row r="4" spans="1:12" x14ac:dyDescent="0.35">
      <c r="B4" t="s">
        <v>14</v>
      </c>
      <c r="C4" s="1" t="s">
        <v>3</v>
      </c>
      <c r="D4" s="1" t="s">
        <v>32</v>
      </c>
      <c r="E4" s="1" t="s">
        <v>33</v>
      </c>
      <c r="F4" s="1" t="s">
        <v>4</v>
      </c>
      <c r="G4" s="1" t="s">
        <v>34</v>
      </c>
      <c r="H4" s="1" t="s">
        <v>35</v>
      </c>
      <c r="I4" s="19" t="s">
        <v>36</v>
      </c>
      <c r="J4" s="2" t="s">
        <v>15</v>
      </c>
      <c r="K4" s="2" t="s">
        <v>17</v>
      </c>
      <c r="L4" s="2" t="s">
        <v>38</v>
      </c>
    </row>
    <row r="5" spans="1:12" s="19" customFormat="1" ht="15.5" x14ac:dyDescent="0.35">
      <c r="B5" s="46">
        <v>1990</v>
      </c>
      <c r="C5" s="52"/>
      <c r="D5" s="52"/>
      <c r="E5" s="52"/>
      <c r="F5" s="52"/>
      <c r="G5" s="52"/>
      <c r="H5" s="52"/>
      <c r="I5" s="53">
        <v>86.4</v>
      </c>
      <c r="J5" s="54"/>
      <c r="K5" s="54"/>
      <c r="L5" s="54"/>
    </row>
    <row r="6" spans="1:12" s="19" customFormat="1" ht="15.5" x14ac:dyDescent="0.35">
      <c r="B6">
        <v>2000</v>
      </c>
      <c r="C6" s="38">
        <v>31.033000000000001</v>
      </c>
      <c r="D6" s="2">
        <v>29.466000000000001</v>
      </c>
      <c r="E6" s="38">
        <v>11.760999999999999</v>
      </c>
      <c r="F6" s="38">
        <v>7.1689999999999996</v>
      </c>
      <c r="G6" s="8">
        <v>6.7130000000000001</v>
      </c>
      <c r="H6" s="38">
        <v>0.33200000000000002</v>
      </c>
      <c r="I6" s="53"/>
      <c r="J6" s="54"/>
      <c r="K6" s="54"/>
      <c r="L6" s="54"/>
    </row>
    <row r="7" spans="1:12" s="19" customFormat="1" ht="15.5" x14ac:dyDescent="0.35">
      <c r="B7">
        <v>2001</v>
      </c>
      <c r="C7" s="2">
        <v>30.404</v>
      </c>
      <c r="D7" s="38">
        <v>28.256</v>
      </c>
      <c r="E7" s="38">
        <v>10.954000000000001</v>
      </c>
      <c r="F7" s="63">
        <v>7.4530000000000003</v>
      </c>
      <c r="G7" s="8">
        <v>6.9219999999999997</v>
      </c>
      <c r="H7" s="60">
        <v>0.36599999999999999</v>
      </c>
      <c r="I7" s="53"/>
      <c r="J7" s="54"/>
      <c r="K7" s="54"/>
      <c r="L7" s="54"/>
    </row>
    <row r="8" spans="1:12" x14ac:dyDescent="0.35">
      <c r="A8" s="16"/>
      <c r="B8">
        <v>2002</v>
      </c>
      <c r="C8" s="58">
        <v>31.138000000000002</v>
      </c>
      <c r="D8" s="2">
        <v>28.568999999999999</v>
      </c>
      <c r="E8" s="58">
        <v>11.638999999999999</v>
      </c>
      <c r="F8" s="64">
        <v>7.492</v>
      </c>
      <c r="G8" s="58">
        <v>7.0010000000000003</v>
      </c>
      <c r="H8" s="58">
        <v>0.23599999999999999</v>
      </c>
      <c r="I8" s="20">
        <v>86.075000000000017</v>
      </c>
      <c r="K8" s="3"/>
      <c r="L8" s="11"/>
    </row>
    <row r="9" spans="1:12" x14ac:dyDescent="0.35">
      <c r="A9" s="16"/>
      <c r="B9">
        <v>2003</v>
      </c>
      <c r="C9" s="2">
        <v>33.091000000000001</v>
      </c>
      <c r="D9" s="2">
        <v>29.396000000000001</v>
      </c>
      <c r="E9" s="2">
        <v>12.943</v>
      </c>
      <c r="F9" s="38">
        <v>7.45</v>
      </c>
      <c r="G9" s="2">
        <v>7.1820000000000004</v>
      </c>
      <c r="H9" s="2">
        <v>1.51</v>
      </c>
      <c r="I9" s="20">
        <v>91.572000000000017</v>
      </c>
      <c r="K9" s="18"/>
      <c r="L9" s="11"/>
    </row>
    <row r="10" spans="1:12" x14ac:dyDescent="0.35">
      <c r="A10" s="16"/>
      <c r="B10">
        <v>2004</v>
      </c>
      <c r="C10" s="2">
        <v>33.503999999999998</v>
      </c>
      <c r="D10" s="2">
        <v>29.518999999999998</v>
      </c>
      <c r="E10" s="2">
        <v>12.522</v>
      </c>
      <c r="F10" s="38">
        <v>7.6840000000000002</v>
      </c>
      <c r="G10" s="2">
        <v>6.5890000000000004</v>
      </c>
      <c r="H10" s="2">
        <v>1.2549999999999999</v>
      </c>
      <c r="I10" s="20">
        <v>91.072999999999993</v>
      </c>
      <c r="K10" s="18"/>
    </row>
    <row r="11" spans="1:12" x14ac:dyDescent="0.35">
      <c r="A11" s="16"/>
      <c r="B11">
        <v>2005</v>
      </c>
      <c r="C11" s="2">
        <v>33.277999999999999</v>
      </c>
      <c r="D11" s="2">
        <v>28.803999999999998</v>
      </c>
      <c r="E11" s="2">
        <v>11.353999999999999</v>
      </c>
      <c r="F11" s="38">
        <v>7.6459999999999999</v>
      </c>
      <c r="G11" s="2">
        <v>6.7969999999999997</v>
      </c>
      <c r="H11" s="2">
        <v>0.378</v>
      </c>
      <c r="I11" s="20">
        <v>88.256999999999991</v>
      </c>
      <c r="K11" s="18"/>
    </row>
    <row r="12" spans="1:12" x14ac:dyDescent="0.35">
      <c r="A12" s="16"/>
      <c r="B12">
        <v>2006</v>
      </c>
      <c r="C12" s="2">
        <v>33.235999999999997</v>
      </c>
      <c r="D12" s="2">
        <v>29.184000000000001</v>
      </c>
      <c r="E12" s="2">
        <v>10.097</v>
      </c>
      <c r="F12" s="38">
        <v>7.6360000000000001</v>
      </c>
      <c r="G12" s="2">
        <v>6.8940000000000001</v>
      </c>
      <c r="H12" s="2">
        <v>0.214</v>
      </c>
      <c r="I12" s="20">
        <v>87.260999999999996</v>
      </c>
      <c r="J12" s="4"/>
      <c r="K12" s="5"/>
    </row>
    <row r="13" spans="1:12" x14ac:dyDescent="0.35">
      <c r="A13" s="16"/>
      <c r="B13">
        <v>2007</v>
      </c>
      <c r="C13" s="2">
        <v>34.593000000000004</v>
      </c>
      <c r="D13" s="2">
        <v>30.649000000000001</v>
      </c>
      <c r="E13" s="2">
        <v>10.500999999999999</v>
      </c>
      <c r="F13" s="38">
        <v>7.79</v>
      </c>
      <c r="G13" s="2">
        <v>7.1159999999999997</v>
      </c>
      <c r="H13" s="2">
        <v>0.25</v>
      </c>
      <c r="I13" s="20">
        <v>90.899000000000015</v>
      </c>
      <c r="J13" s="4"/>
      <c r="K13" s="5"/>
    </row>
    <row r="14" spans="1:12" x14ac:dyDescent="0.35">
      <c r="A14" s="16"/>
      <c r="B14">
        <v>2008</v>
      </c>
      <c r="C14" s="2">
        <v>34.848999999999997</v>
      </c>
      <c r="D14" s="2">
        <v>27.645</v>
      </c>
      <c r="E14" s="2">
        <v>9.5030000000000001</v>
      </c>
      <c r="F14" s="38">
        <v>7.75</v>
      </c>
      <c r="G14" s="2">
        <v>6.9950000000000001</v>
      </c>
      <c r="H14" s="2">
        <v>0.23300000000000001</v>
      </c>
      <c r="I14" s="20">
        <v>86.975000000000009</v>
      </c>
      <c r="J14" s="4"/>
      <c r="K14" s="5"/>
    </row>
    <row r="15" spans="1:12" x14ac:dyDescent="0.35">
      <c r="A15" s="16"/>
      <c r="B15">
        <v>2009</v>
      </c>
      <c r="C15" s="2">
        <v>34.58</v>
      </c>
      <c r="D15" s="2">
        <v>26.271000000000001</v>
      </c>
      <c r="E15" s="2">
        <v>10.218999999999999</v>
      </c>
      <c r="F15" s="38">
        <v>7.7069999999999999</v>
      </c>
      <c r="G15" s="2">
        <v>6.9059999999999997</v>
      </c>
      <c r="H15" s="2">
        <v>0.38200000000000001</v>
      </c>
      <c r="I15" s="20">
        <v>86.064999999999998</v>
      </c>
      <c r="J15" s="4"/>
      <c r="K15" s="5"/>
    </row>
    <row r="16" spans="1:12" x14ac:dyDescent="0.35">
      <c r="A16" s="16"/>
      <c r="B16">
        <v>2010</v>
      </c>
      <c r="C16" s="2">
        <v>34.450000000000003</v>
      </c>
      <c r="D16" s="2">
        <v>25.515000000000001</v>
      </c>
      <c r="E16" s="2">
        <v>9.2309999999999999</v>
      </c>
      <c r="F16" s="60">
        <v>7.7149999999999999</v>
      </c>
      <c r="G16" s="2">
        <v>6.7279999999999998</v>
      </c>
      <c r="H16" s="2">
        <v>0.20799999999999999</v>
      </c>
      <c r="I16" s="20">
        <v>83.846999999999994</v>
      </c>
      <c r="J16" s="4"/>
      <c r="K16" s="5"/>
    </row>
    <row r="17" spans="1:12" x14ac:dyDescent="0.35">
      <c r="A17" s="16"/>
      <c r="B17">
        <v>2011</v>
      </c>
      <c r="C17" s="2">
        <v>35.762</v>
      </c>
      <c r="D17" s="2">
        <v>25.32</v>
      </c>
      <c r="E17" s="2">
        <v>8.9280000000000008</v>
      </c>
      <c r="F17" s="38">
        <v>7.7069999999999999</v>
      </c>
      <c r="G17" s="2">
        <v>6.6390000000000002</v>
      </c>
      <c r="H17" s="2">
        <v>0.215</v>
      </c>
      <c r="I17" s="20">
        <v>84.570999999999998</v>
      </c>
      <c r="J17" s="4"/>
      <c r="K17" s="5"/>
    </row>
    <row r="18" spans="1:12" x14ac:dyDescent="0.35">
      <c r="A18" s="16"/>
      <c r="B18">
        <v>2012</v>
      </c>
      <c r="C18" s="2">
        <v>35.17</v>
      </c>
      <c r="D18" s="2">
        <v>25.407</v>
      </c>
      <c r="E18" s="2">
        <v>7.7160000000000002</v>
      </c>
      <c r="F18" s="38">
        <v>7.7770000000000001</v>
      </c>
      <c r="G18" s="2">
        <v>6.5350000000000001</v>
      </c>
      <c r="H18" s="2">
        <v>0.20699999999999999</v>
      </c>
      <c r="I18" s="20">
        <v>82.811999999999983</v>
      </c>
      <c r="J18" s="4"/>
      <c r="K18" s="5"/>
    </row>
    <row r="19" spans="1:12" x14ac:dyDescent="0.35">
      <c r="A19" s="16"/>
      <c r="B19">
        <v>2013</v>
      </c>
      <c r="C19" s="2">
        <v>34.674999999999997</v>
      </c>
      <c r="D19" s="2">
        <v>25.387</v>
      </c>
      <c r="E19" s="2">
        <v>7.8879999999999999</v>
      </c>
      <c r="F19" s="38">
        <v>7.8719999999999999</v>
      </c>
      <c r="G19" s="2">
        <v>6.5019999999999998</v>
      </c>
      <c r="H19" s="2">
        <v>0.214</v>
      </c>
      <c r="I19" s="20">
        <v>82.537999999999997</v>
      </c>
      <c r="J19" s="24">
        <f>SUM(I19:I20)</f>
        <v>163.49799999999999</v>
      </c>
      <c r="K19" s="17">
        <v>36.664703000000003</v>
      </c>
      <c r="L19" s="11">
        <f>K19/J19</f>
        <v>0.22425169115218538</v>
      </c>
    </row>
    <row r="20" spans="1:12" x14ac:dyDescent="0.35">
      <c r="A20" s="16"/>
      <c r="B20">
        <v>2014</v>
      </c>
      <c r="C20" s="2">
        <v>33.048999999999999</v>
      </c>
      <c r="D20" s="2">
        <v>25.35</v>
      </c>
      <c r="E20" s="2">
        <v>8.1890000000000001</v>
      </c>
      <c r="F20" s="2">
        <v>7.6890000000000001</v>
      </c>
      <c r="G20" s="2">
        <v>6.4610000000000003</v>
      </c>
      <c r="H20" s="2">
        <v>0.222</v>
      </c>
      <c r="I20" s="20">
        <v>80.95999999999998</v>
      </c>
      <c r="K20" s="17"/>
    </row>
    <row r="21" spans="1:12" x14ac:dyDescent="0.35">
      <c r="A21" s="15"/>
      <c r="B21">
        <v>2015</v>
      </c>
      <c r="C21" s="2">
        <v>33.625999999999998</v>
      </c>
      <c r="D21" s="2">
        <v>24.358000000000001</v>
      </c>
      <c r="E21" s="2">
        <v>8.2729999999999997</v>
      </c>
      <c r="F21" s="2">
        <v>7.774</v>
      </c>
      <c r="G21" s="2">
        <v>6.6970000000000001</v>
      </c>
      <c r="H21" s="2">
        <v>0.19400000000000001</v>
      </c>
      <c r="I21" s="20">
        <v>80.921999999999997</v>
      </c>
      <c r="J21" s="2">
        <f>SUM(I21:I23)</f>
        <v>245.053</v>
      </c>
      <c r="K21" s="2">
        <v>176.14551800000001</v>
      </c>
      <c r="L21" s="11">
        <f>K21/J21</f>
        <v>0.71880580119402748</v>
      </c>
    </row>
    <row r="22" spans="1:12" x14ac:dyDescent="0.35">
      <c r="B22">
        <v>2016</v>
      </c>
      <c r="C22" s="2">
        <v>34.085000000000001</v>
      </c>
      <c r="D22" s="2">
        <v>23.472000000000001</v>
      </c>
      <c r="E22" s="2">
        <v>8.2609999999999992</v>
      </c>
      <c r="F22" s="2">
        <v>7.8090000000000002</v>
      </c>
      <c r="G22" s="2">
        <v>6.9960000000000004</v>
      </c>
      <c r="H22" s="2">
        <v>0.22600000000000001</v>
      </c>
      <c r="I22" s="20">
        <v>80.84899999999999</v>
      </c>
      <c r="L22" s="11"/>
    </row>
    <row r="23" spans="1:12" x14ac:dyDescent="0.35">
      <c r="B23">
        <v>2017</v>
      </c>
      <c r="C23" s="2">
        <v>35.805</v>
      </c>
      <c r="D23" s="2">
        <v>24.521000000000001</v>
      </c>
      <c r="E23" s="2">
        <v>8.2780000000000005</v>
      </c>
      <c r="F23" s="2">
        <v>7.7009999999999996</v>
      </c>
      <c r="G23" s="2">
        <v>6.7510000000000003</v>
      </c>
      <c r="H23" s="2">
        <v>0.22600000000000001</v>
      </c>
      <c r="I23" s="20">
        <v>83.281999999999996</v>
      </c>
      <c r="L23" s="11"/>
    </row>
    <row r="24" spans="1:12" x14ac:dyDescent="0.35">
      <c r="B24">
        <v>2018</v>
      </c>
      <c r="C24" s="2">
        <v>35.094000000000001</v>
      </c>
      <c r="D24" s="2">
        <v>24.532</v>
      </c>
      <c r="E24" s="2">
        <v>8.0559999999999992</v>
      </c>
      <c r="F24" s="2">
        <v>7.7539999999999996</v>
      </c>
      <c r="G24" s="2">
        <v>6.6040000000000001</v>
      </c>
      <c r="H24" s="2">
        <v>0.23300000000000001</v>
      </c>
      <c r="I24" s="20">
        <v>82.27300000000001</v>
      </c>
      <c r="J24" s="4">
        <f>SUM(I24:I26)</f>
        <v>240.60300000000001</v>
      </c>
      <c r="K24" s="2">
        <v>178.17858699999999</v>
      </c>
      <c r="L24" s="11">
        <f>K24/J24</f>
        <v>0.74055014692252374</v>
      </c>
    </row>
    <row r="25" spans="1:12" x14ac:dyDescent="0.35">
      <c r="B25">
        <v>2019</v>
      </c>
      <c r="C25" s="2">
        <v>36.520000000000003</v>
      </c>
      <c r="D25" s="2">
        <v>24.798999999999999</v>
      </c>
      <c r="E25" s="2">
        <v>8.4220000000000006</v>
      </c>
      <c r="F25" s="2">
        <v>7.7759999999999998</v>
      </c>
      <c r="G25" s="2">
        <v>6.5839999999999996</v>
      </c>
      <c r="H25" s="2">
        <v>0.219</v>
      </c>
      <c r="I25" s="20">
        <v>84.32</v>
      </c>
      <c r="J25" s="4"/>
    </row>
    <row r="26" spans="1:12" x14ac:dyDescent="0.35">
      <c r="B26">
        <v>2020</v>
      </c>
      <c r="C26">
        <v>31.64</v>
      </c>
      <c r="D26">
        <v>22.67</v>
      </c>
      <c r="E26">
        <v>7.1</v>
      </c>
      <c r="F26">
        <v>7.88</v>
      </c>
      <c r="G26">
        <v>4.49</v>
      </c>
      <c r="H26">
        <v>0.23</v>
      </c>
      <c r="I26" s="61">
        <f>SUM(C26:H26)</f>
        <v>74.010000000000005</v>
      </c>
      <c r="J26" s="4"/>
    </row>
    <row r="27" spans="1:12" x14ac:dyDescent="0.35">
      <c r="B27">
        <v>2021</v>
      </c>
      <c r="C27" s="21"/>
      <c r="D27" s="21"/>
      <c r="E27" s="21"/>
      <c r="F27" s="21"/>
      <c r="G27" s="21"/>
      <c r="H27" s="21"/>
      <c r="I27" s="23">
        <f>I26+($I$36-$I$26)/10</f>
        <v>73.269000000000005</v>
      </c>
      <c r="J27" s="4">
        <f>SUM(I27:I29)</f>
        <v>217.58400000000003</v>
      </c>
      <c r="K27" s="4">
        <f>J27*L27</f>
        <v>158.76625230749588</v>
      </c>
      <c r="L27" s="25">
        <f>AVERAGE(L24,L21)</f>
        <v>0.72967797405827561</v>
      </c>
    </row>
    <row r="28" spans="1:12" x14ac:dyDescent="0.35">
      <c r="B28">
        <v>2022</v>
      </c>
      <c r="C28" s="21"/>
      <c r="D28" s="21"/>
      <c r="E28" s="21"/>
      <c r="F28" s="21"/>
      <c r="G28" s="21"/>
      <c r="H28" s="21"/>
      <c r="I28" s="23">
        <f t="shared" ref="I28:I35" si="0">I27+($I$36-$I$26)/10</f>
        <v>72.528000000000006</v>
      </c>
      <c r="J28" s="4"/>
      <c r="K28" s="4"/>
      <c r="L28" s="9"/>
    </row>
    <row r="29" spans="1:12" x14ac:dyDescent="0.35">
      <c r="B29">
        <v>2023</v>
      </c>
      <c r="C29" s="21"/>
      <c r="D29" s="21"/>
      <c r="E29" s="21"/>
      <c r="F29" s="21"/>
      <c r="G29" s="21"/>
      <c r="H29" s="21"/>
      <c r="I29" s="23">
        <f t="shared" si="0"/>
        <v>71.787000000000006</v>
      </c>
      <c r="J29" s="4"/>
      <c r="K29" s="4"/>
      <c r="L29" s="9"/>
    </row>
    <row r="30" spans="1:12" x14ac:dyDescent="0.35">
      <c r="B30">
        <v>2024</v>
      </c>
      <c r="C30" s="21"/>
      <c r="D30" s="21"/>
      <c r="E30" s="21"/>
      <c r="F30" s="21"/>
      <c r="G30" s="21"/>
      <c r="H30" s="21"/>
      <c r="I30" s="23">
        <f t="shared" si="0"/>
        <v>71.046000000000006</v>
      </c>
      <c r="J30" s="4">
        <f>SUM(I30:I32)</f>
        <v>210.91500000000002</v>
      </c>
      <c r="K30" s="4">
        <f>J30*L30</f>
        <v>153.9000298985012</v>
      </c>
      <c r="L30" s="25">
        <f>AVERAGE(L21,L24)</f>
        <v>0.72967797405827561</v>
      </c>
    </row>
    <row r="31" spans="1:12" x14ac:dyDescent="0.35">
      <c r="B31">
        <v>2025</v>
      </c>
      <c r="C31" s="21"/>
      <c r="D31" s="21"/>
      <c r="E31" s="21"/>
      <c r="F31" s="21"/>
      <c r="G31" s="21"/>
      <c r="H31" s="21"/>
      <c r="I31" s="23">
        <f t="shared" si="0"/>
        <v>70.305000000000007</v>
      </c>
      <c r="J31" s="4"/>
      <c r="K31" s="4"/>
      <c r="L31" s="9"/>
    </row>
    <row r="32" spans="1:12" x14ac:dyDescent="0.35">
      <c r="B32">
        <v>2026</v>
      </c>
      <c r="C32" s="21"/>
      <c r="D32" s="21"/>
      <c r="E32" s="21"/>
      <c r="F32" s="21"/>
      <c r="G32" s="21"/>
      <c r="H32" s="21"/>
      <c r="I32" s="23">
        <f t="shared" si="0"/>
        <v>69.564000000000007</v>
      </c>
      <c r="J32" s="4"/>
      <c r="K32" s="4"/>
      <c r="L32" s="9"/>
    </row>
    <row r="33" spans="1:12" x14ac:dyDescent="0.35">
      <c r="B33">
        <v>2027</v>
      </c>
      <c r="C33" s="21"/>
      <c r="D33" s="21"/>
      <c r="E33" s="21"/>
      <c r="F33" s="21"/>
      <c r="G33" s="21"/>
      <c r="H33" s="21"/>
      <c r="I33" s="23">
        <f t="shared" si="0"/>
        <v>68.823000000000008</v>
      </c>
      <c r="J33" s="4">
        <f>SUM(I33:I35)</f>
        <v>204.24600000000004</v>
      </c>
      <c r="K33" s="4">
        <f>J33*L33</f>
        <v>149.03380748950659</v>
      </c>
      <c r="L33" s="25">
        <f>AVERAGE(L21,L24)</f>
        <v>0.72967797405827561</v>
      </c>
    </row>
    <row r="34" spans="1:12" x14ac:dyDescent="0.35">
      <c r="B34">
        <v>2028</v>
      </c>
      <c r="C34" s="21"/>
      <c r="D34" s="21"/>
      <c r="E34" s="21"/>
      <c r="F34" s="21"/>
      <c r="G34" s="21"/>
      <c r="H34" s="21"/>
      <c r="I34" s="23">
        <f t="shared" si="0"/>
        <v>68.082000000000008</v>
      </c>
    </row>
    <row r="35" spans="1:12" x14ac:dyDescent="0.35">
      <c r="B35">
        <v>2029</v>
      </c>
      <c r="C35" s="21"/>
      <c r="D35" s="21"/>
      <c r="E35" s="21"/>
      <c r="F35" s="21"/>
      <c r="G35" s="21"/>
      <c r="H35" s="21"/>
      <c r="I35" s="23">
        <f t="shared" si="0"/>
        <v>67.341000000000008</v>
      </c>
    </row>
    <row r="36" spans="1:12" s="2" customFormat="1" ht="15.5" x14ac:dyDescent="0.35">
      <c r="A36"/>
      <c r="B36">
        <v>2030</v>
      </c>
      <c r="C36" s="21"/>
      <c r="D36" s="21"/>
      <c r="E36" s="21"/>
      <c r="F36" s="21"/>
      <c r="G36" s="21"/>
      <c r="H36" s="21"/>
      <c r="I36" s="55">
        <f>79-12.4</f>
        <v>66.599999999999994</v>
      </c>
      <c r="J36" s="4">
        <f>I36*L33</f>
        <v>48.596553072281154</v>
      </c>
      <c r="L36"/>
    </row>
    <row r="39" spans="1:12" s="2" customFormat="1" x14ac:dyDescent="0.35">
      <c r="A39"/>
      <c r="B39" s="51"/>
      <c r="C39" s="1"/>
      <c r="D39" s="1"/>
      <c r="E39" s="1"/>
      <c r="F39" s="1"/>
      <c r="G39" s="1"/>
      <c r="H39" s="1"/>
      <c r="I39" s="19"/>
      <c r="L3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98C5-562B-4397-9DFD-ACEE8F666F16}">
  <dimension ref="B1:AI59"/>
  <sheetViews>
    <sheetView zoomScale="55" zoomScaleNormal="55" workbookViewId="0">
      <selection activeCell="M26" sqref="M26"/>
    </sheetView>
  </sheetViews>
  <sheetFormatPr baseColWidth="10" defaultRowHeight="14.5" x14ac:dyDescent="0.35"/>
  <cols>
    <col min="2" max="4" width="25.453125" customWidth="1"/>
    <col min="5" max="5" width="18.54296875" customWidth="1"/>
    <col min="6" max="6" width="27.08984375" customWidth="1"/>
    <col min="7" max="7" width="17.1796875" customWidth="1"/>
    <col min="8" max="8" width="20.1796875" customWidth="1"/>
    <col min="9" max="9" width="25.6328125" customWidth="1"/>
    <col min="10" max="10" width="17.7265625" style="31" customWidth="1"/>
    <col min="11" max="11" width="26.08984375" customWidth="1"/>
    <col min="12" max="12" width="20.7265625" customWidth="1"/>
    <col min="13" max="13" width="21.1796875" customWidth="1"/>
    <col min="14" max="14" width="35.90625" customWidth="1"/>
  </cols>
  <sheetData>
    <row r="1" spans="2:35" ht="23.5" x14ac:dyDescent="0.55000000000000004">
      <c r="B1" s="44" t="s">
        <v>24</v>
      </c>
      <c r="J1" s="31">
        <f>J5*0.6</f>
        <v>256.2</v>
      </c>
    </row>
    <row r="2" spans="2:35" x14ac:dyDescent="0.35">
      <c r="L2" s="10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0"/>
      <c r="AI2" s="10"/>
    </row>
    <row r="3" spans="2:35" x14ac:dyDescent="0.35">
      <c r="J3" s="32"/>
      <c r="L3" s="10"/>
      <c r="M3" s="27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10"/>
      <c r="AI3" s="10"/>
    </row>
    <row r="4" spans="2:35" x14ac:dyDescent="0.35">
      <c r="B4" s="30" t="s">
        <v>14</v>
      </c>
      <c r="C4" s="30" t="s">
        <v>7</v>
      </c>
      <c r="D4" s="30" t="s">
        <v>8</v>
      </c>
      <c r="E4" s="30" t="s">
        <v>9</v>
      </c>
      <c r="F4" s="30" t="s">
        <v>10</v>
      </c>
      <c r="G4" s="30" t="s">
        <v>11</v>
      </c>
      <c r="H4" s="30" t="s">
        <v>12</v>
      </c>
      <c r="I4" s="30" t="s">
        <v>13</v>
      </c>
      <c r="J4" s="32" t="s">
        <v>16</v>
      </c>
      <c r="K4" s="33" t="s">
        <v>17</v>
      </c>
      <c r="M4" s="33" t="s">
        <v>38</v>
      </c>
      <c r="N4" s="28" t="s">
        <v>18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10"/>
      <c r="AI4" s="10"/>
    </row>
    <row r="5" spans="2:35" ht="18.5" x14ac:dyDescent="0.45">
      <c r="B5" s="47">
        <v>1990</v>
      </c>
      <c r="C5" s="47"/>
      <c r="D5" s="47"/>
      <c r="E5" s="47"/>
      <c r="F5" s="47"/>
      <c r="G5" s="47"/>
      <c r="H5" s="47"/>
      <c r="I5" s="47"/>
      <c r="J5" s="48">
        <v>427</v>
      </c>
      <c r="K5" s="33"/>
      <c r="M5" s="33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10"/>
      <c r="AI5" s="10"/>
    </row>
    <row r="6" spans="2:35" x14ac:dyDescent="0.35">
      <c r="B6" s="29">
        <v>2000</v>
      </c>
      <c r="C6" s="28">
        <v>175.7</v>
      </c>
      <c r="D6" s="28">
        <v>104.7</v>
      </c>
      <c r="E6" s="28">
        <v>93</v>
      </c>
      <c r="F6" s="28">
        <v>44.2</v>
      </c>
      <c r="G6" s="28">
        <v>30.8</v>
      </c>
      <c r="H6" s="28">
        <v>6.3</v>
      </c>
      <c r="I6" s="28">
        <v>7.1</v>
      </c>
      <c r="J6" s="35">
        <f>SUM(C6:I6)</f>
        <v>461.8</v>
      </c>
      <c r="L6" s="1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10"/>
      <c r="AI6" s="10"/>
    </row>
    <row r="7" spans="2:35" x14ac:dyDescent="0.35">
      <c r="B7" s="29">
        <v>2001</v>
      </c>
      <c r="C7" s="72">
        <v>175.7</v>
      </c>
      <c r="D7" s="72">
        <v>121.9</v>
      </c>
      <c r="E7" s="72">
        <v>92.5</v>
      </c>
      <c r="F7" s="72">
        <v>42.6</v>
      </c>
      <c r="G7" s="72">
        <v>31.1</v>
      </c>
      <c r="H7" s="72">
        <v>6.6</v>
      </c>
      <c r="I7" s="72">
        <v>7.3</v>
      </c>
      <c r="J7" s="35">
        <f t="shared" ref="J7:J25" si="0">SUM(C7:I7)</f>
        <v>477.7000000000001</v>
      </c>
      <c r="L7" s="10"/>
      <c r="M7" s="27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10"/>
      <c r="AI7" s="10"/>
    </row>
    <row r="8" spans="2:35" x14ac:dyDescent="0.35">
      <c r="B8" s="29">
        <v>2002</v>
      </c>
      <c r="C8" s="72">
        <v>183</v>
      </c>
      <c r="D8" s="72">
        <v>108.6</v>
      </c>
      <c r="E8" s="72">
        <v>93.7</v>
      </c>
      <c r="F8" s="72">
        <v>43.6</v>
      </c>
      <c r="G8" s="72">
        <v>33.1</v>
      </c>
      <c r="H8" s="72">
        <v>7.1</v>
      </c>
      <c r="I8" s="72">
        <v>7.3</v>
      </c>
      <c r="J8" s="35">
        <f t="shared" si="0"/>
        <v>476.40000000000009</v>
      </c>
      <c r="L8" s="10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10"/>
      <c r="AI8" s="10"/>
    </row>
    <row r="9" spans="2:35" x14ac:dyDescent="0.35">
      <c r="B9" s="29">
        <v>2003</v>
      </c>
      <c r="C9" s="72">
        <v>180.2</v>
      </c>
      <c r="D9" s="72">
        <v>112.5</v>
      </c>
      <c r="E9" s="72">
        <v>92</v>
      </c>
      <c r="F9" s="72">
        <v>42.7</v>
      </c>
      <c r="G9" s="72">
        <v>33.6</v>
      </c>
      <c r="H9" s="72">
        <v>7.8</v>
      </c>
      <c r="I9" s="72">
        <v>7.4</v>
      </c>
      <c r="J9" s="35">
        <f t="shared" si="0"/>
        <v>476.2</v>
      </c>
      <c r="L9" s="10"/>
      <c r="M9" s="27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10"/>
      <c r="AI9" s="10"/>
    </row>
    <row r="10" spans="2:35" x14ac:dyDescent="0.35">
      <c r="B10" s="29">
        <v>2004</v>
      </c>
      <c r="C10" s="72">
        <v>181.5</v>
      </c>
      <c r="D10" s="72">
        <v>115.1</v>
      </c>
      <c r="E10" s="72">
        <v>95.4</v>
      </c>
      <c r="F10" s="72">
        <v>45.3</v>
      </c>
      <c r="G10" s="72">
        <v>32.9</v>
      </c>
      <c r="H10" s="72">
        <v>8.5</v>
      </c>
      <c r="I10" s="72">
        <v>7.4</v>
      </c>
      <c r="J10" s="35">
        <f t="shared" si="0"/>
        <v>486.09999999999997</v>
      </c>
      <c r="L10" s="10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10"/>
      <c r="AI10" s="10"/>
    </row>
    <row r="11" spans="2:35" x14ac:dyDescent="0.35">
      <c r="B11" s="29">
        <v>2005</v>
      </c>
      <c r="C11" s="72">
        <v>183.1</v>
      </c>
      <c r="D11" s="72">
        <v>107.8</v>
      </c>
      <c r="E11" s="72">
        <v>93.2</v>
      </c>
      <c r="F11" s="72">
        <v>43.4</v>
      </c>
      <c r="G11" s="72">
        <v>33.700000000000003</v>
      </c>
      <c r="H11" s="72">
        <v>9.3000000000000007</v>
      </c>
      <c r="I11" s="72">
        <v>7.6</v>
      </c>
      <c r="J11" s="35">
        <f t="shared" si="0"/>
        <v>478.09999999999997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2:35" x14ac:dyDescent="0.35">
      <c r="B12" s="29">
        <v>2006</v>
      </c>
      <c r="C12" s="72">
        <v>183</v>
      </c>
      <c r="D12" s="72">
        <v>104.4</v>
      </c>
      <c r="E12" s="72">
        <v>92.9</v>
      </c>
      <c r="F12" s="72">
        <v>43.6</v>
      </c>
      <c r="G12" s="72">
        <v>34.5</v>
      </c>
      <c r="H12" s="72">
        <v>10.1</v>
      </c>
      <c r="I12" s="72">
        <v>7.7</v>
      </c>
      <c r="J12" s="35">
        <f t="shared" si="0"/>
        <v>476.2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2:35" x14ac:dyDescent="0.35">
      <c r="B13" s="29">
        <v>2007</v>
      </c>
      <c r="C13" s="72">
        <v>182.8</v>
      </c>
      <c r="D13" s="72">
        <v>113.8</v>
      </c>
      <c r="E13" s="72">
        <v>90.3</v>
      </c>
      <c r="F13" s="72">
        <v>44</v>
      </c>
      <c r="G13" s="72">
        <v>35.1</v>
      </c>
      <c r="H13" s="72">
        <v>10.8</v>
      </c>
      <c r="I13" s="72">
        <v>7.8</v>
      </c>
      <c r="J13" s="35">
        <f t="shared" si="0"/>
        <v>484.60000000000008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2:35" x14ac:dyDescent="0.35">
      <c r="B14" s="29">
        <v>2008</v>
      </c>
      <c r="C14" s="72">
        <v>171.9</v>
      </c>
      <c r="D14" s="72">
        <v>120.1</v>
      </c>
      <c r="E14" s="72">
        <v>88.1</v>
      </c>
      <c r="F14" s="72">
        <v>44.4</v>
      </c>
      <c r="G14" s="72">
        <v>35</v>
      </c>
      <c r="H14" s="72">
        <v>11.7</v>
      </c>
      <c r="I14" s="72">
        <v>7.9</v>
      </c>
      <c r="J14" s="35">
        <f t="shared" si="0"/>
        <v>479.09999999999997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2:35" x14ac:dyDescent="0.35">
      <c r="B15" s="29">
        <v>2009</v>
      </c>
      <c r="C15" s="72">
        <v>165.7</v>
      </c>
      <c r="D15" s="72">
        <v>101.3</v>
      </c>
      <c r="E15" s="72">
        <v>85.6</v>
      </c>
      <c r="F15" s="72">
        <v>44.5</v>
      </c>
      <c r="G15" s="72">
        <v>32.799999999999997</v>
      </c>
      <c r="H15" s="72">
        <v>12.3</v>
      </c>
      <c r="I15" s="72">
        <v>8</v>
      </c>
      <c r="J15" s="35">
        <f t="shared" si="0"/>
        <v>450.20000000000005</v>
      </c>
      <c r="L15" s="10"/>
      <c r="M15" s="10"/>
      <c r="N15" s="27"/>
      <c r="O15" s="27"/>
      <c r="P15" s="27"/>
      <c r="Q15" s="27"/>
      <c r="R15" s="27"/>
      <c r="S15" s="27"/>
      <c r="T15" s="27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2:35" x14ac:dyDescent="0.35">
      <c r="B16" s="29">
        <v>2010</v>
      </c>
      <c r="C16" s="72">
        <v>162.9</v>
      </c>
      <c r="D16" s="72">
        <v>90.3</v>
      </c>
      <c r="E16" s="72">
        <v>87.8</v>
      </c>
      <c r="F16" s="72">
        <v>46</v>
      </c>
      <c r="G16" s="72">
        <v>33.6</v>
      </c>
      <c r="H16" s="72">
        <v>13.5</v>
      </c>
      <c r="I16" s="72">
        <v>8.1</v>
      </c>
      <c r="J16" s="35">
        <f t="shared" si="0"/>
        <v>442.20000000000005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2:35" x14ac:dyDescent="0.35">
      <c r="B17" s="29">
        <v>2011</v>
      </c>
      <c r="C17" s="72">
        <v>159.5</v>
      </c>
      <c r="D17" s="72">
        <v>89.2</v>
      </c>
      <c r="E17" s="72">
        <v>85.8</v>
      </c>
      <c r="F17" s="72">
        <v>46</v>
      </c>
      <c r="G17" s="72">
        <v>34.200000000000003</v>
      </c>
      <c r="H17" s="72">
        <v>14.5</v>
      </c>
      <c r="I17" s="72">
        <v>8.1999999999999993</v>
      </c>
      <c r="J17" s="35">
        <f t="shared" si="0"/>
        <v>437.4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2:35" x14ac:dyDescent="0.35">
      <c r="B18" s="29">
        <v>2012</v>
      </c>
      <c r="C18" s="72">
        <v>156.9</v>
      </c>
      <c r="D18" s="72">
        <v>98.9</v>
      </c>
      <c r="E18" s="72">
        <v>80.7</v>
      </c>
      <c r="F18" s="72">
        <v>39.200000000000003</v>
      </c>
      <c r="G18" s="72">
        <v>35.200000000000003</v>
      </c>
      <c r="H18" s="72">
        <v>15.5</v>
      </c>
      <c r="I18" s="72">
        <v>8.1999999999999993</v>
      </c>
      <c r="J18" s="35">
        <f t="shared" si="0"/>
        <v>434.59999999999997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2:35" x14ac:dyDescent="0.35">
      <c r="B19" s="29">
        <v>2013</v>
      </c>
      <c r="C19" s="72">
        <v>157</v>
      </c>
      <c r="D19" s="72">
        <v>93.4</v>
      </c>
      <c r="E19" s="72">
        <v>83</v>
      </c>
      <c r="F19" s="72">
        <v>39.1</v>
      </c>
      <c r="G19" s="72">
        <v>33.9</v>
      </c>
      <c r="H19" s="72">
        <v>16.8</v>
      </c>
      <c r="I19" s="72">
        <v>8.3000000000000007</v>
      </c>
      <c r="J19" s="35">
        <f t="shared" si="0"/>
        <v>431.5</v>
      </c>
      <c r="K19" s="10">
        <v>144.99997500000001</v>
      </c>
      <c r="L19" s="37"/>
      <c r="M19" s="39">
        <f>K19/J19</f>
        <v>0.33603702201622249</v>
      </c>
      <c r="N19" s="10">
        <f>SUM(K19:K20)</f>
        <v>291.18120199999998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2:35" x14ac:dyDescent="0.35">
      <c r="B20" s="29">
        <v>2014</v>
      </c>
      <c r="C20" s="72">
        <v>157.69999999999999</v>
      </c>
      <c r="D20" s="72">
        <v>89.8</v>
      </c>
      <c r="E20" s="72">
        <v>85.2</v>
      </c>
      <c r="F20" s="72">
        <v>35.6</v>
      </c>
      <c r="G20" s="72">
        <v>33.9</v>
      </c>
      <c r="H20" s="72">
        <v>17.7</v>
      </c>
      <c r="I20" s="72">
        <v>8.3000000000000007</v>
      </c>
      <c r="J20" s="35">
        <f t="shared" si="0"/>
        <v>428.2</v>
      </c>
      <c r="K20" s="10">
        <v>146.18122699999998</v>
      </c>
      <c r="L20" s="38"/>
      <c r="M20" s="39">
        <f t="shared" ref="M20:M26" si="1">K20/J20</f>
        <v>0.34138539701074261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2:35" x14ac:dyDescent="0.35">
      <c r="B21" s="29">
        <v>2015</v>
      </c>
      <c r="C21" s="72">
        <v>161.5</v>
      </c>
      <c r="D21" s="72">
        <v>86</v>
      </c>
      <c r="E21" s="72">
        <v>83.2</v>
      </c>
      <c r="F21" s="72">
        <v>36.299999999999997</v>
      </c>
      <c r="G21" s="72">
        <v>32.6</v>
      </c>
      <c r="H21" s="72">
        <v>18.600000000000001</v>
      </c>
      <c r="I21" s="72">
        <v>8.4</v>
      </c>
      <c r="J21" s="35">
        <f t="shared" si="0"/>
        <v>426.6</v>
      </c>
      <c r="K21">
        <v>340.32349900000003</v>
      </c>
      <c r="L21" s="38"/>
      <c r="M21" s="39">
        <f t="shared" si="1"/>
        <v>0.79775785044538217</v>
      </c>
      <c r="N21">
        <f>SUM(K21:K23)</f>
        <v>981.44209300000011</v>
      </c>
    </row>
    <row r="22" spans="2:35" x14ac:dyDescent="0.35">
      <c r="B22" s="29">
        <v>2016</v>
      </c>
      <c r="C22" s="72">
        <v>165.2</v>
      </c>
      <c r="D22" s="72">
        <v>70.400000000000006</v>
      </c>
      <c r="E22" s="72">
        <v>81.599999999999994</v>
      </c>
      <c r="F22" s="72">
        <v>37.200000000000003</v>
      </c>
      <c r="G22" s="72">
        <v>32.200000000000003</v>
      </c>
      <c r="H22" s="72">
        <v>19.399999999999999</v>
      </c>
      <c r="I22" s="72">
        <v>8.5</v>
      </c>
      <c r="J22" s="35">
        <f t="shared" si="0"/>
        <v>414.49999999999994</v>
      </c>
      <c r="K22">
        <v>324.06901900000003</v>
      </c>
      <c r="L22" s="38"/>
      <c r="M22" s="39">
        <f t="shared" si="1"/>
        <v>0.78183116767189398</v>
      </c>
    </row>
    <row r="23" spans="2:35" x14ac:dyDescent="0.35">
      <c r="B23" s="29">
        <v>2017</v>
      </c>
      <c r="C23" s="28">
        <v>166.6</v>
      </c>
      <c r="D23" s="28">
        <v>64.2</v>
      </c>
      <c r="E23" s="28">
        <v>81.7</v>
      </c>
      <c r="F23" s="28">
        <v>37.6</v>
      </c>
      <c r="G23" s="28">
        <v>31.7</v>
      </c>
      <c r="H23" s="28">
        <v>20.100000000000001</v>
      </c>
      <c r="I23" s="28">
        <v>8.6</v>
      </c>
      <c r="J23" s="35">
        <f t="shared" si="0"/>
        <v>410.50000000000006</v>
      </c>
      <c r="K23">
        <v>317.049575</v>
      </c>
      <c r="L23" s="38"/>
      <c r="M23" s="39">
        <f t="shared" si="1"/>
        <v>0.77234975639464054</v>
      </c>
    </row>
    <row r="24" spans="2:35" x14ac:dyDescent="0.35">
      <c r="B24" s="29">
        <v>2018</v>
      </c>
      <c r="C24" s="28">
        <v>165.3</v>
      </c>
      <c r="D24" s="28">
        <v>65</v>
      </c>
      <c r="E24" s="28">
        <v>81.900000000000006</v>
      </c>
      <c r="F24" s="28">
        <v>37.4</v>
      </c>
      <c r="G24" s="28">
        <v>32.200000000000003</v>
      </c>
      <c r="H24" s="28">
        <v>20.5</v>
      </c>
      <c r="I24" s="28">
        <v>8.6999999999999993</v>
      </c>
      <c r="J24" s="35">
        <f t="shared" si="0"/>
        <v>411</v>
      </c>
      <c r="K24">
        <v>320.95495299999999</v>
      </c>
      <c r="L24" s="38"/>
      <c r="M24" s="39">
        <f t="shared" si="1"/>
        <v>0.78091229440389287</v>
      </c>
      <c r="N24">
        <f>SUM(K24:K26)</f>
        <v>912.24197400000014</v>
      </c>
    </row>
    <row r="25" spans="2:35" x14ac:dyDescent="0.35">
      <c r="B25" s="29">
        <v>2019</v>
      </c>
      <c r="C25" s="28">
        <v>162.4</v>
      </c>
      <c r="D25" s="28">
        <v>60.2</v>
      </c>
      <c r="E25" s="28">
        <v>80.400000000000006</v>
      </c>
      <c r="F25" s="28">
        <v>40.5</v>
      </c>
      <c r="G25" s="28">
        <v>31.4</v>
      </c>
      <c r="H25" s="28">
        <v>20.7</v>
      </c>
      <c r="I25" s="28">
        <v>8.8000000000000007</v>
      </c>
      <c r="J25" s="35">
        <f t="shared" si="0"/>
        <v>404.4</v>
      </c>
      <c r="K25">
        <v>311.74203199999999</v>
      </c>
      <c r="L25" s="38"/>
      <c r="M25" s="39">
        <f t="shared" si="1"/>
        <v>0.77087545004945601</v>
      </c>
    </row>
    <row r="26" spans="2:35" x14ac:dyDescent="0.35">
      <c r="B26" s="29">
        <v>2020</v>
      </c>
      <c r="C26" s="28">
        <v>135.80000000000001</v>
      </c>
      <c r="D26" s="28">
        <v>59.5</v>
      </c>
      <c r="E26" s="28">
        <v>73.3</v>
      </c>
      <c r="F26" s="28">
        <v>38.700000000000003</v>
      </c>
      <c r="G26" s="28">
        <v>31.6</v>
      </c>
      <c r="H26" s="28">
        <v>21.3</v>
      </c>
      <c r="I26" s="28">
        <v>8.9</v>
      </c>
      <c r="J26" s="36">
        <f>SUM(C26:I26)</f>
        <v>369.1</v>
      </c>
      <c r="K26" s="50">
        <v>279.5449890000001</v>
      </c>
      <c r="L26" s="9">
        <f>J26*M27</f>
        <v>288.17309163001596</v>
      </c>
      <c r="M26" s="39">
        <f t="shared" si="1"/>
        <v>0.75736924681658113</v>
      </c>
    </row>
    <row r="27" spans="2:35" x14ac:dyDescent="0.35">
      <c r="B27" s="29">
        <v>2021</v>
      </c>
      <c r="C27" s="4">
        <v>145.17140000000001</v>
      </c>
      <c r="D27" s="4">
        <v>61.41984962405968</v>
      </c>
      <c r="E27" s="4">
        <v>87.044887218045119</v>
      </c>
      <c r="F27" s="4">
        <v>41.278872180451117</v>
      </c>
      <c r="G27" s="4">
        <v>33.771578947368411</v>
      </c>
      <c r="H27" s="4">
        <v>23.003383458646795</v>
      </c>
      <c r="I27" s="4">
        <v>9.015037593984971</v>
      </c>
      <c r="J27" s="36">
        <v>400.70500902255611</v>
      </c>
      <c r="K27" s="9"/>
      <c r="L27" s="9">
        <f>J27*M27</f>
        <v>312.8485540007137</v>
      </c>
      <c r="M27" s="12">
        <f>AVERAGE($M$21:$M$25)</f>
        <v>0.78074530379305318</v>
      </c>
      <c r="N27" s="9">
        <f>SUM(L27:L29)</f>
        <v>924.50703102863486</v>
      </c>
    </row>
    <row r="28" spans="2:35" x14ac:dyDescent="0.35">
      <c r="B28" s="29">
        <v>2022</v>
      </c>
      <c r="C28" s="4"/>
      <c r="D28" s="4"/>
      <c r="E28" s="4"/>
      <c r="F28" s="4"/>
      <c r="G28" s="4"/>
      <c r="H28" s="4"/>
      <c r="I28" s="4"/>
      <c r="J28" s="36">
        <f>J27+($J$36-$J$27)/9</f>
        <v>394.71132115136299</v>
      </c>
      <c r="K28" s="9"/>
      <c r="L28" s="9">
        <f t="shared" ref="L28:L36" si="2">J28*M28</f>
        <v>308.16901034287827</v>
      </c>
      <c r="M28" s="12">
        <f t="shared" ref="M28:M36" si="3">AVERAGE($M$21:$M$25)</f>
        <v>0.78074530379305318</v>
      </c>
      <c r="N28" s="9"/>
    </row>
    <row r="29" spans="2:35" x14ac:dyDescent="0.35">
      <c r="B29" s="29">
        <v>2023</v>
      </c>
      <c r="C29" s="4"/>
      <c r="D29" s="4"/>
      <c r="E29" s="4"/>
      <c r="F29" s="4"/>
      <c r="G29" s="4"/>
      <c r="H29" s="4"/>
      <c r="I29" s="4"/>
      <c r="J29" s="36">
        <f t="shared" ref="J29:J35" si="4">J28+($J$36-$J$27)/9</f>
        <v>388.71763328016988</v>
      </c>
      <c r="K29" s="9"/>
      <c r="L29" s="9">
        <f t="shared" si="2"/>
        <v>303.48946668504288</v>
      </c>
      <c r="M29" s="12">
        <f t="shared" si="3"/>
        <v>0.78074530379305318</v>
      </c>
      <c r="N29" s="9"/>
    </row>
    <row r="30" spans="2:35" x14ac:dyDescent="0.35">
      <c r="B30" s="29">
        <v>2024</v>
      </c>
      <c r="C30" s="4"/>
      <c r="D30" s="4"/>
      <c r="E30" s="4"/>
      <c r="F30" s="4"/>
      <c r="G30" s="4"/>
      <c r="H30" s="4"/>
      <c r="I30" s="4"/>
      <c r="J30" s="36">
        <f t="shared" si="4"/>
        <v>382.72394540897676</v>
      </c>
      <c r="K30" s="9"/>
      <c r="L30" s="9">
        <f t="shared" si="2"/>
        <v>298.80992302720745</v>
      </c>
      <c r="M30" s="12">
        <f t="shared" si="3"/>
        <v>0.78074530379305318</v>
      </c>
      <c r="N30" s="9">
        <f>SUM(L30:L32)</f>
        <v>882.39113810811614</v>
      </c>
    </row>
    <row r="31" spans="2:35" x14ac:dyDescent="0.35">
      <c r="B31" s="29">
        <v>2025</v>
      </c>
      <c r="C31" s="4"/>
      <c r="D31" s="4"/>
      <c r="E31" s="4"/>
      <c r="F31" s="4"/>
      <c r="G31" s="4"/>
      <c r="H31" s="4"/>
      <c r="I31" s="4"/>
      <c r="J31" s="36">
        <f t="shared" si="4"/>
        <v>376.73025753778364</v>
      </c>
      <c r="K31" s="9"/>
      <c r="L31" s="9">
        <f t="shared" si="2"/>
        <v>294.13037936937206</v>
      </c>
      <c r="M31" s="12">
        <f t="shared" si="3"/>
        <v>0.78074530379305318</v>
      </c>
      <c r="N31" s="9"/>
    </row>
    <row r="32" spans="2:35" x14ac:dyDescent="0.35">
      <c r="B32" s="29">
        <v>2026</v>
      </c>
      <c r="C32" s="4"/>
      <c r="D32" s="4"/>
      <c r="E32" s="4"/>
      <c r="F32" s="4"/>
      <c r="G32" s="4"/>
      <c r="H32" s="4"/>
      <c r="I32" s="4"/>
      <c r="J32" s="36">
        <f t="shared" si="4"/>
        <v>370.73656966659053</v>
      </c>
      <c r="K32" s="9"/>
      <c r="L32" s="9">
        <f t="shared" si="2"/>
        <v>289.45083571153663</v>
      </c>
      <c r="M32" s="12">
        <f t="shared" si="3"/>
        <v>0.78074530379305318</v>
      </c>
      <c r="N32" s="9"/>
    </row>
    <row r="33" spans="2:16" x14ac:dyDescent="0.35">
      <c r="B33" s="29">
        <v>2027</v>
      </c>
      <c r="C33" s="4"/>
      <c r="D33" s="4"/>
      <c r="E33" s="4"/>
      <c r="F33" s="4"/>
      <c r="G33" s="4"/>
      <c r="H33" s="4"/>
      <c r="I33" s="4"/>
      <c r="J33" s="36">
        <f t="shared" si="4"/>
        <v>364.74288179539741</v>
      </c>
      <c r="K33" s="9"/>
      <c r="L33" s="9">
        <f t="shared" si="2"/>
        <v>284.77129205370125</v>
      </c>
      <c r="M33" s="12">
        <f t="shared" si="3"/>
        <v>0.78074530379305318</v>
      </c>
      <c r="N33" s="9">
        <f>SUM(L33:L35)</f>
        <v>840.27524518759742</v>
      </c>
    </row>
    <row r="34" spans="2:16" x14ac:dyDescent="0.35">
      <c r="B34" s="29">
        <v>2028</v>
      </c>
      <c r="C34" s="4"/>
      <c r="D34" s="4"/>
      <c r="E34" s="4"/>
      <c r="F34" s="4"/>
      <c r="G34" s="4"/>
      <c r="H34" s="4"/>
      <c r="I34" s="4"/>
      <c r="J34" s="36">
        <f t="shared" si="4"/>
        <v>358.74919392420429</v>
      </c>
      <c r="K34" s="9"/>
      <c r="L34" s="9">
        <f t="shared" si="2"/>
        <v>280.09174839586581</v>
      </c>
      <c r="M34" s="12">
        <f t="shared" si="3"/>
        <v>0.78074530379305318</v>
      </c>
    </row>
    <row r="35" spans="2:16" x14ac:dyDescent="0.35">
      <c r="B35" s="29">
        <v>2029</v>
      </c>
      <c r="C35" s="4"/>
      <c r="D35" s="4"/>
      <c r="E35" s="4"/>
      <c r="F35" s="4"/>
      <c r="G35" s="4"/>
      <c r="H35" s="4"/>
      <c r="I35" s="4"/>
      <c r="J35" s="36">
        <f t="shared" si="4"/>
        <v>352.75550605301117</v>
      </c>
      <c r="K35" s="9"/>
      <c r="L35" s="9">
        <f t="shared" si="2"/>
        <v>275.41220473803043</v>
      </c>
      <c r="M35" s="12">
        <f t="shared" si="3"/>
        <v>0.78074530379305318</v>
      </c>
    </row>
    <row r="36" spans="2:16" ht="18.5" x14ac:dyDescent="0.45">
      <c r="B36" s="29">
        <v>2030</v>
      </c>
      <c r="C36" s="4"/>
      <c r="D36" s="4"/>
      <c r="E36" s="4"/>
      <c r="F36" s="4"/>
      <c r="G36" s="4"/>
      <c r="H36" s="4"/>
      <c r="I36" s="4"/>
      <c r="J36" s="49">
        <f>F45</f>
        <v>346.76181818181806</v>
      </c>
      <c r="L36" s="9">
        <f t="shared" si="2"/>
        <v>270.73266108019499</v>
      </c>
      <c r="M36" s="12">
        <f t="shared" si="3"/>
        <v>0.78074530379305318</v>
      </c>
    </row>
    <row r="39" spans="2:16" x14ac:dyDescent="0.35">
      <c r="J39" s="85"/>
      <c r="K39" s="2"/>
    </row>
    <row r="40" spans="2:16" x14ac:dyDescent="0.35">
      <c r="E40" t="s">
        <v>20</v>
      </c>
      <c r="F40" s="2">
        <f>SUM('CA Sc. BAU'!J26:J35)</f>
        <v>3953.1399999999994</v>
      </c>
      <c r="I40" s="2"/>
      <c r="N40" s="7"/>
      <c r="P40" s="7"/>
    </row>
    <row r="41" spans="2:16" x14ac:dyDescent="0.35">
      <c r="E41" t="s">
        <v>23</v>
      </c>
      <c r="F41" s="2">
        <f>F40-385</f>
        <v>3568.1399999999994</v>
      </c>
      <c r="I41" s="2"/>
      <c r="J41" s="85"/>
      <c r="O41" s="8"/>
    </row>
    <row r="42" spans="2:16" x14ac:dyDescent="0.35">
      <c r="E42" t="s">
        <v>22</v>
      </c>
      <c r="F42">
        <f>F41-9*J26</f>
        <v>246.23999999999933</v>
      </c>
    </row>
    <row r="45" spans="2:16" x14ac:dyDescent="0.35">
      <c r="E45" t="s">
        <v>21</v>
      </c>
      <c r="F45">
        <f>(F42*(10/45)+J26)/(1+10/45)</f>
        <v>346.76181818181806</v>
      </c>
    </row>
    <row r="47" spans="2:16" x14ac:dyDescent="0.35">
      <c r="O47" s="9"/>
    </row>
    <row r="48" spans="2:16" x14ac:dyDescent="0.35">
      <c r="N48" s="9"/>
      <c r="O48" s="9"/>
      <c r="P48" s="9"/>
    </row>
    <row r="49" spans="14:16" x14ac:dyDescent="0.35">
      <c r="N49" s="9"/>
      <c r="O49" s="9"/>
      <c r="P49" s="9"/>
    </row>
    <row r="50" spans="14:16" x14ac:dyDescent="0.35">
      <c r="N50" s="9"/>
      <c r="O50" s="9"/>
      <c r="P50" s="9"/>
    </row>
    <row r="51" spans="14:16" x14ac:dyDescent="0.35">
      <c r="N51" s="9"/>
      <c r="O51" s="9"/>
      <c r="P51" s="9"/>
    </row>
    <row r="52" spans="14:16" x14ac:dyDescent="0.35">
      <c r="N52" s="9"/>
      <c r="O52" s="9"/>
      <c r="P52" s="9"/>
    </row>
    <row r="53" spans="14:16" x14ac:dyDescent="0.35">
      <c r="N53" s="9"/>
      <c r="O53" s="9"/>
      <c r="P53" s="9"/>
    </row>
    <row r="54" spans="14:16" x14ac:dyDescent="0.35">
      <c r="N54" s="9"/>
      <c r="O54" s="9"/>
      <c r="P54" s="9"/>
    </row>
    <row r="55" spans="14:16" x14ac:dyDescent="0.35">
      <c r="N55" s="9"/>
      <c r="O55" s="9"/>
      <c r="P55" s="9"/>
    </row>
    <row r="56" spans="14:16" x14ac:dyDescent="0.35">
      <c r="N56" s="9"/>
      <c r="O56" s="9"/>
    </row>
    <row r="59" spans="14:16" ht="116" x14ac:dyDescent="0.35">
      <c r="N59" s="13"/>
      <c r="O59" s="13" t="s">
        <v>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E2EC-F844-4313-9FC3-BF7136A9F918}">
  <dimension ref="A1:L38"/>
  <sheetViews>
    <sheetView zoomScale="70" zoomScaleNormal="70" workbookViewId="0">
      <selection activeCell="E4" sqref="E4"/>
    </sheetView>
  </sheetViews>
  <sheetFormatPr baseColWidth="10" defaultRowHeight="14.5" x14ac:dyDescent="0.35"/>
  <cols>
    <col min="2" max="2" width="23.81640625" customWidth="1"/>
    <col min="3" max="8" width="26.6328125" style="1" customWidth="1"/>
    <col min="9" max="9" width="26.08984375" style="19" customWidth="1"/>
    <col min="10" max="10" width="19" style="2" customWidth="1"/>
    <col min="11" max="11" width="30.6328125" style="2" customWidth="1"/>
    <col min="12" max="12" width="16.36328125" customWidth="1"/>
  </cols>
  <sheetData>
    <row r="1" spans="1:12" ht="23.5" x14ac:dyDescent="0.55000000000000004">
      <c r="B1" s="44" t="s">
        <v>42</v>
      </c>
    </row>
    <row r="4" spans="1:12" x14ac:dyDescent="0.35">
      <c r="B4" t="s">
        <v>14</v>
      </c>
      <c r="C4" s="1" t="s">
        <v>3</v>
      </c>
      <c r="D4" s="1" t="s">
        <v>32</v>
      </c>
      <c r="E4" s="1" t="s">
        <v>33</v>
      </c>
      <c r="F4" s="1" t="s">
        <v>4</v>
      </c>
      <c r="G4" s="1" t="s">
        <v>34</v>
      </c>
      <c r="H4" s="1" t="s">
        <v>35</v>
      </c>
      <c r="I4" s="19" t="s">
        <v>36</v>
      </c>
      <c r="J4" s="2" t="s">
        <v>15</v>
      </c>
      <c r="K4" s="2" t="s">
        <v>43</v>
      </c>
      <c r="L4" s="2" t="s">
        <v>38</v>
      </c>
    </row>
    <row r="5" spans="1:12" x14ac:dyDescent="0.35">
      <c r="B5">
        <v>2000</v>
      </c>
      <c r="C5" s="38">
        <v>31.033000000000001</v>
      </c>
      <c r="D5" s="2">
        <v>29.466000000000001</v>
      </c>
      <c r="E5" s="38">
        <v>11.760999999999999</v>
      </c>
      <c r="F5" s="38">
        <v>7.1689999999999996</v>
      </c>
      <c r="G5" s="8">
        <v>6.7130000000000001</v>
      </c>
      <c r="H5" s="38">
        <v>0.33200000000000002</v>
      </c>
      <c r="L5" s="2"/>
    </row>
    <row r="6" spans="1:12" x14ac:dyDescent="0.35">
      <c r="B6">
        <v>2001</v>
      </c>
      <c r="C6" s="2">
        <v>30.404</v>
      </c>
      <c r="D6" s="38">
        <v>28.256</v>
      </c>
      <c r="E6" s="38">
        <v>10.954000000000001</v>
      </c>
      <c r="F6" s="63">
        <v>7.4530000000000003</v>
      </c>
      <c r="G6" s="8">
        <v>6.9219999999999997</v>
      </c>
      <c r="H6" s="60">
        <v>0.36599999999999999</v>
      </c>
      <c r="L6" s="2"/>
    </row>
    <row r="7" spans="1:12" x14ac:dyDescent="0.35">
      <c r="A7" s="16"/>
      <c r="B7">
        <v>2002</v>
      </c>
      <c r="C7" s="58">
        <v>31.138000000000002</v>
      </c>
      <c r="D7" s="2">
        <v>28.568999999999999</v>
      </c>
      <c r="E7" s="58">
        <v>11.638999999999999</v>
      </c>
      <c r="F7" s="64">
        <v>7.492</v>
      </c>
      <c r="G7" s="58">
        <v>7.0010000000000003</v>
      </c>
      <c r="H7" s="58">
        <v>0.23599999999999999</v>
      </c>
      <c r="I7" s="20">
        <f t="shared" ref="I7:I19" si="0">SUM(C7:H7)</f>
        <v>86.075000000000017</v>
      </c>
      <c r="K7" s="3"/>
      <c r="L7" s="11"/>
    </row>
    <row r="8" spans="1:12" x14ac:dyDescent="0.35">
      <c r="A8" s="16"/>
      <c r="B8">
        <v>2003</v>
      </c>
      <c r="C8" s="2">
        <v>33.091000000000001</v>
      </c>
      <c r="D8" s="2">
        <v>29.396000000000001</v>
      </c>
      <c r="E8" s="2">
        <v>12.943</v>
      </c>
      <c r="F8" s="38">
        <v>7.45</v>
      </c>
      <c r="G8" s="2">
        <v>7.1820000000000004</v>
      </c>
      <c r="H8" s="2">
        <v>1.51</v>
      </c>
      <c r="I8" s="20">
        <f t="shared" si="0"/>
        <v>91.572000000000017</v>
      </c>
      <c r="K8" s="18"/>
      <c r="L8" s="11"/>
    </row>
    <row r="9" spans="1:12" x14ac:dyDescent="0.35">
      <c r="A9" s="16"/>
      <c r="B9">
        <v>2004</v>
      </c>
      <c r="C9" s="2">
        <v>33.503999999999998</v>
      </c>
      <c r="D9" s="2">
        <v>29.518999999999998</v>
      </c>
      <c r="E9" s="2">
        <v>12.522</v>
      </c>
      <c r="F9" s="38">
        <v>7.6840000000000002</v>
      </c>
      <c r="G9" s="2">
        <v>6.5890000000000004</v>
      </c>
      <c r="H9" s="2">
        <v>1.2549999999999999</v>
      </c>
      <c r="I9" s="20">
        <f t="shared" si="0"/>
        <v>91.072999999999993</v>
      </c>
      <c r="K9" s="18"/>
    </row>
    <row r="10" spans="1:12" x14ac:dyDescent="0.35">
      <c r="A10" s="16"/>
      <c r="B10">
        <v>2005</v>
      </c>
      <c r="C10" s="2">
        <v>33.277999999999999</v>
      </c>
      <c r="D10" s="2">
        <v>28.803999999999998</v>
      </c>
      <c r="E10" s="2">
        <v>11.353999999999999</v>
      </c>
      <c r="F10" s="38">
        <v>7.6459999999999999</v>
      </c>
      <c r="G10" s="2">
        <v>6.7969999999999997</v>
      </c>
      <c r="H10" s="2">
        <v>0.378</v>
      </c>
      <c r="I10" s="20">
        <f t="shared" si="0"/>
        <v>88.256999999999991</v>
      </c>
      <c r="K10" s="18"/>
    </row>
    <row r="11" spans="1:12" x14ac:dyDescent="0.35">
      <c r="A11" s="16"/>
      <c r="B11">
        <v>2006</v>
      </c>
      <c r="C11" s="2">
        <v>33.235999999999997</v>
      </c>
      <c r="D11" s="2">
        <v>29.184000000000001</v>
      </c>
      <c r="E11" s="2">
        <v>10.097</v>
      </c>
      <c r="F11" s="38">
        <v>7.6360000000000001</v>
      </c>
      <c r="G11" s="2">
        <v>6.8940000000000001</v>
      </c>
      <c r="H11" s="2">
        <v>0.214</v>
      </c>
      <c r="I11" s="20">
        <f t="shared" si="0"/>
        <v>87.260999999999996</v>
      </c>
      <c r="J11" s="4"/>
      <c r="K11" s="5"/>
    </row>
    <row r="12" spans="1:12" x14ac:dyDescent="0.35">
      <c r="A12" s="16"/>
      <c r="B12">
        <v>2007</v>
      </c>
      <c r="C12" s="2">
        <v>34.593000000000004</v>
      </c>
      <c r="D12" s="2">
        <v>30.649000000000001</v>
      </c>
      <c r="E12" s="2">
        <v>10.500999999999999</v>
      </c>
      <c r="F12" s="38">
        <v>7.79</v>
      </c>
      <c r="G12" s="2">
        <v>7.1159999999999997</v>
      </c>
      <c r="H12" s="2">
        <v>0.25</v>
      </c>
      <c r="I12" s="20">
        <f t="shared" si="0"/>
        <v>90.899000000000015</v>
      </c>
      <c r="J12" s="4"/>
      <c r="K12" s="5"/>
    </row>
    <row r="13" spans="1:12" x14ac:dyDescent="0.35">
      <c r="A13" s="16"/>
      <c r="B13">
        <v>2008</v>
      </c>
      <c r="C13" s="2">
        <v>34.848999999999997</v>
      </c>
      <c r="D13" s="2">
        <v>27.645</v>
      </c>
      <c r="E13" s="2">
        <v>9.5030000000000001</v>
      </c>
      <c r="F13" s="38">
        <v>7.75</v>
      </c>
      <c r="G13" s="2">
        <v>6.9950000000000001</v>
      </c>
      <c r="H13" s="2">
        <v>0.23300000000000001</v>
      </c>
      <c r="I13" s="20">
        <f t="shared" si="0"/>
        <v>86.975000000000009</v>
      </c>
      <c r="J13" s="4"/>
      <c r="K13" s="5"/>
    </row>
    <row r="14" spans="1:12" x14ac:dyDescent="0.35">
      <c r="A14" s="16"/>
      <c r="B14">
        <v>2009</v>
      </c>
      <c r="C14" s="2">
        <v>34.58</v>
      </c>
      <c r="D14" s="2">
        <v>26.271000000000001</v>
      </c>
      <c r="E14" s="2">
        <v>10.218999999999999</v>
      </c>
      <c r="F14" s="38">
        <v>7.7069999999999999</v>
      </c>
      <c r="G14" s="2">
        <v>6.9059999999999997</v>
      </c>
      <c r="H14" s="2">
        <v>0.38200000000000001</v>
      </c>
      <c r="I14" s="20">
        <f t="shared" si="0"/>
        <v>86.064999999999998</v>
      </c>
      <c r="J14" s="4"/>
      <c r="K14" s="5"/>
    </row>
    <row r="15" spans="1:12" x14ac:dyDescent="0.35">
      <c r="A15" s="16"/>
      <c r="B15">
        <v>2010</v>
      </c>
      <c r="C15" s="2">
        <v>34.450000000000003</v>
      </c>
      <c r="D15" s="2">
        <v>25.515000000000001</v>
      </c>
      <c r="E15" s="2">
        <v>9.2309999999999999</v>
      </c>
      <c r="F15" s="60">
        <v>7.7149999999999999</v>
      </c>
      <c r="G15" s="2">
        <v>6.7279999999999998</v>
      </c>
      <c r="H15" s="2">
        <v>0.20799999999999999</v>
      </c>
      <c r="I15" s="20">
        <f t="shared" si="0"/>
        <v>83.846999999999994</v>
      </c>
      <c r="J15" s="4"/>
      <c r="K15" s="5"/>
    </row>
    <row r="16" spans="1:12" x14ac:dyDescent="0.35">
      <c r="A16" s="16"/>
      <c r="B16">
        <v>2011</v>
      </c>
      <c r="C16" s="2">
        <v>35.762</v>
      </c>
      <c r="D16" s="2">
        <v>25.32</v>
      </c>
      <c r="E16" s="2">
        <v>8.9280000000000008</v>
      </c>
      <c r="F16" s="38">
        <v>7.7069999999999999</v>
      </c>
      <c r="G16" s="2">
        <v>6.6390000000000002</v>
      </c>
      <c r="H16" s="2">
        <v>0.215</v>
      </c>
      <c r="I16" s="20">
        <f t="shared" si="0"/>
        <v>84.570999999999998</v>
      </c>
      <c r="J16" s="4"/>
      <c r="K16" s="5"/>
    </row>
    <row r="17" spans="1:12" x14ac:dyDescent="0.35">
      <c r="A17" s="16"/>
      <c r="B17">
        <v>2012</v>
      </c>
      <c r="C17" s="2">
        <v>35.17</v>
      </c>
      <c r="D17" s="2">
        <v>25.407</v>
      </c>
      <c r="E17" s="2">
        <v>7.7160000000000002</v>
      </c>
      <c r="F17" s="38">
        <v>7.7770000000000001</v>
      </c>
      <c r="G17" s="2">
        <v>6.5350000000000001</v>
      </c>
      <c r="H17" s="2">
        <v>0.20699999999999999</v>
      </c>
      <c r="I17" s="20">
        <f t="shared" si="0"/>
        <v>82.811999999999983</v>
      </c>
      <c r="J17" s="4"/>
      <c r="K17" s="5"/>
    </row>
    <row r="18" spans="1:12" x14ac:dyDescent="0.35">
      <c r="A18" s="16"/>
      <c r="B18">
        <v>2013</v>
      </c>
      <c r="C18" s="2">
        <v>34.674999999999997</v>
      </c>
      <c r="D18" s="2">
        <v>25.387</v>
      </c>
      <c r="E18" s="2">
        <v>7.8879999999999999</v>
      </c>
      <c r="F18" s="38">
        <v>7.8719999999999999</v>
      </c>
      <c r="G18" s="2">
        <v>6.5019999999999998</v>
      </c>
      <c r="H18" s="2">
        <v>0.214</v>
      </c>
      <c r="I18" s="20">
        <f t="shared" si="0"/>
        <v>82.537999999999997</v>
      </c>
      <c r="J18" s="24">
        <f>SUM(I18:I19)</f>
        <v>163.49799999999999</v>
      </c>
      <c r="K18" s="17">
        <v>36.664703000000003</v>
      </c>
      <c r="L18" s="11">
        <f>K18/J18</f>
        <v>0.22425169115218538</v>
      </c>
    </row>
    <row r="19" spans="1:12" x14ac:dyDescent="0.35">
      <c r="A19" s="16"/>
      <c r="B19">
        <v>2014</v>
      </c>
      <c r="C19" s="2">
        <v>33.048999999999999</v>
      </c>
      <c r="D19" s="2">
        <v>25.35</v>
      </c>
      <c r="E19" s="2">
        <v>8.1890000000000001</v>
      </c>
      <c r="F19" s="2">
        <v>7.6890000000000001</v>
      </c>
      <c r="G19" s="2">
        <v>6.4610000000000003</v>
      </c>
      <c r="H19" s="2">
        <v>0.222</v>
      </c>
      <c r="I19" s="20">
        <f t="shared" si="0"/>
        <v>80.95999999999998</v>
      </c>
      <c r="K19" s="17"/>
    </row>
    <row r="20" spans="1:12" x14ac:dyDescent="0.35">
      <c r="A20" s="14"/>
      <c r="B20">
        <v>2015</v>
      </c>
      <c r="C20" s="2">
        <v>33.625999999999998</v>
      </c>
      <c r="D20" s="2">
        <v>24.358000000000001</v>
      </c>
      <c r="E20" s="2">
        <v>8.2729999999999997</v>
      </c>
      <c r="F20" s="2">
        <v>7.774</v>
      </c>
      <c r="G20" s="2">
        <v>6.6970000000000001</v>
      </c>
      <c r="H20" s="2">
        <v>0.19400000000000001</v>
      </c>
      <c r="I20" s="20">
        <f>SUM(C20:H20)</f>
        <v>80.921999999999997</v>
      </c>
      <c r="J20" s="2">
        <f>SUM(I20:I22)</f>
        <v>245.053</v>
      </c>
      <c r="K20" s="2">
        <v>176.14551800000001</v>
      </c>
      <c r="L20" s="11">
        <f>K20/J20</f>
        <v>0.71880580119402748</v>
      </c>
    </row>
    <row r="21" spans="1:12" x14ac:dyDescent="0.35">
      <c r="B21">
        <v>2016</v>
      </c>
      <c r="C21" s="2">
        <v>34.085000000000001</v>
      </c>
      <c r="D21" s="2">
        <v>23.472000000000001</v>
      </c>
      <c r="E21" s="2">
        <v>8.2609999999999992</v>
      </c>
      <c r="F21" s="2">
        <v>7.8090000000000002</v>
      </c>
      <c r="G21" s="2">
        <v>6.9960000000000004</v>
      </c>
      <c r="H21" s="2">
        <v>0.22600000000000001</v>
      </c>
      <c r="I21" s="20">
        <f t="shared" ref="I21:I24" si="1">SUM(C21:H21)</f>
        <v>80.84899999999999</v>
      </c>
      <c r="L21" s="11"/>
    </row>
    <row r="22" spans="1:12" x14ac:dyDescent="0.35">
      <c r="B22">
        <v>2017</v>
      </c>
      <c r="C22" s="2">
        <v>35.805</v>
      </c>
      <c r="D22" s="2">
        <v>24.521000000000001</v>
      </c>
      <c r="E22" s="2">
        <v>8.2780000000000005</v>
      </c>
      <c r="F22" s="2">
        <v>7.7009999999999996</v>
      </c>
      <c r="G22" s="2">
        <v>6.7510000000000003</v>
      </c>
      <c r="H22" s="2">
        <v>0.22600000000000001</v>
      </c>
      <c r="I22" s="20">
        <f t="shared" si="1"/>
        <v>83.281999999999996</v>
      </c>
      <c r="L22" s="11"/>
    </row>
    <row r="23" spans="1:12" x14ac:dyDescent="0.35">
      <c r="B23">
        <v>2018</v>
      </c>
      <c r="C23" s="2">
        <v>35.094000000000001</v>
      </c>
      <c r="D23" s="2">
        <v>24.532</v>
      </c>
      <c r="E23" s="2">
        <v>8.0559999999999992</v>
      </c>
      <c r="F23" s="2">
        <v>7.7539999999999996</v>
      </c>
      <c r="G23" s="2">
        <v>6.6040000000000001</v>
      </c>
      <c r="H23" s="2">
        <v>0.23300000000000001</v>
      </c>
      <c r="I23" s="20">
        <f t="shared" si="1"/>
        <v>82.27300000000001</v>
      </c>
      <c r="J23" s="4">
        <f>SUM(I23:I25)</f>
        <v>250.42936363636363</v>
      </c>
      <c r="K23" s="2">
        <v>178.17858699999999</v>
      </c>
      <c r="L23" s="11">
        <f>K23/J23</f>
        <v>0.71149239215703353</v>
      </c>
    </row>
    <row r="24" spans="1:12" x14ac:dyDescent="0.35">
      <c r="B24">
        <v>2019</v>
      </c>
      <c r="C24" s="2">
        <v>36.520000000000003</v>
      </c>
      <c r="D24" s="2">
        <v>24.798999999999999</v>
      </c>
      <c r="E24" s="2">
        <v>8.4220000000000006</v>
      </c>
      <c r="F24" s="2">
        <v>7.7759999999999998</v>
      </c>
      <c r="G24" s="2">
        <v>6.5839999999999996</v>
      </c>
      <c r="H24" s="2">
        <v>0.219</v>
      </c>
      <c r="I24" s="20">
        <f t="shared" si="1"/>
        <v>84.32</v>
      </c>
      <c r="J24" s="4"/>
    </row>
    <row r="25" spans="1:12" x14ac:dyDescent="0.35">
      <c r="B25">
        <v>2020</v>
      </c>
      <c r="C25" s="22" cm="1">
        <f t="array" ref="C25">TREND(C7:C24,B7:B24,B25)</f>
        <v>35.772267973856231</v>
      </c>
      <c r="D25" s="22" cm="1">
        <f t="array" ref="D25">TREND(D5:D24,B5:B24,$B25)</f>
        <v>23.362394736842134</v>
      </c>
      <c r="E25" s="21" cm="1">
        <f t="array" ref="E25">TREND(E$5:E$24,$B$5:$B$24,$B25)</f>
        <v>7.1211210526315085</v>
      </c>
      <c r="F25" s="21" cm="1">
        <f t="array" ref="F25">TREND(F$5:F$24,$B$5:$B$24,$B25)</f>
        <v>7.8830368421052626</v>
      </c>
      <c r="G25" s="21" cm="1">
        <f t="array" ref="G25">TREND(G$5:G$24,$B$5:$B$24,$B25)</f>
        <v>6.6009473684210533</v>
      </c>
      <c r="H25" s="21" cm="1">
        <f t="array" ref="H25">TREND($H$10:$H$24,$B$10:$B$24,B25)</f>
        <v>0.1932857142857145</v>
      </c>
      <c r="I25" s="23">
        <f>I24-($I$24-$I$35)/11</f>
        <v>83.836363636363629</v>
      </c>
      <c r="J25" s="4"/>
    </row>
    <row r="26" spans="1:12" x14ac:dyDescent="0.35">
      <c r="B26">
        <v>2021</v>
      </c>
      <c r="C26" s="21" cm="1">
        <f t="array" ref="C26">TREND(C$7:C$24,$B$7:$B$24,$B26)</f>
        <v>35.932477468180309</v>
      </c>
      <c r="D26" s="21" cm="1">
        <f t="array" ref="D26">TREND(D$5:D$24,$B$5:$B$24,$B26)</f>
        <v>23.033003759398525</v>
      </c>
      <c r="E26" s="21" cm="1">
        <f t="array" ref="E26">TREND(E$5:E$24,$B$5:$B$24,$B26)</f>
        <v>6.8720135338345472</v>
      </c>
      <c r="F26" s="21" cm="1">
        <f t="array" ref="F26">TREND(F$5:F$24,$B$5:$B$24,$B26)</f>
        <v>7.9035593984962418</v>
      </c>
      <c r="G26" s="21" cm="1">
        <f t="array" ref="G26">TREND(G$5:G$24,$B$5:$B$24,$B26)</f>
        <v>6.5838375939849598</v>
      </c>
      <c r="H26" s="21" cm="1">
        <f t="array" ref="H26">TREND($H$10:$H$24,$B$10:$B$24,B26)</f>
        <v>0.18727142857142809</v>
      </c>
      <c r="I26" s="23">
        <f t="shared" ref="I26:I34" si="2">I25-($I$24-$I$35)/11</f>
        <v>83.352727272727265</v>
      </c>
      <c r="J26" s="4">
        <f>SUM(I26:I28)</f>
        <v>248.60727272727269</v>
      </c>
      <c r="K26" s="4">
        <f>J26*L26</f>
        <v>177.79126651787632</v>
      </c>
      <c r="L26" s="25">
        <f>AVERAGE(L23,L20)</f>
        <v>0.7151490966755305</v>
      </c>
    </row>
    <row r="27" spans="1:12" x14ac:dyDescent="0.35">
      <c r="B27">
        <v>2022</v>
      </c>
      <c r="C27" s="21" cm="1">
        <f t="array" ref="C27">TREND(C$7:C$24,$B$7:$B$24,$B27)</f>
        <v>36.092686962504331</v>
      </c>
      <c r="D27" s="21" cm="1">
        <f t="array" ref="D27">TREND(D$5:D$24,$B$5:$B$24,$B27)</f>
        <v>22.703612781954916</v>
      </c>
      <c r="E27" s="21" cm="1">
        <f t="array" ref="E27">TREND(E$5:E$24,$B$5:$B$24,$B27)</f>
        <v>6.622906015037529</v>
      </c>
      <c r="F27" s="21" cm="1">
        <f t="array" ref="F27">TREND(F$5:F$24,$B$5:$B$24,$B27)</f>
        <v>7.924081954887221</v>
      </c>
      <c r="G27" s="21" cm="1">
        <f t="array" ref="G27">TREND(G$5:G$24,$B$5:$B$24,$B27)</f>
        <v>6.5667278195488734</v>
      </c>
      <c r="H27" s="21" cm="1">
        <f t="array" ref="H27">TREND($H$10:$H$24,$B$10:$B$24,B27)</f>
        <v>0.18125714285714345</v>
      </c>
      <c r="I27" s="23">
        <f t="shared" si="2"/>
        <v>82.8690909090909</v>
      </c>
      <c r="J27" s="4"/>
      <c r="K27" s="4"/>
      <c r="L27" s="9"/>
    </row>
    <row r="28" spans="1:12" x14ac:dyDescent="0.35">
      <c r="B28">
        <v>2023</v>
      </c>
      <c r="C28" s="21" cm="1">
        <f t="array" ref="C28">TREND(C$7:C$24,$B$7:$B$24,$B28)</f>
        <v>36.25289645682841</v>
      </c>
      <c r="D28" s="21" cm="1">
        <f t="array" ref="D28">TREND(D$5:D$24,$B$5:$B$24,$B28)</f>
        <v>22.374221804511308</v>
      </c>
      <c r="E28" s="21" cm="1">
        <f t="array" ref="E28">TREND(E$5:E$24,$B$5:$B$24,$B28)</f>
        <v>6.3737984962405676</v>
      </c>
      <c r="F28" s="21" cm="1">
        <f t="array" ref="F28">TREND(F$5:F$24,$B$5:$B$24,$B28)</f>
        <v>7.9446045112781931</v>
      </c>
      <c r="G28" s="21" cm="1">
        <f t="array" ref="G28">TREND(G$5:G$24,$B$5:$B$24,$B28)</f>
        <v>6.5496180451127799</v>
      </c>
      <c r="H28" s="21" cm="1">
        <f t="array" ref="H28">TREND($H$10:$H$24,$B$10:$B$24,B28)</f>
        <v>0.17524285714285703</v>
      </c>
      <c r="I28" s="23">
        <f t="shared" si="2"/>
        <v>82.385454545454536</v>
      </c>
      <c r="J28" s="4"/>
      <c r="K28" s="4"/>
      <c r="L28" s="9"/>
    </row>
    <row r="29" spans="1:12" x14ac:dyDescent="0.35">
      <c r="B29">
        <v>2024</v>
      </c>
      <c r="C29" s="21" cm="1">
        <f t="array" ref="C29">TREND(C$7:C$24,$B$7:$B$24,$B29)</f>
        <v>36.413105951152431</v>
      </c>
      <c r="D29" s="21" cm="1">
        <f t="array" ref="D29">TREND(D$5:D$24,$B$5:$B$24,$B29)</f>
        <v>22.044830827067699</v>
      </c>
      <c r="E29" s="21" cm="1">
        <f t="array" ref="E29">TREND(E$5:E$24,$B$5:$B$24,$B29)</f>
        <v>6.1246909774435494</v>
      </c>
      <c r="F29" s="21" cm="1">
        <f t="array" ref="F29">TREND(F$5:F$24,$B$5:$B$24,$B29)</f>
        <v>7.9651270676691723</v>
      </c>
      <c r="G29" s="21" cm="1">
        <f t="array" ref="G29">TREND(G$5:G$24,$B$5:$B$24,$B29)</f>
        <v>6.5325082706766935</v>
      </c>
      <c r="H29" s="21" cm="1">
        <f t="array" ref="H29">TREND($H$10:$H$24,$B$10:$B$24,B29)</f>
        <v>0.16922857142857062</v>
      </c>
      <c r="I29" s="23">
        <f t="shared" si="2"/>
        <v>81.901818181818172</v>
      </c>
      <c r="J29" s="4">
        <f>SUM(I29:I31)</f>
        <v>244.25454545454545</v>
      </c>
      <c r="K29" s="4">
        <f>J29*L29</f>
        <v>174.67841754071048</v>
      </c>
      <c r="L29" s="25">
        <f>AVERAGE(L20,L23)</f>
        <v>0.7151490966755305</v>
      </c>
    </row>
    <row r="30" spans="1:12" x14ac:dyDescent="0.35">
      <c r="B30">
        <v>2025</v>
      </c>
      <c r="C30" s="21" cm="1">
        <f t="array" ref="C30">TREND(C$7:C$24,$B$7:$B$24,$B30)</f>
        <v>36.573315445476453</v>
      </c>
      <c r="D30" s="21" cm="1">
        <f t="array" ref="D30">TREND(D$5:D$24,$B$5:$B$24,$B30)</f>
        <v>21.71543984962409</v>
      </c>
      <c r="E30" s="21" cm="1">
        <f t="array" ref="E30">TREND(E$5:E$24,$B$5:$B$24,$B30)</f>
        <v>5.875583458646588</v>
      </c>
      <c r="F30" s="21" cm="1">
        <f t="array" ref="F30">TREND(F$5:F$24,$B$5:$B$24,$B30)</f>
        <v>7.9856496240601516</v>
      </c>
      <c r="G30" s="21" cm="1">
        <f t="array" ref="G30">TREND(G$5:G$24,$B$5:$B$24,$B30)</f>
        <v>6.5153984962406</v>
      </c>
      <c r="H30" s="21" cm="1">
        <f t="array" ref="H30">TREND($H$10:$H$24,$B$10:$B$24,B30)</f>
        <v>0.16321428571428598</v>
      </c>
      <c r="I30" s="23">
        <f t="shared" si="2"/>
        <v>81.418181818181807</v>
      </c>
      <c r="J30" s="4"/>
      <c r="K30" s="4"/>
      <c r="L30" s="9"/>
    </row>
    <row r="31" spans="1:12" x14ac:dyDescent="0.35">
      <c r="B31">
        <v>2026</v>
      </c>
      <c r="C31" s="21" cm="1">
        <f t="array" ref="C31">TREND(C$7:C$24,$B$7:$B$24,$B31)</f>
        <v>36.733524939800532</v>
      </c>
      <c r="D31" s="21" cm="1">
        <f t="array" ref="D31">TREND(D$5:D$24,$B$5:$B$24,$B31)</f>
        <v>21.386048872180481</v>
      </c>
      <c r="E31" s="21" cm="1">
        <f t="array" ref="E31">TREND(E$5:E$24,$B$5:$B$24,$B31)</f>
        <v>5.6264759398495698</v>
      </c>
      <c r="F31" s="21" cm="1">
        <f t="array" ref="F31">TREND(F$5:F$24,$B$5:$B$24,$B31)</f>
        <v>8.0061721804511308</v>
      </c>
      <c r="G31" s="21" cm="1">
        <f t="array" ref="G31">TREND(G$5:G$24,$B$5:$B$24,$B31)</f>
        <v>6.4982887218045136</v>
      </c>
      <c r="H31" s="21" cm="1">
        <f t="array" ref="H31">TREND($H$10:$H$24,$B$10:$B$24,B31)</f>
        <v>0.15719999999999956</v>
      </c>
      <c r="I31" s="23">
        <f t="shared" si="2"/>
        <v>80.934545454545443</v>
      </c>
      <c r="J31" s="4"/>
      <c r="K31" s="4"/>
      <c r="L31" s="9"/>
    </row>
    <row r="32" spans="1:12" x14ac:dyDescent="0.35">
      <c r="B32">
        <v>2027</v>
      </c>
      <c r="C32" s="21" cm="1">
        <f t="array" ref="C32">TREND(C$7:C$24,$B$7:$B$24,$B32)</f>
        <v>36.893734434124553</v>
      </c>
      <c r="D32" s="21" cm="1">
        <f t="array" ref="D32">TREND(D$5:D$24,$B$5:$B$24,$B32)</f>
        <v>21.056657894736873</v>
      </c>
      <c r="E32" s="21" cm="1">
        <f t="array" ref="E32">TREND(E$5:E$24,$B$5:$B$24,$B32)</f>
        <v>5.3773684210526085</v>
      </c>
      <c r="F32" s="21" cm="1">
        <f t="array" ref="F32">TREND(F$5:F$24,$B$5:$B$24,$B32)</f>
        <v>8.0266947368421029</v>
      </c>
      <c r="G32" s="21" cm="1">
        <f t="array" ref="G32">TREND(G$5:G$24,$B$5:$B$24,$B32)</f>
        <v>6.48117894736842</v>
      </c>
      <c r="H32" s="21" cm="1">
        <f t="array" ref="H32">TREND($H$10:$H$24,$B$10:$B$24,B32)</f>
        <v>0.15118571428571492</v>
      </c>
      <c r="I32" s="23">
        <f t="shared" si="2"/>
        <v>80.450909090909079</v>
      </c>
      <c r="J32" s="4">
        <f>SUM(I32:I34)</f>
        <v>239.90181818181813</v>
      </c>
      <c r="K32" s="4">
        <f>J32*L32</f>
        <v>171.56556856354459</v>
      </c>
      <c r="L32" s="25">
        <f>AVERAGE(L20,L23)</f>
        <v>0.7151490966755305</v>
      </c>
    </row>
    <row r="33" spans="2:9" x14ac:dyDescent="0.35">
      <c r="B33">
        <v>2028</v>
      </c>
      <c r="C33" s="21" cm="1">
        <f t="array" ref="C33">TREND(C$7:C$24,$B$7:$B$24,$B33)</f>
        <v>37.053943928448632</v>
      </c>
      <c r="D33" s="21" cm="1">
        <f t="array" ref="D33">TREND(D$5:D$24,$B$5:$B$24,$B33)</f>
        <v>20.727266917293264</v>
      </c>
      <c r="E33" s="21" cm="1">
        <f t="array" ref="E33">TREND(E$5:E$24,$B$5:$B$24,$B33)</f>
        <v>5.1282609022555903</v>
      </c>
      <c r="F33" s="21" cm="1">
        <f t="array" ref="F33">TREND(F$5:F$24,$B$5:$B$24,$B33)</f>
        <v>8.0472172932330821</v>
      </c>
      <c r="G33" s="21" cm="1">
        <f t="array" ref="G33">TREND(G$5:G$24,$B$5:$B$24,$B33)</f>
        <v>6.4640691729323336</v>
      </c>
      <c r="H33" s="21" cm="1">
        <f t="array" ref="H33">TREND($H$10:$H$24,$B$10:$B$24,B33)</f>
        <v>0.14517142857142851</v>
      </c>
      <c r="I33" s="23">
        <f t="shared" si="2"/>
        <v>79.967272727272714</v>
      </c>
    </row>
    <row r="34" spans="2:9" x14ac:dyDescent="0.35">
      <c r="B34">
        <v>2029</v>
      </c>
      <c r="C34" s="21" cm="1">
        <f t="array" ref="C34">TREND(C$7:C$24,$B$7:$B$24,$B34)</f>
        <v>37.214153422772654</v>
      </c>
      <c r="D34" s="21" cm="1">
        <f t="array" ref="D34">TREND(D$5:D$24,$B$5:$B$24,$B34)</f>
        <v>20.397875939849655</v>
      </c>
      <c r="E34" s="21" cm="1">
        <f t="array" ref="E34">TREND(E$5:E$24,$B$5:$B$24,$B34)</f>
        <v>4.8791533834585721</v>
      </c>
      <c r="F34" s="21" cm="1">
        <f t="array" ref="F34">TREND(F$5:F$24,$B$5:$B$24,$B34)</f>
        <v>8.0677398496240613</v>
      </c>
      <c r="G34" s="21" cm="1">
        <f t="array" ref="G34">TREND(G$5:G$24,$B$5:$B$24,$B34)</f>
        <v>6.4469593984962401</v>
      </c>
      <c r="H34" s="21" cm="1">
        <f t="array" ref="H34">TREND($H$10:$H$24,$B$10:$B$24,B34)</f>
        <v>0.13915714285714209</v>
      </c>
      <c r="I34" s="23">
        <f t="shared" si="2"/>
        <v>79.48363636363635</v>
      </c>
    </row>
    <row r="35" spans="2:9" x14ac:dyDescent="0.35">
      <c r="B35">
        <v>2030</v>
      </c>
      <c r="C35" s="21" cm="1">
        <f t="array" ref="C35">TREND(C$7:C$24,$B$7:$B$24,$B35)</f>
        <v>37.374362917096676</v>
      </c>
      <c r="D35" s="21" cm="1">
        <f t="array" ref="D35">TREND(D$5:D$24,$B$5:$B$24,$B35)</f>
        <v>20.068484962406046</v>
      </c>
      <c r="E35" s="21" cm="1">
        <f t="array" ref="E35">TREND(E$5:E$24,$B$5:$B$24,$B35)</f>
        <v>4.6300458646616107</v>
      </c>
      <c r="F35" s="21" cm="1">
        <f t="array" ref="F35">TREND(F$5:F$24,$B$5:$B$24,$B35)</f>
        <v>8.0882624060150405</v>
      </c>
      <c r="G35" s="21" cm="1">
        <f t="array" ref="G35">TREND(G$5:G$24,$B$5:$B$24,$B35)</f>
        <v>6.4298496240601537</v>
      </c>
      <c r="H35" s="21" cm="1">
        <f t="array" ref="H35">TREND($H$10:$H$24,$B$10:$B$24,B35)</f>
        <v>0.13314285714285745</v>
      </c>
      <c r="I35" s="23">
        <v>79</v>
      </c>
    </row>
    <row r="38" spans="2:9" x14ac:dyDescent="0.35">
      <c r="B38" s="5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88BF-D4FB-42FD-A679-0B8A62ABFC27}">
  <dimension ref="B1:AI58"/>
  <sheetViews>
    <sheetView zoomScale="55" zoomScaleNormal="55" workbookViewId="0">
      <selection activeCell="O58" sqref="O58"/>
    </sheetView>
  </sheetViews>
  <sheetFormatPr baseColWidth="10" defaultRowHeight="14.5" x14ac:dyDescent="0.35"/>
  <cols>
    <col min="2" max="4" width="25.453125" customWidth="1"/>
    <col min="5" max="5" width="18.54296875" customWidth="1"/>
    <col min="6" max="6" width="27.08984375" customWidth="1"/>
    <col min="7" max="7" width="17.1796875" customWidth="1"/>
    <col min="8" max="8" width="20.1796875" customWidth="1"/>
    <col min="9" max="9" width="25.6328125" customWidth="1"/>
    <col min="10" max="10" width="17.7265625" style="31" customWidth="1"/>
    <col min="11" max="11" width="26.08984375" customWidth="1"/>
    <col min="12" max="12" width="20.7265625" customWidth="1"/>
    <col min="13" max="13" width="21.1796875" customWidth="1"/>
    <col min="14" max="14" width="35.90625" customWidth="1"/>
  </cols>
  <sheetData>
    <row r="1" spans="2:35" ht="23.5" x14ac:dyDescent="0.55000000000000004">
      <c r="B1" s="44" t="s">
        <v>42</v>
      </c>
    </row>
    <row r="2" spans="2:35" x14ac:dyDescent="0.35">
      <c r="L2" s="10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0"/>
      <c r="AI2" s="10"/>
    </row>
    <row r="3" spans="2:35" x14ac:dyDescent="0.35">
      <c r="J3" s="32"/>
      <c r="L3" s="10"/>
      <c r="M3" s="27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10"/>
      <c r="AI3" s="10"/>
    </row>
    <row r="4" spans="2:35" x14ac:dyDescent="0.35">
      <c r="B4" s="30" t="s">
        <v>14</v>
      </c>
      <c r="C4" s="30" t="s">
        <v>7</v>
      </c>
      <c r="D4" s="30" t="s">
        <v>8</v>
      </c>
      <c r="E4" s="30" t="s">
        <v>9</v>
      </c>
      <c r="F4" s="30" t="s">
        <v>10</v>
      </c>
      <c r="G4" s="30" t="s">
        <v>11</v>
      </c>
      <c r="H4" s="30" t="s">
        <v>12</v>
      </c>
      <c r="I4" s="30" t="s">
        <v>13</v>
      </c>
      <c r="J4" s="32" t="s">
        <v>16</v>
      </c>
      <c r="K4" s="33" t="s">
        <v>17</v>
      </c>
      <c r="M4" s="33" t="s">
        <v>38</v>
      </c>
      <c r="N4" s="28" t="s">
        <v>18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10"/>
      <c r="AI4" s="10"/>
    </row>
    <row r="5" spans="2:35" x14ac:dyDescent="0.35">
      <c r="B5" s="29">
        <v>2000</v>
      </c>
      <c r="C5" s="34">
        <v>178.4</v>
      </c>
      <c r="D5" s="34">
        <v>104.7</v>
      </c>
      <c r="E5" s="34">
        <v>96.2</v>
      </c>
      <c r="F5" s="34">
        <v>43.9</v>
      </c>
      <c r="G5" s="34">
        <v>31</v>
      </c>
      <c r="H5" s="34">
        <v>6.3</v>
      </c>
      <c r="I5" s="34">
        <v>7.4</v>
      </c>
      <c r="J5" s="35">
        <f>SUM(C5:I5)</f>
        <v>467.9</v>
      </c>
      <c r="L5" s="10"/>
      <c r="M5" s="27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10"/>
      <c r="AI5" s="10"/>
    </row>
    <row r="6" spans="2:35" x14ac:dyDescent="0.35">
      <c r="B6" s="29">
        <v>2001</v>
      </c>
      <c r="C6" s="34">
        <v>178.7</v>
      </c>
      <c r="D6" s="34">
        <v>121.9</v>
      </c>
      <c r="E6" s="34">
        <v>94.4</v>
      </c>
      <c r="F6" s="34">
        <v>42.9</v>
      </c>
      <c r="G6" s="34">
        <v>31.2</v>
      </c>
      <c r="H6" s="34">
        <v>6.6</v>
      </c>
      <c r="I6" s="34">
        <v>7.5</v>
      </c>
      <c r="J6" s="35">
        <f t="shared" ref="J6:J24" si="0">SUM(C6:I6)</f>
        <v>483.2</v>
      </c>
      <c r="L6" s="1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10"/>
      <c r="AI6" s="10"/>
    </row>
    <row r="7" spans="2:35" x14ac:dyDescent="0.35">
      <c r="B7" s="29">
        <v>2002</v>
      </c>
      <c r="C7" s="34">
        <v>186</v>
      </c>
      <c r="D7" s="34">
        <v>108.6</v>
      </c>
      <c r="E7" s="34">
        <v>95.5</v>
      </c>
      <c r="F7" s="34">
        <v>44.8</v>
      </c>
      <c r="G7" s="34">
        <v>33.299999999999997</v>
      </c>
      <c r="H7" s="34">
        <v>7.1</v>
      </c>
      <c r="I7" s="34">
        <v>7.5</v>
      </c>
      <c r="J7" s="35">
        <f t="shared" si="0"/>
        <v>482.80000000000007</v>
      </c>
      <c r="L7" s="10"/>
      <c r="M7" s="27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10"/>
      <c r="AI7" s="10"/>
    </row>
    <row r="8" spans="2:35" x14ac:dyDescent="0.35">
      <c r="B8" s="29">
        <v>2003</v>
      </c>
      <c r="C8" s="34">
        <v>183.3</v>
      </c>
      <c r="D8" s="34">
        <v>112.5</v>
      </c>
      <c r="E8" s="34">
        <v>94.7</v>
      </c>
      <c r="F8" s="34">
        <v>43.3</v>
      </c>
      <c r="G8" s="34">
        <v>33.6</v>
      </c>
      <c r="H8" s="34">
        <v>7.8</v>
      </c>
      <c r="I8" s="34">
        <v>7.6</v>
      </c>
      <c r="J8" s="35">
        <f t="shared" si="0"/>
        <v>482.80000000000007</v>
      </c>
      <c r="L8" s="10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10"/>
      <c r="AI8" s="10"/>
    </row>
    <row r="9" spans="2:35" x14ac:dyDescent="0.35">
      <c r="B9" s="29">
        <v>2004</v>
      </c>
      <c r="C9" s="34">
        <v>184.9</v>
      </c>
      <c r="D9" s="34">
        <v>115.1</v>
      </c>
      <c r="E9" s="34">
        <v>97.3</v>
      </c>
      <c r="F9" s="34">
        <v>44.6</v>
      </c>
      <c r="G9" s="34">
        <v>32.9</v>
      </c>
      <c r="H9" s="34">
        <v>8.5</v>
      </c>
      <c r="I9" s="34">
        <v>7.6</v>
      </c>
      <c r="J9" s="35">
        <f t="shared" si="0"/>
        <v>490.90000000000003</v>
      </c>
      <c r="L9" s="10"/>
      <c r="M9" s="27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10"/>
      <c r="AI9" s="10"/>
    </row>
    <row r="10" spans="2:35" x14ac:dyDescent="0.35">
      <c r="B10" s="29">
        <v>2005</v>
      </c>
      <c r="C10" s="34">
        <v>186.6</v>
      </c>
      <c r="D10" s="34">
        <v>107.8</v>
      </c>
      <c r="E10" s="34">
        <v>95.5</v>
      </c>
      <c r="F10" s="34">
        <v>43.1</v>
      </c>
      <c r="G10" s="34">
        <v>33.700000000000003</v>
      </c>
      <c r="H10" s="34">
        <v>9.3000000000000007</v>
      </c>
      <c r="I10" s="34">
        <v>7.8</v>
      </c>
      <c r="J10" s="35">
        <f t="shared" si="0"/>
        <v>483.8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2:35" x14ac:dyDescent="0.35">
      <c r="B11" s="29">
        <v>2006</v>
      </c>
      <c r="C11" s="34">
        <v>186.5</v>
      </c>
      <c r="D11" s="34">
        <v>104.4</v>
      </c>
      <c r="E11" s="34">
        <v>93</v>
      </c>
      <c r="F11" s="34">
        <v>43.8</v>
      </c>
      <c r="G11" s="34">
        <v>34.700000000000003</v>
      </c>
      <c r="H11" s="34">
        <v>10.1</v>
      </c>
      <c r="I11" s="34">
        <v>7.9</v>
      </c>
      <c r="J11" s="35">
        <f t="shared" si="0"/>
        <v>480.4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2:35" x14ac:dyDescent="0.35">
      <c r="B12" s="29">
        <v>2007</v>
      </c>
      <c r="C12" s="34">
        <v>186.2</v>
      </c>
      <c r="D12" s="34">
        <v>113.8</v>
      </c>
      <c r="E12" s="34">
        <v>89.7</v>
      </c>
      <c r="F12" s="34">
        <v>44</v>
      </c>
      <c r="G12" s="34">
        <v>35.200000000000003</v>
      </c>
      <c r="H12" s="34">
        <v>10.8</v>
      </c>
      <c r="I12" s="34">
        <v>8</v>
      </c>
      <c r="J12" s="35">
        <f t="shared" si="0"/>
        <v>487.7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2:35" x14ac:dyDescent="0.35">
      <c r="B13" s="29">
        <v>2008</v>
      </c>
      <c r="C13" s="34">
        <v>174.8</v>
      </c>
      <c r="D13" s="34">
        <v>120.1</v>
      </c>
      <c r="E13" s="34">
        <v>89.9</v>
      </c>
      <c r="F13" s="34">
        <v>44.4</v>
      </c>
      <c r="G13" s="34">
        <v>35.1</v>
      </c>
      <c r="H13" s="34">
        <v>11.7</v>
      </c>
      <c r="I13" s="34">
        <v>8.1</v>
      </c>
      <c r="J13" s="35">
        <f t="shared" si="0"/>
        <v>484.09999999999997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2:35" x14ac:dyDescent="0.35">
      <c r="B14" s="29">
        <v>2009</v>
      </c>
      <c r="C14" s="34">
        <v>168</v>
      </c>
      <c r="D14" s="34">
        <v>101.3</v>
      </c>
      <c r="E14" s="34">
        <v>87.2</v>
      </c>
      <c r="F14" s="34">
        <v>44.5</v>
      </c>
      <c r="G14" s="34">
        <v>32.9</v>
      </c>
      <c r="H14" s="34">
        <v>12.3</v>
      </c>
      <c r="I14" s="34">
        <v>8.1999999999999993</v>
      </c>
      <c r="J14" s="35">
        <f t="shared" si="0"/>
        <v>454.4</v>
      </c>
      <c r="L14" s="10"/>
      <c r="M14" s="10"/>
      <c r="N14" s="27"/>
      <c r="O14" s="27"/>
      <c r="P14" s="27"/>
      <c r="Q14" s="27"/>
      <c r="R14" s="27"/>
      <c r="S14" s="27"/>
      <c r="T14" s="27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2:35" x14ac:dyDescent="0.35">
      <c r="B15" s="29">
        <v>2010</v>
      </c>
      <c r="C15" s="34">
        <v>165.1</v>
      </c>
      <c r="D15" s="34">
        <v>90.3</v>
      </c>
      <c r="E15" s="34">
        <v>91.1</v>
      </c>
      <c r="F15" s="34">
        <v>45.9</v>
      </c>
      <c r="G15" s="34">
        <v>33.700000000000003</v>
      </c>
      <c r="H15" s="34">
        <v>13.5</v>
      </c>
      <c r="I15" s="34">
        <v>8.3000000000000007</v>
      </c>
      <c r="J15" s="35">
        <f t="shared" si="0"/>
        <v>447.9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2:35" x14ac:dyDescent="0.35">
      <c r="B16" s="29">
        <v>2011</v>
      </c>
      <c r="C16" s="34">
        <v>161.80000000000001</v>
      </c>
      <c r="D16" s="34">
        <v>89.2</v>
      </c>
      <c r="E16" s="34">
        <v>89.4</v>
      </c>
      <c r="F16" s="34">
        <v>46</v>
      </c>
      <c r="G16" s="34">
        <v>34.4</v>
      </c>
      <c r="H16" s="34">
        <v>14.5</v>
      </c>
      <c r="I16" s="34">
        <v>8.4</v>
      </c>
      <c r="J16" s="35">
        <f t="shared" si="0"/>
        <v>443.69999999999993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2:35" x14ac:dyDescent="0.35">
      <c r="B17" s="29">
        <v>2012</v>
      </c>
      <c r="C17" s="34">
        <v>161.4</v>
      </c>
      <c r="D17" s="34">
        <v>98.2</v>
      </c>
      <c r="E17" s="34">
        <v>88.9</v>
      </c>
      <c r="F17" s="34">
        <v>43.5</v>
      </c>
      <c r="G17" s="34">
        <v>35.5</v>
      </c>
      <c r="H17" s="34">
        <v>15.5</v>
      </c>
      <c r="I17" s="34">
        <v>8.3000000000000007</v>
      </c>
      <c r="J17" s="35">
        <f t="shared" si="0"/>
        <v>451.3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2:35" x14ac:dyDescent="0.35">
      <c r="B18" s="29">
        <v>2013</v>
      </c>
      <c r="C18" s="34">
        <v>161.30000000000001</v>
      </c>
      <c r="D18" s="34">
        <v>91.4</v>
      </c>
      <c r="E18" s="34">
        <v>91.7</v>
      </c>
      <c r="F18" s="34">
        <v>44.2</v>
      </c>
      <c r="G18" s="34">
        <v>33.799999999999997</v>
      </c>
      <c r="H18" s="34">
        <v>16.8</v>
      </c>
      <c r="I18" s="34">
        <v>8.4</v>
      </c>
      <c r="J18" s="35">
        <f t="shared" si="0"/>
        <v>447.6</v>
      </c>
      <c r="K18" s="10">
        <v>144.99997500000001</v>
      </c>
      <c r="L18" s="37"/>
      <c r="M18" s="39">
        <f>K18/J18</f>
        <v>0.32394989946380698</v>
      </c>
      <c r="N18" s="10">
        <f>SUM(K18:K19)</f>
        <v>291.18120199999998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2:35" x14ac:dyDescent="0.35">
      <c r="B19" s="29">
        <v>2014</v>
      </c>
      <c r="C19" s="34">
        <v>162.6</v>
      </c>
      <c r="D19" s="34">
        <v>88.9</v>
      </c>
      <c r="E19" s="34">
        <v>92.5</v>
      </c>
      <c r="F19" s="34">
        <v>38.200000000000003</v>
      </c>
      <c r="G19" s="34">
        <v>34.700000000000003</v>
      </c>
      <c r="H19" s="34">
        <v>17.7</v>
      </c>
      <c r="I19" s="34">
        <v>8.4</v>
      </c>
      <c r="J19" s="35">
        <f t="shared" si="0"/>
        <v>442.99999999999994</v>
      </c>
      <c r="K19" s="10">
        <v>146.18122699999998</v>
      </c>
      <c r="L19" s="38"/>
      <c r="M19" s="39">
        <f t="shared" ref="M19:M25" si="1">K19/J19</f>
        <v>0.32998019638826187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2:35" x14ac:dyDescent="0.35">
      <c r="B20" s="29">
        <v>2015</v>
      </c>
      <c r="C20" s="34">
        <v>166.2</v>
      </c>
      <c r="D20" s="34">
        <v>84.8</v>
      </c>
      <c r="E20" s="34">
        <v>90.3</v>
      </c>
      <c r="F20" s="34">
        <v>38.799999999999997</v>
      </c>
      <c r="G20" s="34">
        <v>33.5</v>
      </c>
      <c r="H20" s="34">
        <v>18.600000000000001</v>
      </c>
      <c r="I20" s="34">
        <v>8.5</v>
      </c>
      <c r="J20" s="35">
        <f t="shared" si="0"/>
        <v>440.70000000000005</v>
      </c>
      <c r="K20">
        <v>340.32349900000003</v>
      </c>
      <c r="L20" s="38"/>
      <c r="M20" s="39">
        <f t="shared" si="1"/>
        <v>0.7722339437258906</v>
      </c>
      <c r="N20">
        <f>SUM(K20:K22)</f>
        <v>981.44209300000011</v>
      </c>
    </row>
    <row r="21" spans="2:35" x14ac:dyDescent="0.35">
      <c r="B21" s="29">
        <v>2016</v>
      </c>
      <c r="C21" s="34">
        <v>169.8</v>
      </c>
      <c r="D21" s="34">
        <v>68.599999999999994</v>
      </c>
      <c r="E21" s="34">
        <v>89</v>
      </c>
      <c r="F21" s="34">
        <v>40.6</v>
      </c>
      <c r="G21" s="34">
        <v>33.299999999999997</v>
      </c>
      <c r="H21" s="34">
        <v>19.2</v>
      </c>
      <c r="I21" s="34">
        <v>8.6</v>
      </c>
      <c r="J21" s="35">
        <f t="shared" si="0"/>
        <v>429.1</v>
      </c>
      <c r="K21">
        <v>324.06901900000003</v>
      </c>
      <c r="L21" s="38"/>
      <c r="M21" s="39">
        <f t="shared" si="1"/>
        <v>0.75522959450011651</v>
      </c>
    </row>
    <row r="22" spans="2:35" x14ac:dyDescent="0.35">
      <c r="B22" s="29">
        <v>2017</v>
      </c>
      <c r="C22" s="34">
        <v>171.2</v>
      </c>
      <c r="D22" s="34">
        <v>62.1</v>
      </c>
      <c r="E22" s="34">
        <v>88.8</v>
      </c>
      <c r="F22" s="34">
        <v>41.3</v>
      </c>
      <c r="G22" s="34">
        <v>32.5</v>
      </c>
      <c r="H22" s="34">
        <v>20</v>
      </c>
      <c r="I22" s="34">
        <v>8.6999999999999993</v>
      </c>
      <c r="J22" s="35">
        <f t="shared" si="0"/>
        <v>424.59999999999997</v>
      </c>
      <c r="K22">
        <v>317.049575</v>
      </c>
      <c r="L22" s="38"/>
      <c r="M22" s="39">
        <f t="shared" si="1"/>
        <v>0.74670177814413574</v>
      </c>
    </row>
    <row r="23" spans="2:35" x14ac:dyDescent="0.35">
      <c r="B23" s="29">
        <v>2018</v>
      </c>
      <c r="C23" s="34">
        <v>169.6</v>
      </c>
      <c r="D23" s="34">
        <v>63.1</v>
      </c>
      <c r="E23" s="34">
        <v>89.2</v>
      </c>
      <c r="F23" s="34">
        <v>41.4</v>
      </c>
      <c r="G23" s="34">
        <v>32.700000000000003</v>
      </c>
      <c r="H23" s="34">
        <v>20.399999999999999</v>
      </c>
      <c r="I23" s="34">
        <v>8.6999999999999993</v>
      </c>
      <c r="J23" s="35">
        <f t="shared" si="0"/>
        <v>425.09999999999991</v>
      </c>
      <c r="K23">
        <v>320.95495299999999</v>
      </c>
      <c r="L23" s="38"/>
      <c r="M23" s="39">
        <f t="shared" si="1"/>
        <v>0.75501047518231013</v>
      </c>
      <c r="N23">
        <f>SUM(K23:K24,K25)</f>
        <v>946.4016780060648</v>
      </c>
    </row>
    <row r="24" spans="2:35" x14ac:dyDescent="0.35">
      <c r="B24" s="29">
        <v>2019</v>
      </c>
      <c r="C24" s="34">
        <v>166.1</v>
      </c>
      <c r="D24" s="34">
        <v>58.8</v>
      </c>
      <c r="E24" s="34">
        <v>88.2</v>
      </c>
      <c r="F24" s="34">
        <v>43.8</v>
      </c>
      <c r="G24" s="34">
        <v>31.8</v>
      </c>
      <c r="H24" s="34">
        <v>20.6</v>
      </c>
      <c r="I24" s="34">
        <v>8.9</v>
      </c>
      <c r="J24" s="35">
        <f t="shared" si="0"/>
        <v>418.2</v>
      </c>
      <c r="K24">
        <v>311.74203199999999</v>
      </c>
      <c r="L24" s="38"/>
      <c r="M24" s="39">
        <f t="shared" si="1"/>
        <v>0.74543766618842655</v>
      </c>
    </row>
    <row r="25" spans="2:35" x14ac:dyDescent="0.35">
      <c r="B25" s="29">
        <v>2020</v>
      </c>
      <c r="C25" s="4"/>
      <c r="D25" s="4"/>
      <c r="E25" s="4"/>
      <c r="F25" s="4"/>
      <c r="G25" s="4"/>
      <c r="H25" s="4"/>
      <c r="I25" s="4"/>
      <c r="J25" s="36">
        <f>J24-($J$24-$J$35)/11</f>
        <v>415.54545454545456</v>
      </c>
      <c r="K25" s="42">
        <f>J25*M26</f>
        <v>313.70469300606476</v>
      </c>
      <c r="M25" s="39">
        <f t="shared" si="1"/>
        <v>0.75492269154817593</v>
      </c>
    </row>
    <row r="26" spans="2:35" x14ac:dyDescent="0.35">
      <c r="B26" s="29">
        <v>2021</v>
      </c>
      <c r="C26" s="4"/>
      <c r="D26" s="4"/>
      <c r="E26" s="4"/>
      <c r="F26" s="4"/>
      <c r="G26" s="4"/>
      <c r="H26" s="4"/>
      <c r="I26" s="4"/>
      <c r="J26" s="36">
        <f t="shared" ref="J26:J34" si="2">J25-($J$24-$J$35)/11</f>
        <v>412.89090909090913</v>
      </c>
      <c r="K26" s="9">
        <f t="shared" ref="K26:K35" si="3">J26*M26</f>
        <v>311.70071640668232</v>
      </c>
      <c r="M26" s="12">
        <f>AVERAGE($M$20:$M$24)</f>
        <v>0.75492269154817593</v>
      </c>
      <c r="N26" s="9">
        <f>SUM(K26:K28)</f>
        <v>929.09021942189975</v>
      </c>
    </row>
    <row r="27" spans="2:35" x14ac:dyDescent="0.35">
      <c r="B27" s="29">
        <v>2022</v>
      </c>
      <c r="C27" s="4"/>
      <c r="D27" s="4"/>
      <c r="E27" s="4"/>
      <c r="F27" s="4"/>
      <c r="G27" s="4"/>
      <c r="H27" s="4"/>
      <c r="I27" s="4"/>
      <c r="J27" s="36">
        <f t="shared" si="2"/>
        <v>410.23636363636371</v>
      </c>
      <c r="K27" s="9">
        <f t="shared" si="3"/>
        <v>309.69673980729993</v>
      </c>
      <c r="M27" s="12">
        <f t="shared" ref="M27:M35" si="4">AVERAGE($M$20:$M$24)</f>
        <v>0.75492269154817593</v>
      </c>
      <c r="N27" s="9"/>
    </row>
    <row r="28" spans="2:35" x14ac:dyDescent="0.35">
      <c r="B28" s="29">
        <v>2023</v>
      </c>
      <c r="C28" s="4"/>
      <c r="D28" s="4"/>
      <c r="E28" s="4"/>
      <c r="F28" s="4"/>
      <c r="G28" s="4"/>
      <c r="H28" s="4"/>
      <c r="I28" s="4"/>
      <c r="J28" s="36">
        <f t="shared" si="2"/>
        <v>407.58181818181828</v>
      </c>
      <c r="K28" s="9">
        <f t="shared" si="3"/>
        <v>307.69276320791755</v>
      </c>
      <c r="M28" s="12">
        <f t="shared" si="4"/>
        <v>0.75492269154817593</v>
      </c>
      <c r="N28" s="9"/>
    </row>
    <row r="29" spans="2:35" x14ac:dyDescent="0.35">
      <c r="B29" s="29">
        <v>2024</v>
      </c>
      <c r="C29" s="4"/>
      <c r="D29" s="4"/>
      <c r="E29" s="4"/>
      <c r="F29" s="4"/>
      <c r="G29" s="4"/>
      <c r="H29" s="4"/>
      <c r="I29" s="4"/>
      <c r="J29" s="36">
        <f t="shared" si="2"/>
        <v>404.92727272727285</v>
      </c>
      <c r="K29" s="9">
        <f t="shared" si="3"/>
        <v>305.68878660853511</v>
      </c>
      <c r="M29" s="12">
        <f t="shared" si="4"/>
        <v>0.75492269154817593</v>
      </c>
      <c r="N29" s="9">
        <f>SUM(K29:K31)</f>
        <v>911.05443002745801</v>
      </c>
    </row>
    <row r="30" spans="2:35" x14ac:dyDescent="0.35">
      <c r="B30" s="29">
        <v>2025</v>
      </c>
      <c r="C30" s="4"/>
      <c r="D30" s="4"/>
      <c r="E30" s="4"/>
      <c r="F30" s="4"/>
      <c r="G30" s="4"/>
      <c r="H30" s="4"/>
      <c r="I30" s="4"/>
      <c r="J30" s="36">
        <f t="shared" si="2"/>
        <v>402.27272727272742</v>
      </c>
      <c r="K30" s="9">
        <f t="shared" si="3"/>
        <v>303.68481000915273</v>
      </c>
      <c r="M30" s="12">
        <f t="shared" si="4"/>
        <v>0.75492269154817593</v>
      </c>
      <c r="N30" s="9"/>
    </row>
    <row r="31" spans="2:35" x14ac:dyDescent="0.35">
      <c r="B31" s="29">
        <v>2026</v>
      </c>
      <c r="C31" s="4"/>
      <c r="D31" s="4"/>
      <c r="E31" s="4"/>
      <c r="F31" s="4"/>
      <c r="G31" s="4"/>
      <c r="H31" s="4"/>
      <c r="I31" s="4"/>
      <c r="J31" s="36">
        <f t="shared" si="2"/>
        <v>399.61818181818199</v>
      </c>
      <c r="K31" s="9">
        <f t="shared" si="3"/>
        <v>301.68083340977029</v>
      </c>
      <c r="M31" s="12">
        <f t="shared" si="4"/>
        <v>0.75492269154817593</v>
      </c>
      <c r="N31" s="9"/>
    </row>
    <row r="32" spans="2:35" x14ac:dyDescent="0.35">
      <c r="B32" s="29">
        <v>2027</v>
      </c>
      <c r="C32" s="4"/>
      <c r="D32" s="4"/>
      <c r="E32" s="4"/>
      <c r="F32" s="4"/>
      <c r="G32" s="4"/>
      <c r="H32" s="4"/>
      <c r="I32" s="4"/>
      <c r="J32" s="36">
        <f t="shared" si="2"/>
        <v>396.96363636363657</v>
      </c>
      <c r="K32" s="9">
        <f t="shared" si="3"/>
        <v>299.6768568103879</v>
      </c>
      <c r="M32" s="12">
        <f t="shared" si="4"/>
        <v>0.75492269154817593</v>
      </c>
      <c r="N32" s="9">
        <f>SUM(K32:K34)</f>
        <v>893.0186406330165</v>
      </c>
    </row>
    <row r="33" spans="2:16" x14ac:dyDescent="0.35">
      <c r="B33" s="29">
        <v>2028</v>
      </c>
      <c r="C33" s="4"/>
      <c r="D33" s="4"/>
      <c r="E33" s="4"/>
      <c r="F33" s="4"/>
      <c r="G33" s="4"/>
      <c r="H33" s="4"/>
      <c r="I33" s="4"/>
      <c r="J33" s="36">
        <f t="shared" si="2"/>
        <v>394.30909090909114</v>
      </c>
      <c r="K33" s="9">
        <f t="shared" si="3"/>
        <v>297.67288021100546</v>
      </c>
      <c r="M33" s="12">
        <f t="shared" si="4"/>
        <v>0.75492269154817593</v>
      </c>
    </row>
    <row r="34" spans="2:16" x14ac:dyDescent="0.35">
      <c r="B34" s="29">
        <v>2029</v>
      </c>
      <c r="C34" s="4"/>
      <c r="D34" s="4"/>
      <c r="E34" s="4"/>
      <c r="F34" s="4"/>
      <c r="G34" s="4"/>
      <c r="H34" s="4"/>
      <c r="I34" s="4"/>
      <c r="J34" s="36">
        <f t="shared" si="2"/>
        <v>391.65454545454571</v>
      </c>
      <c r="K34" s="9">
        <f t="shared" si="3"/>
        <v>295.66890361162308</v>
      </c>
      <c r="M34" s="12">
        <f t="shared" si="4"/>
        <v>0.75492269154817593</v>
      </c>
    </row>
    <row r="35" spans="2:16" x14ac:dyDescent="0.35">
      <c r="B35" s="29">
        <v>2030</v>
      </c>
      <c r="C35" s="4"/>
      <c r="D35" s="4"/>
      <c r="E35" s="4"/>
      <c r="F35" s="4"/>
      <c r="G35" s="4"/>
      <c r="H35" s="4"/>
      <c r="I35" s="4"/>
      <c r="J35" s="36">
        <f>389</f>
        <v>389</v>
      </c>
      <c r="K35" s="9">
        <f t="shared" si="3"/>
        <v>293.66492701224041</v>
      </c>
      <c r="M35" s="12">
        <f t="shared" si="4"/>
        <v>0.75492269154817593</v>
      </c>
    </row>
    <row r="39" spans="2:16" x14ac:dyDescent="0.35">
      <c r="N39" s="7"/>
      <c r="P39" s="7"/>
    </row>
    <row r="40" spans="2:16" x14ac:dyDescent="0.35">
      <c r="O40" s="8"/>
    </row>
    <row r="41" spans="2:16" x14ac:dyDescent="0.35">
      <c r="J41" s="85"/>
    </row>
    <row r="43" spans="2:16" x14ac:dyDescent="0.35">
      <c r="J43" s="85"/>
      <c r="K43" s="2"/>
    </row>
    <row r="46" spans="2:16" x14ac:dyDescent="0.35">
      <c r="O46" s="9"/>
    </row>
    <row r="47" spans="2:16" x14ac:dyDescent="0.35">
      <c r="N47" s="9"/>
      <c r="O47" s="9"/>
      <c r="P47" s="9"/>
    </row>
    <row r="48" spans="2:16" x14ac:dyDescent="0.35">
      <c r="N48" s="9"/>
      <c r="O48" s="9"/>
      <c r="P48" s="9"/>
    </row>
    <row r="49" spans="14:16" x14ac:dyDescent="0.35">
      <c r="N49" s="9"/>
      <c r="O49" s="9"/>
      <c r="P49" s="9"/>
    </row>
    <row r="50" spans="14:16" x14ac:dyDescent="0.35">
      <c r="N50" s="9"/>
      <c r="O50" s="9"/>
      <c r="P50" s="9"/>
    </row>
    <row r="51" spans="14:16" x14ac:dyDescent="0.35">
      <c r="N51" s="9"/>
      <c r="O51" s="9"/>
      <c r="P51" s="9"/>
    </row>
    <row r="52" spans="14:16" x14ac:dyDescent="0.35">
      <c r="N52" s="9"/>
      <c r="O52" s="9"/>
      <c r="P52" s="9"/>
    </row>
    <row r="53" spans="14:16" x14ac:dyDescent="0.35">
      <c r="N53" s="9"/>
      <c r="O53" s="9"/>
      <c r="P53" s="9"/>
    </row>
    <row r="54" spans="14:16" x14ac:dyDescent="0.35">
      <c r="N54" s="9"/>
      <c r="O54" s="9"/>
      <c r="P54" s="9"/>
    </row>
    <row r="55" spans="14:16" x14ac:dyDescent="0.35">
      <c r="N55" s="9"/>
      <c r="O55" s="9"/>
    </row>
    <row r="58" spans="14:16" x14ac:dyDescent="0.35">
      <c r="N58" s="13"/>
      <c r="O5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D497-511A-418B-A2DB-62B60DEE3485}">
  <dimension ref="A1:N38"/>
  <sheetViews>
    <sheetView topLeftCell="G2" zoomScale="70" zoomScaleNormal="70" workbookViewId="0">
      <selection activeCell="M4" sqref="M4"/>
    </sheetView>
  </sheetViews>
  <sheetFormatPr baseColWidth="10" defaultRowHeight="14.5" x14ac:dyDescent="0.35"/>
  <cols>
    <col min="2" max="2" width="23.81640625" customWidth="1"/>
    <col min="3" max="8" width="26.6328125" style="60" customWidth="1"/>
    <col min="9" max="10" width="26.08984375" style="54" customWidth="1"/>
    <col min="11" max="11" width="19" style="2" customWidth="1"/>
    <col min="12" max="12" width="30.6328125" style="2" customWidth="1"/>
    <col min="13" max="13" width="25.7265625" customWidth="1"/>
  </cols>
  <sheetData>
    <row r="1" spans="1:14" ht="23.5" x14ac:dyDescent="0.55000000000000004">
      <c r="B1" s="44" t="s">
        <v>44</v>
      </c>
      <c r="F1" s="1">
        <v>1990</v>
      </c>
      <c r="G1" s="60">
        <v>86.4</v>
      </c>
      <c r="M1" s="2"/>
    </row>
    <row r="2" spans="1:14" x14ac:dyDescent="0.35">
      <c r="M2" s="2"/>
    </row>
    <row r="3" spans="1:14" x14ac:dyDescent="0.35">
      <c r="M3" s="2"/>
    </row>
    <row r="4" spans="1:14" x14ac:dyDescent="0.35">
      <c r="B4" t="s">
        <v>14</v>
      </c>
      <c r="C4" s="60" t="s">
        <v>3</v>
      </c>
      <c r="D4" s="60" t="s">
        <v>32</v>
      </c>
      <c r="E4" s="60" t="s">
        <v>45</v>
      </c>
      <c r="F4" s="60" t="s">
        <v>4</v>
      </c>
      <c r="G4" s="60" t="s">
        <v>34</v>
      </c>
      <c r="H4" s="60" t="s">
        <v>35</v>
      </c>
      <c r="I4" s="54" t="s">
        <v>36</v>
      </c>
      <c r="K4" s="2" t="s">
        <v>15</v>
      </c>
      <c r="L4" s="2" t="s">
        <v>17</v>
      </c>
      <c r="N4" s="2" t="s">
        <v>38</v>
      </c>
    </row>
    <row r="5" spans="1:14" x14ac:dyDescent="0.35">
      <c r="B5">
        <v>2000</v>
      </c>
      <c r="C5" s="38">
        <v>31.033000000000001</v>
      </c>
      <c r="D5" s="2">
        <v>29.466000000000001</v>
      </c>
      <c r="E5" s="38">
        <v>11.760999999999999</v>
      </c>
      <c r="F5" s="38">
        <v>7.1689999999999996</v>
      </c>
      <c r="G5" s="8">
        <v>6.7130000000000001</v>
      </c>
      <c r="H5" s="38">
        <v>0.33200000000000002</v>
      </c>
      <c r="M5" s="2"/>
      <c r="N5" s="2"/>
    </row>
    <row r="6" spans="1:14" x14ac:dyDescent="0.35">
      <c r="B6">
        <v>2001</v>
      </c>
      <c r="C6" s="2">
        <v>30.404</v>
      </c>
      <c r="D6" s="38">
        <v>28.256</v>
      </c>
      <c r="E6" s="38">
        <v>10.954000000000001</v>
      </c>
      <c r="F6" s="63">
        <v>7.4530000000000003</v>
      </c>
      <c r="G6" s="8">
        <v>6.9219999999999997</v>
      </c>
      <c r="H6" s="60">
        <v>0.36599999999999999</v>
      </c>
      <c r="M6" s="2"/>
      <c r="N6" s="2"/>
    </row>
    <row r="7" spans="1:14" x14ac:dyDescent="0.35">
      <c r="A7" s="16"/>
      <c r="B7">
        <v>2002</v>
      </c>
      <c r="C7" s="58">
        <v>31.138000000000002</v>
      </c>
      <c r="D7" s="2">
        <v>28.568999999999999</v>
      </c>
      <c r="E7" s="58">
        <v>11.638999999999999</v>
      </c>
      <c r="F7" s="64">
        <v>7.492</v>
      </c>
      <c r="G7" s="58">
        <v>7.0010000000000003</v>
      </c>
      <c r="H7" s="58">
        <v>0.23599999999999999</v>
      </c>
      <c r="I7" s="61">
        <f t="shared" ref="I7:I19" si="0">SUM(C7:H7)</f>
        <v>86.075000000000017</v>
      </c>
      <c r="J7" s="61"/>
      <c r="M7" s="3"/>
      <c r="N7" s="11"/>
    </row>
    <row r="8" spans="1:14" x14ac:dyDescent="0.35">
      <c r="A8" s="16"/>
      <c r="B8">
        <v>2003</v>
      </c>
      <c r="C8" s="2">
        <v>33.091000000000001</v>
      </c>
      <c r="D8" s="2">
        <v>29.396000000000001</v>
      </c>
      <c r="E8" s="2">
        <v>12.943</v>
      </c>
      <c r="F8" s="38">
        <v>7.45</v>
      </c>
      <c r="G8" s="2">
        <v>7.1820000000000004</v>
      </c>
      <c r="H8" s="2">
        <v>1.51</v>
      </c>
      <c r="I8" s="61">
        <f t="shared" si="0"/>
        <v>91.572000000000017</v>
      </c>
      <c r="J8" s="61"/>
      <c r="M8" s="18"/>
      <c r="N8" s="11"/>
    </row>
    <row r="9" spans="1:14" x14ac:dyDescent="0.35">
      <c r="A9" s="16"/>
      <c r="B9">
        <v>2004</v>
      </c>
      <c r="C9" s="2">
        <v>33.503999999999998</v>
      </c>
      <c r="D9" s="2">
        <v>29.518999999999998</v>
      </c>
      <c r="E9" s="2">
        <v>12.522</v>
      </c>
      <c r="F9" s="38">
        <v>7.6840000000000002</v>
      </c>
      <c r="G9" s="2">
        <v>6.5890000000000004</v>
      </c>
      <c r="H9" s="2">
        <v>1.2549999999999999</v>
      </c>
      <c r="I9" s="61">
        <f t="shared" si="0"/>
        <v>91.072999999999993</v>
      </c>
      <c r="J9" s="61"/>
      <c r="M9" s="18"/>
    </row>
    <row r="10" spans="1:14" x14ac:dyDescent="0.35">
      <c r="A10" s="16"/>
      <c r="B10">
        <v>2005</v>
      </c>
      <c r="C10" s="2">
        <v>33.277999999999999</v>
      </c>
      <c r="D10" s="2">
        <v>28.803999999999998</v>
      </c>
      <c r="E10" s="2">
        <v>11.353999999999999</v>
      </c>
      <c r="F10" s="38">
        <v>7.6459999999999999</v>
      </c>
      <c r="G10" s="2">
        <v>6.7969999999999997</v>
      </c>
      <c r="H10" s="2">
        <v>0.378</v>
      </c>
      <c r="I10" s="61">
        <f t="shared" si="0"/>
        <v>88.256999999999991</v>
      </c>
      <c r="J10" s="61"/>
      <c r="M10" s="18"/>
    </row>
    <row r="11" spans="1:14" x14ac:dyDescent="0.35">
      <c r="A11" s="16"/>
      <c r="B11">
        <v>2006</v>
      </c>
      <c r="C11" s="2">
        <v>33.235999999999997</v>
      </c>
      <c r="D11" s="2">
        <v>29.184000000000001</v>
      </c>
      <c r="E11" s="2">
        <v>10.097</v>
      </c>
      <c r="F11" s="38">
        <v>7.6360000000000001</v>
      </c>
      <c r="G11" s="2">
        <v>6.8940000000000001</v>
      </c>
      <c r="H11" s="2">
        <v>0.214</v>
      </c>
      <c r="I11" s="61">
        <f t="shared" si="0"/>
        <v>87.260999999999996</v>
      </c>
      <c r="J11" s="61"/>
      <c r="K11" s="4"/>
      <c r="L11" s="4"/>
      <c r="M11" s="5"/>
    </row>
    <row r="12" spans="1:14" x14ac:dyDescent="0.35">
      <c r="A12" s="16"/>
      <c r="B12">
        <v>2007</v>
      </c>
      <c r="C12" s="2">
        <v>34.593000000000004</v>
      </c>
      <c r="D12" s="2">
        <v>30.649000000000001</v>
      </c>
      <c r="E12" s="2">
        <v>10.500999999999999</v>
      </c>
      <c r="F12" s="38">
        <v>7.79</v>
      </c>
      <c r="G12" s="2">
        <v>7.1159999999999997</v>
      </c>
      <c r="H12" s="2">
        <v>0.25</v>
      </c>
      <c r="I12" s="61">
        <f t="shared" si="0"/>
        <v>90.899000000000015</v>
      </c>
      <c r="J12" s="61"/>
      <c r="K12" s="4"/>
      <c r="L12" s="4"/>
      <c r="M12" s="5"/>
    </row>
    <row r="13" spans="1:14" x14ac:dyDescent="0.35">
      <c r="A13" s="16"/>
      <c r="B13">
        <v>2008</v>
      </c>
      <c r="C13" s="2">
        <v>34.848999999999997</v>
      </c>
      <c r="D13" s="2">
        <v>27.645</v>
      </c>
      <c r="E13" s="2">
        <v>9.5030000000000001</v>
      </c>
      <c r="F13" s="38">
        <v>7.75</v>
      </c>
      <c r="G13" s="2">
        <v>6.9950000000000001</v>
      </c>
      <c r="H13" s="2">
        <v>0.23300000000000001</v>
      </c>
      <c r="I13" s="61">
        <f t="shared" si="0"/>
        <v>86.975000000000009</v>
      </c>
      <c r="J13" s="61"/>
      <c r="K13" s="4"/>
      <c r="L13" s="4"/>
      <c r="M13" s="5"/>
    </row>
    <row r="14" spans="1:14" x14ac:dyDescent="0.35">
      <c r="A14" s="16"/>
      <c r="B14">
        <v>2009</v>
      </c>
      <c r="C14" s="2">
        <v>34.58</v>
      </c>
      <c r="D14" s="2">
        <v>26.271000000000001</v>
      </c>
      <c r="E14" s="2">
        <v>10.218999999999999</v>
      </c>
      <c r="F14" s="38">
        <v>7.7069999999999999</v>
      </c>
      <c r="G14" s="2">
        <v>6.9059999999999997</v>
      </c>
      <c r="H14" s="2">
        <v>0.38200000000000001</v>
      </c>
      <c r="I14" s="61">
        <f t="shared" si="0"/>
        <v>86.064999999999998</v>
      </c>
      <c r="J14" s="61"/>
      <c r="K14" s="4"/>
      <c r="L14" s="4"/>
      <c r="M14" s="5"/>
    </row>
    <row r="15" spans="1:14" x14ac:dyDescent="0.35">
      <c r="A15" s="16"/>
      <c r="B15">
        <v>2010</v>
      </c>
      <c r="C15" s="2">
        <v>34.450000000000003</v>
      </c>
      <c r="D15" s="2">
        <v>25.515000000000001</v>
      </c>
      <c r="E15" s="2">
        <v>9.2309999999999999</v>
      </c>
      <c r="F15" s="60">
        <v>7.7149999999999999</v>
      </c>
      <c r="G15" s="2">
        <v>6.7279999999999998</v>
      </c>
      <c r="H15" s="2">
        <v>0.20799999999999999</v>
      </c>
      <c r="I15" s="61">
        <f t="shared" si="0"/>
        <v>83.846999999999994</v>
      </c>
      <c r="J15" s="61"/>
      <c r="K15" s="4"/>
      <c r="L15" s="4"/>
      <c r="M15" s="5"/>
    </row>
    <row r="16" spans="1:14" x14ac:dyDescent="0.35">
      <c r="A16" s="16"/>
      <c r="B16">
        <v>2011</v>
      </c>
      <c r="C16" s="2">
        <v>35.762</v>
      </c>
      <c r="D16" s="2">
        <v>25.32</v>
      </c>
      <c r="E16" s="2">
        <v>8.9280000000000008</v>
      </c>
      <c r="F16" s="38">
        <v>7.7069999999999999</v>
      </c>
      <c r="G16" s="2">
        <v>6.6390000000000002</v>
      </c>
      <c r="H16" s="2">
        <v>0.215</v>
      </c>
      <c r="I16" s="61">
        <f t="shared" si="0"/>
        <v>84.570999999999998</v>
      </c>
      <c r="J16" s="61"/>
      <c r="K16" s="4"/>
      <c r="L16" s="4"/>
      <c r="M16" s="5"/>
    </row>
    <row r="17" spans="1:14" x14ac:dyDescent="0.35">
      <c r="A17" s="16"/>
      <c r="B17">
        <v>2012</v>
      </c>
      <c r="C17" s="2">
        <v>35.17</v>
      </c>
      <c r="D17" s="2">
        <v>25.407</v>
      </c>
      <c r="E17" s="2">
        <v>7.7160000000000002</v>
      </c>
      <c r="F17" s="38">
        <v>7.7770000000000001</v>
      </c>
      <c r="G17" s="2">
        <v>6.5350000000000001</v>
      </c>
      <c r="H17" s="2">
        <v>0.20699999999999999</v>
      </c>
      <c r="I17" s="61">
        <f t="shared" si="0"/>
        <v>82.811999999999983</v>
      </c>
      <c r="J17" s="61"/>
      <c r="K17" s="4"/>
      <c r="L17" s="4"/>
      <c r="M17" s="5"/>
    </row>
    <row r="18" spans="1:14" x14ac:dyDescent="0.35">
      <c r="A18" s="16"/>
      <c r="B18">
        <v>2013</v>
      </c>
      <c r="C18" s="2">
        <v>34.674999999999997</v>
      </c>
      <c r="D18" s="2">
        <v>25.387</v>
      </c>
      <c r="E18" s="2">
        <v>7.8879999999999999</v>
      </c>
      <c r="F18" s="38">
        <v>7.8719999999999999</v>
      </c>
      <c r="G18" s="2">
        <v>6.5019999999999998</v>
      </c>
      <c r="H18" s="2">
        <v>0.214</v>
      </c>
      <c r="I18" s="61">
        <f t="shared" si="0"/>
        <v>82.537999999999997</v>
      </c>
      <c r="J18" s="61">
        <f>I18*N18</f>
        <v>0</v>
      </c>
      <c r="K18" s="24">
        <f>SUM(I18:I19)</f>
        <v>163.49799999999999</v>
      </c>
      <c r="L18" s="24"/>
      <c r="M18" s="17"/>
      <c r="N18" s="11"/>
    </row>
    <row r="19" spans="1:14" x14ac:dyDescent="0.35">
      <c r="A19" s="16"/>
      <c r="B19">
        <v>2014</v>
      </c>
      <c r="C19" s="2">
        <v>33.048999999999999</v>
      </c>
      <c r="D19" s="2">
        <v>25.35</v>
      </c>
      <c r="E19" s="2">
        <v>8.1890000000000001</v>
      </c>
      <c r="F19" s="2">
        <v>7.6890000000000001</v>
      </c>
      <c r="G19" s="2">
        <v>6.4610000000000003</v>
      </c>
      <c r="H19" s="2">
        <v>0.222</v>
      </c>
      <c r="I19" s="61">
        <f t="shared" si="0"/>
        <v>80.95999999999998</v>
      </c>
      <c r="J19" s="61">
        <f>I19*M19</f>
        <v>18.155416915680924</v>
      </c>
      <c r="L19" s="17"/>
      <c r="M19" s="11">
        <v>0.22425169115218538</v>
      </c>
    </row>
    <row r="20" spans="1:14" x14ac:dyDescent="0.35">
      <c r="A20" s="71"/>
      <c r="B20">
        <v>2015</v>
      </c>
      <c r="C20" s="2">
        <v>33.625999999999998</v>
      </c>
      <c r="D20" s="2">
        <v>24.358000000000001</v>
      </c>
      <c r="E20" s="2">
        <v>8.2729999999999997</v>
      </c>
      <c r="F20" s="2">
        <v>7.774</v>
      </c>
      <c r="G20" s="2">
        <v>6.6970000000000001</v>
      </c>
      <c r="H20" s="2">
        <v>0.19400000000000001</v>
      </c>
      <c r="I20" s="61">
        <f>SUM(C20:H20)</f>
        <v>80.921999999999997</v>
      </c>
      <c r="J20" s="61">
        <f>I20*M20</f>
        <v>59.260011506049047</v>
      </c>
      <c r="K20" s="2">
        <f>SUM(I20:I22)</f>
        <v>240.53399999999999</v>
      </c>
      <c r="L20" s="2">
        <v>176.14551800000001</v>
      </c>
      <c r="M20" s="11">
        <f>L20/K20</f>
        <v>0.73231026798706222</v>
      </c>
    </row>
    <row r="21" spans="1:14" x14ac:dyDescent="0.35">
      <c r="B21">
        <v>2016</v>
      </c>
      <c r="C21">
        <v>33.67</v>
      </c>
      <c r="D21">
        <v>23.48</v>
      </c>
      <c r="E21">
        <v>8.1999999999999993</v>
      </c>
      <c r="F21">
        <v>7.9</v>
      </c>
      <c r="G21">
        <v>5.03</v>
      </c>
      <c r="H21" s="2">
        <v>0.22600000000000001</v>
      </c>
      <c r="I21" s="61">
        <f t="shared" ref="I21:I24" si="1">SUM(C21:H21)</f>
        <v>78.506000000000014</v>
      </c>
      <c r="J21" s="61">
        <f>I21*M21</f>
        <v>57.49074989859232</v>
      </c>
      <c r="M21" s="11">
        <v>0.73231026798706222</v>
      </c>
    </row>
    <row r="22" spans="1:14" x14ac:dyDescent="0.35">
      <c r="B22">
        <v>2017</v>
      </c>
      <c r="C22">
        <v>35.61</v>
      </c>
      <c r="D22">
        <v>24.51</v>
      </c>
      <c r="E22">
        <v>8.16</v>
      </c>
      <c r="F22">
        <v>7.82</v>
      </c>
      <c r="G22">
        <v>4.78</v>
      </c>
      <c r="H22" s="2">
        <v>0.22600000000000001</v>
      </c>
      <c r="I22" s="61">
        <f t="shared" si="1"/>
        <v>81.105999999999995</v>
      </c>
      <c r="J22" s="61">
        <f>I22*M22</f>
        <v>59.394756595358665</v>
      </c>
      <c r="M22" s="11">
        <v>0.73231026798706222</v>
      </c>
    </row>
    <row r="23" spans="1:14" x14ac:dyDescent="0.35">
      <c r="B23">
        <v>2018</v>
      </c>
      <c r="C23">
        <v>35.61</v>
      </c>
      <c r="D23">
        <v>24.5</v>
      </c>
      <c r="E23">
        <v>8.0500000000000007</v>
      </c>
      <c r="F23">
        <v>7.92</v>
      </c>
      <c r="G23">
        <v>4.6500000000000004</v>
      </c>
      <c r="H23" s="2">
        <v>0.24</v>
      </c>
      <c r="I23" s="61">
        <f t="shared" si="1"/>
        <v>80.97</v>
      </c>
      <c r="J23" s="61">
        <f>I23*M23</f>
        <v>60.69465792759781</v>
      </c>
      <c r="K23" s="4">
        <f>SUM(I23:I25)</f>
        <v>237.7</v>
      </c>
      <c r="L23" s="2">
        <v>178.17858699999999</v>
      </c>
      <c r="M23" s="11">
        <f>L23/K23</f>
        <v>0.74959439209087086</v>
      </c>
    </row>
    <row r="24" spans="1:14" x14ac:dyDescent="0.35">
      <c r="B24">
        <v>2019</v>
      </c>
      <c r="C24">
        <v>36.47</v>
      </c>
      <c r="D24">
        <v>25.15</v>
      </c>
      <c r="E24">
        <v>8.3000000000000007</v>
      </c>
      <c r="F24">
        <v>7.92</v>
      </c>
      <c r="G24">
        <v>4.6500000000000004</v>
      </c>
      <c r="H24" s="2">
        <v>0.23</v>
      </c>
      <c r="I24" s="61">
        <f t="shared" si="1"/>
        <v>82.720000000000013</v>
      </c>
      <c r="J24" s="61">
        <f>I24*M24</f>
        <v>62.006448113756846</v>
      </c>
      <c r="K24" s="4"/>
      <c r="M24" s="11">
        <v>0.74959439209087086</v>
      </c>
    </row>
    <row r="25" spans="1:14" x14ac:dyDescent="0.35">
      <c r="B25">
        <v>2020</v>
      </c>
      <c r="C25">
        <v>31.64</v>
      </c>
      <c r="D25">
        <v>22.67</v>
      </c>
      <c r="E25">
        <v>7.1</v>
      </c>
      <c r="F25">
        <v>7.88</v>
      </c>
      <c r="G25">
        <v>4.49</v>
      </c>
      <c r="H25">
        <v>0.23</v>
      </c>
      <c r="I25" s="61">
        <f>SUM(C25:H25)</f>
        <v>74.010000000000005</v>
      </c>
      <c r="J25" s="61">
        <f>I25*M25</f>
        <v>55.477480958645359</v>
      </c>
      <c r="K25" s="4"/>
      <c r="M25" s="11">
        <v>0.74959439209087086</v>
      </c>
    </row>
    <row r="26" spans="1:14" x14ac:dyDescent="0.35">
      <c r="B26">
        <v>2021</v>
      </c>
      <c r="C26" s="59"/>
      <c r="D26" s="59"/>
      <c r="E26" s="59"/>
      <c r="F26" s="59"/>
      <c r="G26" s="59"/>
      <c r="H26" s="59"/>
      <c r="I26" s="62">
        <f>I25+($I$35-$I$25)/10</f>
        <v>72.009</v>
      </c>
      <c r="J26" s="62">
        <f>I26*M26</f>
        <v>53.355236333775942</v>
      </c>
      <c r="K26" s="4">
        <f>SUM(I26:I28)</f>
        <v>210.024</v>
      </c>
      <c r="L26" s="4">
        <f>K26*M26</f>
        <v>155.61777216410391</v>
      </c>
      <c r="M26" s="25">
        <f>AVERAGE(M23,M20)</f>
        <v>0.74095233003896654</v>
      </c>
    </row>
    <row r="27" spans="1:14" x14ac:dyDescent="0.35">
      <c r="B27">
        <v>2022</v>
      </c>
      <c r="C27" s="59"/>
      <c r="D27" s="59"/>
      <c r="E27" s="59"/>
      <c r="F27" s="59"/>
      <c r="G27" s="59"/>
      <c r="H27" s="59"/>
      <c r="I27" s="62">
        <f t="shared" ref="I27:I34" si="2">I26+($I$35-$I$25)/10</f>
        <v>70.007999999999996</v>
      </c>
      <c r="J27" s="62">
        <f>I27*M27</f>
        <v>51.872590721367963</v>
      </c>
      <c r="K27" s="4"/>
      <c r="L27" s="4"/>
      <c r="M27" s="25">
        <f>AVERAGE(M24,M21)</f>
        <v>0.74095233003896654</v>
      </c>
    </row>
    <row r="28" spans="1:14" x14ac:dyDescent="0.35">
      <c r="B28">
        <v>2023</v>
      </c>
      <c r="C28" s="59"/>
      <c r="D28" s="59"/>
      <c r="E28" s="59"/>
      <c r="F28" s="59"/>
      <c r="G28" s="59"/>
      <c r="H28" s="59"/>
      <c r="I28" s="62">
        <f t="shared" si="2"/>
        <v>68.006999999999991</v>
      </c>
      <c r="J28" s="62">
        <f>I28*M28</f>
        <v>50.389945108959992</v>
      </c>
      <c r="K28" s="4"/>
      <c r="L28" s="4"/>
      <c r="M28" s="25">
        <f>AVERAGE(M25,M22)</f>
        <v>0.74095233003896654</v>
      </c>
    </row>
    <row r="29" spans="1:14" x14ac:dyDescent="0.35">
      <c r="B29">
        <v>2024</v>
      </c>
      <c r="C29" s="59"/>
      <c r="D29" s="59"/>
      <c r="E29" s="59"/>
      <c r="F29" s="59"/>
      <c r="G29" s="59"/>
      <c r="H29" s="59"/>
      <c r="I29" s="62">
        <f t="shared" si="2"/>
        <v>66.005999999999986</v>
      </c>
      <c r="J29" s="62">
        <f>I29*M29</f>
        <v>48.907299496552014</v>
      </c>
      <c r="K29" s="4">
        <f>SUM(I29:I31)</f>
        <v>192.01499999999996</v>
      </c>
      <c r="L29" s="4">
        <f>K29*M29</f>
        <v>142.27396165243212</v>
      </c>
      <c r="M29" s="25">
        <f>AVERAGE(M20,M23)</f>
        <v>0.74095233003896654</v>
      </c>
    </row>
    <row r="30" spans="1:14" x14ac:dyDescent="0.35">
      <c r="B30">
        <v>2025</v>
      </c>
      <c r="C30" s="59"/>
      <c r="D30" s="59"/>
      <c r="E30" s="59"/>
      <c r="F30" s="59"/>
      <c r="G30" s="59"/>
      <c r="H30" s="59"/>
      <c r="I30" s="62">
        <f t="shared" si="2"/>
        <v>64.004999999999981</v>
      </c>
      <c r="J30" s="62">
        <f>I30*M30</f>
        <v>47.424653884144043</v>
      </c>
      <c r="K30" s="4"/>
      <c r="L30" s="4"/>
      <c r="M30" s="25">
        <f>AVERAGE(M21,M24)</f>
        <v>0.74095233003896654</v>
      </c>
    </row>
    <row r="31" spans="1:14" x14ac:dyDescent="0.35">
      <c r="B31">
        <v>2026</v>
      </c>
      <c r="C31" s="59"/>
      <c r="D31" s="59"/>
      <c r="E31" s="59"/>
      <c r="F31" s="59"/>
      <c r="G31" s="59"/>
      <c r="H31" s="59"/>
      <c r="I31" s="62">
        <f t="shared" si="2"/>
        <v>62.003999999999984</v>
      </c>
      <c r="J31" s="62">
        <f>I31*M31</f>
        <v>45.942008271736071</v>
      </c>
      <c r="K31" s="4"/>
      <c r="L31" s="4"/>
      <c r="M31" s="25">
        <f>AVERAGE(M22,M25)</f>
        <v>0.74095233003896654</v>
      </c>
    </row>
    <row r="32" spans="1:14" x14ac:dyDescent="0.35">
      <c r="B32">
        <v>2027</v>
      </c>
      <c r="C32" s="59"/>
      <c r="D32" s="59"/>
      <c r="E32" s="59"/>
      <c r="F32" s="59"/>
      <c r="G32" s="59"/>
      <c r="H32" s="59"/>
      <c r="I32" s="62">
        <f t="shared" si="2"/>
        <v>60.002999999999986</v>
      </c>
      <c r="J32" s="62">
        <f>I32*M32</f>
        <v>44.4593626593281</v>
      </c>
      <c r="K32" s="4"/>
      <c r="L32" s="4" t="e">
        <f>#REF!*M32</f>
        <v>#REF!</v>
      </c>
      <c r="M32" s="25">
        <f>AVERAGE(M20,M23)</f>
        <v>0.74095233003896654</v>
      </c>
    </row>
    <row r="33" spans="2:13" x14ac:dyDescent="0.35">
      <c r="B33">
        <v>2028</v>
      </c>
      <c r="C33" s="59"/>
      <c r="D33" s="59"/>
      <c r="E33" s="59"/>
      <c r="F33" s="59"/>
      <c r="G33" s="59"/>
      <c r="H33" s="59"/>
      <c r="I33" s="62">
        <f t="shared" si="2"/>
        <v>58.001999999999988</v>
      </c>
      <c r="J33" s="62">
        <f>I33*M33</f>
        <v>42.976717046920129</v>
      </c>
      <c r="M33" s="25">
        <f>AVERAGE(M21,M24)</f>
        <v>0.74095233003896654</v>
      </c>
    </row>
    <row r="34" spans="2:13" x14ac:dyDescent="0.35">
      <c r="B34">
        <v>2029</v>
      </c>
      <c r="C34" s="59"/>
      <c r="D34" s="59"/>
      <c r="E34" s="59"/>
      <c r="F34" s="59"/>
      <c r="G34" s="59"/>
      <c r="H34" s="59"/>
      <c r="I34" s="62">
        <f t="shared" si="2"/>
        <v>56.000999999999991</v>
      </c>
      <c r="J34" s="62">
        <f>I34*M34</f>
        <v>41.494071434512158</v>
      </c>
      <c r="M34" s="25">
        <f>AVERAGE(M22,M25)</f>
        <v>0.74095233003896654</v>
      </c>
    </row>
    <row r="35" spans="2:13" x14ac:dyDescent="0.35">
      <c r="B35">
        <v>2030</v>
      </c>
      <c r="C35" s="59"/>
      <c r="D35" s="59"/>
      <c r="E35" s="59"/>
      <c r="F35" s="59"/>
      <c r="G35" s="59"/>
      <c r="H35" s="59"/>
      <c r="I35" s="62">
        <f>(1-0.375)*G1</f>
        <v>54</v>
      </c>
      <c r="J35" s="62">
        <f>I35*M35</f>
        <v>40.244761497505607</v>
      </c>
      <c r="M35" s="25">
        <f>AVERAGE(M23,M26)</f>
        <v>0.7452733610649187</v>
      </c>
    </row>
    <row r="38" spans="2:13" x14ac:dyDescent="0.35">
      <c r="B38" s="51"/>
      <c r="J38" s="6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C002-BFC7-48F6-B878-19FAC3512A61}">
  <dimension ref="B1:AJ58"/>
  <sheetViews>
    <sheetView zoomScale="55" zoomScaleNormal="55" workbookViewId="0">
      <selection activeCell="O1" sqref="O1:O1048576"/>
    </sheetView>
  </sheetViews>
  <sheetFormatPr baseColWidth="10" defaultRowHeight="14.5" x14ac:dyDescent="0.35"/>
  <cols>
    <col min="2" max="4" width="25.453125" customWidth="1"/>
    <col min="5" max="5" width="18.54296875" customWidth="1"/>
    <col min="6" max="6" width="27.08984375" customWidth="1"/>
    <col min="7" max="7" width="17.1796875" customWidth="1"/>
    <col min="8" max="8" width="20.1796875" customWidth="1"/>
    <col min="9" max="9" width="25.6328125" customWidth="1"/>
    <col min="10" max="10" width="17.7265625" style="31" customWidth="1"/>
    <col min="11" max="11" width="17.7265625" style="66" customWidth="1"/>
    <col min="12" max="12" width="26.08984375" customWidth="1"/>
    <col min="13" max="13" width="20.7265625" customWidth="1"/>
    <col min="14" max="14" width="21.1796875" customWidth="1"/>
    <col min="15" max="15" width="35.90625" customWidth="1"/>
  </cols>
  <sheetData>
    <row r="1" spans="2:36" ht="23.5" x14ac:dyDescent="0.55000000000000004">
      <c r="B1" s="44" t="s">
        <v>44</v>
      </c>
      <c r="H1">
        <v>1990</v>
      </c>
      <c r="I1">
        <v>427</v>
      </c>
    </row>
    <row r="2" spans="2:36" x14ac:dyDescent="0.35">
      <c r="M2" s="10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10"/>
      <c r="AJ2" s="10"/>
    </row>
    <row r="3" spans="2:36" x14ac:dyDescent="0.35">
      <c r="J3" s="32"/>
      <c r="K3" s="67"/>
      <c r="M3" s="10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10"/>
      <c r="AJ3" s="10"/>
    </row>
    <row r="4" spans="2:36" x14ac:dyDescent="0.35">
      <c r="B4" s="30" t="s">
        <v>14</v>
      </c>
      <c r="C4" s="30" t="s">
        <v>7</v>
      </c>
      <c r="D4" s="30" t="s">
        <v>8</v>
      </c>
      <c r="E4" s="30" t="s">
        <v>9</v>
      </c>
      <c r="F4" s="30" t="s">
        <v>10</v>
      </c>
      <c r="G4" s="30" t="s">
        <v>11</v>
      </c>
      <c r="H4" s="30" t="s">
        <v>12</v>
      </c>
      <c r="I4" s="30" t="s">
        <v>13</v>
      </c>
      <c r="J4" s="32" t="s">
        <v>16</v>
      </c>
      <c r="K4" s="67"/>
      <c r="L4" s="33" t="s">
        <v>17</v>
      </c>
      <c r="N4" s="33" t="s">
        <v>38</v>
      </c>
      <c r="O4" s="28" t="s">
        <v>18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10"/>
      <c r="AJ4" s="10"/>
    </row>
    <row r="5" spans="2:36" x14ac:dyDescent="0.35">
      <c r="B5" s="29">
        <v>2000</v>
      </c>
      <c r="C5" s="28">
        <v>175.7</v>
      </c>
      <c r="D5" s="28">
        <v>104.7</v>
      </c>
      <c r="E5" s="28">
        <v>93</v>
      </c>
      <c r="F5" s="28">
        <v>44.2</v>
      </c>
      <c r="G5" s="28">
        <v>30.8</v>
      </c>
      <c r="H5" s="28">
        <v>6.3</v>
      </c>
      <c r="I5" s="28">
        <v>7.1</v>
      </c>
      <c r="J5" s="35">
        <f>SUM(C5:I5)</f>
        <v>461.8</v>
      </c>
      <c r="K5" s="68"/>
      <c r="M5" s="10"/>
      <c r="N5" s="27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10"/>
      <c r="AJ5" s="10"/>
    </row>
    <row r="6" spans="2:36" x14ac:dyDescent="0.35">
      <c r="B6" s="29">
        <v>2001</v>
      </c>
      <c r="C6" s="72">
        <v>175.7</v>
      </c>
      <c r="D6" s="72">
        <v>121.9</v>
      </c>
      <c r="E6" s="72">
        <v>92.5</v>
      </c>
      <c r="F6" s="72">
        <v>42.6</v>
      </c>
      <c r="G6" s="72">
        <v>31.1</v>
      </c>
      <c r="H6" s="72">
        <v>6.6</v>
      </c>
      <c r="I6" s="72">
        <v>7.3</v>
      </c>
      <c r="J6" s="35">
        <f t="shared" ref="J6:J24" si="0">SUM(C6:I6)</f>
        <v>477.7000000000001</v>
      </c>
      <c r="K6" s="69">
        <f t="shared" ref="K6:K24" si="1">(J6-J5)/J5</f>
        <v>3.443048938934623E-2</v>
      </c>
      <c r="M6" s="10"/>
      <c r="N6" s="27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10"/>
      <c r="AJ6" s="10"/>
    </row>
    <row r="7" spans="2:36" x14ac:dyDescent="0.35">
      <c r="B7" s="29">
        <v>2002</v>
      </c>
      <c r="C7" s="72">
        <v>183</v>
      </c>
      <c r="D7" s="72">
        <v>108.6</v>
      </c>
      <c r="E7" s="72">
        <v>93.7</v>
      </c>
      <c r="F7" s="72">
        <v>43.6</v>
      </c>
      <c r="G7" s="72">
        <v>33.1</v>
      </c>
      <c r="H7" s="72">
        <v>7.1</v>
      </c>
      <c r="I7" s="72">
        <v>7.3</v>
      </c>
      <c r="J7" s="35">
        <f t="shared" si="0"/>
        <v>476.40000000000009</v>
      </c>
      <c r="K7" s="69">
        <f t="shared" si="1"/>
        <v>-2.7213732468076429E-3</v>
      </c>
      <c r="M7" s="10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10"/>
      <c r="AJ7" s="10"/>
    </row>
    <row r="8" spans="2:36" x14ac:dyDescent="0.35">
      <c r="B8" s="29">
        <v>2003</v>
      </c>
      <c r="C8" s="72">
        <v>180.2</v>
      </c>
      <c r="D8" s="72">
        <v>112.5</v>
      </c>
      <c r="E8" s="72">
        <v>92</v>
      </c>
      <c r="F8" s="72">
        <v>42.7</v>
      </c>
      <c r="G8" s="72">
        <v>33.6</v>
      </c>
      <c r="H8" s="72">
        <v>7.8</v>
      </c>
      <c r="I8" s="72">
        <v>7.4</v>
      </c>
      <c r="J8" s="35">
        <f t="shared" si="0"/>
        <v>476.2</v>
      </c>
      <c r="K8" s="69">
        <f t="shared" si="1"/>
        <v>-4.1981528127645317E-4</v>
      </c>
      <c r="M8" s="10"/>
      <c r="N8" s="27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10"/>
      <c r="AJ8" s="10"/>
    </row>
    <row r="9" spans="2:36" x14ac:dyDescent="0.35">
      <c r="B9" s="29">
        <v>2004</v>
      </c>
      <c r="C9" s="72">
        <v>181.5</v>
      </c>
      <c r="D9" s="72">
        <v>115.1</v>
      </c>
      <c r="E9" s="72">
        <v>95.4</v>
      </c>
      <c r="F9" s="72">
        <v>45.3</v>
      </c>
      <c r="G9" s="72">
        <v>32.9</v>
      </c>
      <c r="H9" s="72">
        <v>8.5</v>
      </c>
      <c r="I9" s="72">
        <v>7.4</v>
      </c>
      <c r="J9" s="35">
        <f t="shared" si="0"/>
        <v>486.09999999999997</v>
      </c>
      <c r="K9" s="69">
        <f t="shared" si="1"/>
        <v>2.0789584208315788E-2</v>
      </c>
      <c r="M9" s="10"/>
      <c r="N9" s="27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0"/>
      <c r="AJ9" s="10"/>
    </row>
    <row r="10" spans="2:36" x14ac:dyDescent="0.35">
      <c r="B10" s="29">
        <v>2005</v>
      </c>
      <c r="C10" s="72">
        <v>183.1</v>
      </c>
      <c r="D10" s="72">
        <v>107.8</v>
      </c>
      <c r="E10" s="72">
        <v>93.2</v>
      </c>
      <c r="F10" s="72">
        <v>43.4</v>
      </c>
      <c r="G10" s="72">
        <v>33.700000000000003</v>
      </c>
      <c r="H10" s="72">
        <v>9.3000000000000007</v>
      </c>
      <c r="I10" s="72">
        <v>7.6</v>
      </c>
      <c r="J10" s="35">
        <f t="shared" si="0"/>
        <v>478.09999999999997</v>
      </c>
      <c r="K10" s="69">
        <f t="shared" si="1"/>
        <v>-1.6457519029006377E-2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2:36" x14ac:dyDescent="0.35">
      <c r="B11" s="29">
        <v>2006</v>
      </c>
      <c r="C11" s="72">
        <v>183</v>
      </c>
      <c r="D11" s="72">
        <v>104.4</v>
      </c>
      <c r="E11" s="72">
        <v>92.9</v>
      </c>
      <c r="F11" s="72">
        <v>43.6</v>
      </c>
      <c r="G11" s="72">
        <v>34.5</v>
      </c>
      <c r="H11" s="72">
        <v>10.1</v>
      </c>
      <c r="I11" s="72">
        <v>7.7</v>
      </c>
      <c r="J11" s="35">
        <f t="shared" si="0"/>
        <v>476.2</v>
      </c>
      <c r="K11" s="69">
        <f t="shared" si="1"/>
        <v>-3.9740640033465334E-3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2:36" x14ac:dyDescent="0.35">
      <c r="B12" s="29">
        <v>2007</v>
      </c>
      <c r="C12" s="72">
        <v>182.8</v>
      </c>
      <c r="D12" s="72">
        <v>113.8</v>
      </c>
      <c r="E12" s="72">
        <v>90.3</v>
      </c>
      <c r="F12" s="72">
        <v>44</v>
      </c>
      <c r="G12" s="72">
        <v>35.1</v>
      </c>
      <c r="H12" s="72">
        <v>10.8</v>
      </c>
      <c r="I12" s="72">
        <v>7.8</v>
      </c>
      <c r="J12" s="35">
        <f t="shared" si="0"/>
        <v>484.60000000000008</v>
      </c>
      <c r="K12" s="69">
        <f t="shared" si="1"/>
        <v>1.7639647207056051E-2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2:36" x14ac:dyDescent="0.35">
      <c r="B13" s="29">
        <v>2008</v>
      </c>
      <c r="C13" s="72">
        <v>171.9</v>
      </c>
      <c r="D13" s="72">
        <v>120.1</v>
      </c>
      <c r="E13" s="72">
        <v>88.1</v>
      </c>
      <c r="F13" s="72">
        <v>44.4</v>
      </c>
      <c r="G13" s="72">
        <v>35</v>
      </c>
      <c r="H13" s="72">
        <v>11.7</v>
      </c>
      <c r="I13" s="72">
        <v>7.9</v>
      </c>
      <c r="J13" s="35">
        <f t="shared" si="0"/>
        <v>479.09999999999997</v>
      </c>
      <c r="K13" s="69">
        <f t="shared" si="1"/>
        <v>-1.134956665290985E-2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2:36" x14ac:dyDescent="0.35">
      <c r="B14" s="29">
        <v>2009</v>
      </c>
      <c r="C14" s="72">
        <v>165.7</v>
      </c>
      <c r="D14" s="72">
        <v>101.3</v>
      </c>
      <c r="E14" s="72">
        <v>85.6</v>
      </c>
      <c r="F14" s="72">
        <v>44.5</v>
      </c>
      <c r="G14" s="72">
        <v>32.799999999999997</v>
      </c>
      <c r="H14" s="72">
        <v>12.3</v>
      </c>
      <c r="I14" s="72">
        <v>8</v>
      </c>
      <c r="J14" s="35">
        <f t="shared" si="0"/>
        <v>450.20000000000005</v>
      </c>
      <c r="K14" s="69">
        <f t="shared" si="1"/>
        <v>-6.0321436025881699E-2</v>
      </c>
      <c r="M14" s="10"/>
      <c r="N14" s="10"/>
      <c r="O14" s="27"/>
      <c r="P14" s="27"/>
      <c r="Q14" s="27"/>
      <c r="R14" s="27"/>
      <c r="S14" s="27"/>
      <c r="T14" s="27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2:36" x14ac:dyDescent="0.35">
      <c r="B15" s="29">
        <v>2010</v>
      </c>
      <c r="C15" s="72">
        <v>162.9</v>
      </c>
      <c r="D15" s="72">
        <v>90.3</v>
      </c>
      <c r="E15" s="72">
        <v>87.8</v>
      </c>
      <c r="F15" s="72">
        <v>46</v>
      </c>
      <c r="G15" s="72">
        <v>33.6</v>
      </c>
      <c r="H15" s="72">
        <v>13.5</v>
      </c>
      <c r="I15" s="72">
        <v>8.1</v>
      </c>
      <c r="J15" s="35">
        <f t="shared" si="0"/>
        <v>442.20000000000005</v>
      </c>
      <c r="K15" s="69">
        <f t="shared" si="1"/>
        <v>-1.776988005330964E-2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2:36" x14ac:dyDescent="0.35">
      <c r="B16" s="29">
        <v>2011</v>
      </c>
      <c r="C16" s="72">
        <v>159.5</v>
      </c>
      <c r="D16" s="72">
        <v>89.2</v>
      </c>
      <c r="E16" s="72">
        <v>85.8</v>
      </c>
      <c r="F16" s="72">
        <v>46</v>
      </c>
      <c r="G16" s="72">
        <v>34.200000000000003</v>
      </c>
      <c r="H16" s="72">
        <v>14.5</v>
      </c>
      <c r="I16" s="72">
        <v>8.1999999999999993</v>
      </c>
      <c r="J16" s="35">
        <f t="shared" si="0"/>
        <v>437.4</v>
      </c>
      <c r="K16" s="69">
        <f t="shared" si="1"/>
        <v>-1.0854816824966232E-2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2:36" x14ac:dyDescent="0.35">
      <c r="B17" s="29">
        <v>2012</v>
      </c>
      <c r="C17" s="72">
        <v>156.9</v>
      </c>
      <c r="D17" s="72">
        <v>98.9</v>
      </c>
      <c r="E17" s="72">
        <v>80.7</v>
      </c>
      <c r="F17" s="72">
        <v>39.200000000000003</v>
      </c>
      <c r="G17" s="72">
        <v>35.200000000000003</v>
      </c>
      <c r="H17" s="72">
        <v>15.5</v>
      </c>
      <c r="I17" s="72">
        <v>8.1999999999999993</v>
      </c>
      <c r="J17" s="35">
        <f t="shared" si="0"/>
        <v>434.59999999999997</v>
      </c>
      <c r="K17" s="69">
        <f t="shared" si="1"/>
        <v>-6.4014631915866749E-3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 x14ac:dyDescent="0.35">
      <c r="B18" s="29">
        <v>2013</v>
      </c>
      <c r="C18" s="72">
        <v>157</v>
      </c>
      <c r="D18" s="72">
        <v>93.4</v>
      </c>
      <c r="E18" s="72">
        <v>83</v>
      </c>
      <c r="F18" s="72">
        <v>39.1</v>
      </c>
      <c r="G18" s="72">
        <v>33.9</v>
      </c>
      <c r="H18" s="72">
        <v>16.8</v>
      </c>
      <c r="I18" s="72">
        <v>8.3000000000000007</v>
      </c>
      <c r="J18" s="35">
        <f t="shared" si="0"/>
        <v>431.5</v>
      </c>
      <c r="K18" s="69">
        <f t="shared" si="1"/>
        <v>-7.1329958582603912E-3</v>
      </c>
      <c r="L18" s="10">
        <v>144.99997500000001</v>
      </c>
      <c r="M18" s="37"/>
      <c r="N18" s="39">
        <f>L18/J18</f>
        <v>0.33603702201622249</v>
      </c>
      <c r="O18" s="10">
        <f>SUM(L18:L19)</f>
        <v>291.18120199999998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2:36" x14ac:dyDescent="0.35">
      <c r="B19" s="29">
        <v>2014</v>
      </c>
      <c r="C19" s="72">
        <v>157.69999999999999</v>
      </c>
      <c r="D19" s="72">
        <v>89.8</v>
      </c>
      <c r="E19" s="72">
        <v>85.2</v>
      </c>
      <c r="F19" s="72">
        <v>35.6</v>
      </c>
      <c r="G19" s="72">
        <v>33.9</v>
      </c>
      <c r="H19" s="72">
        <v>17.7</v>
      </c>
      <c r="I19" s="72">
        <v>8.3000000000000007</v>
      </c>
      <c r="J19" s="35">
        <f t="shared" si="0"/>
        <v>428.2</v>
      </c>
      <c r="K19" s="69">
        <f t="shared" si="1"/>
        <v>-7.6477404403244758E-3</v>
      </c>
      <c r="L19" s="10">
        <v>146.18122699999998</v>
      </c>
      <c r="M19" s="38"/>
      <c r="N19" s="39">
        <f t="shared" ref="N19:N24" si="2">L19/J19</f>
        <v>0.34138539701074261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 x14ac:dyDescent="0.35">
      <c r="B20" s="29">
        <v>2015</v>
      </c>
      <c r="C20" s="72">
        <v>161.5</v>
      </c>
      <c r="D20" s="72">
        <v>86</v>
      </c>
      <c r="E20" s="72">
        <v>83.2</v>
      </c>
      <c r="F20" s="72">
        <v>36.299999999999997</v>
      </c>
      <c r="G20" s="72">
        <v>32.6</v>
      </c>
      <c r="H20" s="72">
        <v>18.600000000000001</v>
      </c>
      <c r="I20" s="72">
        <v>8.4</v>
      </c>
      <c r="J20" s="35">
        <f t="shared" si="0"/>
        <v>426.6</v>
      </c>
      <c r="K20" s="69">
        <f t="shared" si="1"/>
        <v>-3.7365716954693273E-3</v>
      </c>
      <c r="L20">
        <v>340.32349900000003</v>
      </c>
      <c r="M20" s="38"/>
      <c r="N20" s="39">
        <f t="shared" si="2"/>
        <v>0.79775785044538217</v>
      </c>
      <c r="O20">
        <f>SUM(L20:L22)</f>
        <v>981.44209300000011</v>
      </c>
    </row>
    <row r="21" spans="2:36" x14ac:dyDescent="0.35">
      <c r="B21" s="29">
        <v>2016</v>
      </c>
      <c r="C21" s="72">
        <v>165.2</v>
      </c>
      <c r="D21" s="72">
        <v>70.400000000000006</v>
      </c>
      <c r="E21" s="72">
        <v>81.599999999999994</v>
      </c>
      <c r="F21" s="72">
        <v>37.200000000000003</v>
      </c>
      <c r="G21" s="72">
        <v>32.200000000000003</v>
      </c>
      <c r="H21" s="72">
        <v>19.399999999999999</v>
      </c>
      <c r="I21" s="72">
        <v>8.5</v>
      </c>
      <c r="J21" s="35">
        <f t="shared" si="0"/>
        <v>414.49999999999994</v>
      </c>
      <c r="K21" s="69">
        <f t="shared" si="1"/>
        <v>-2.8363806844819688E-2</v>
      </c>
      <c r="L21">
        <v>324.06901900000003</v>
      </c>
      <c r="M21" s="38"/>
      <c r="N21" s="39">
        <f t="shared" si="2"/>
        <v>0.78183116767189398</v>
      </c>
    </row>
    <row r="22" spans="2:36" x14ac:dyDescent="0.35">
      <c r="B22" s="29">
        <v>2017</v>
      </c>
      <c r="C22" s="28">
        <v>166.6</v>
      </c>
      <c r="D22" s="28">
        <v>64.2</v>
      </c>
      <c r="E22" s="28">
        <v>81.7</v>
      </c>
      <c r="F22" s="28">
        <v>37.6</v>
      </c>
      <c r="G22" s="28">
        <v>31.7</v>
      </c>
      <c r="H22" s="28">
        <v>20.100000000000001</v>
      </c>
      <c r="I22" s="28">
        <v>8.6</v>
      </c>
      <c r="J22" s="35">
        <f t="shared" si="0"/>
        <v>410.50000000000006</v>
      </c>
      <c r="K22" s="69">
        <f t="shared" si="1"/>
        <v>-9.6501809408923687E-3</v>
      </c>
      <c r="L22">
        <v>317.049575</v>
      </c>
      <c r="M22" s="38"/>
      <c r="N22" s="39">
        <f t="shared" si="2"/>
        <v>0.77234975639464054</v>
      </c>
    </row>
    <row r="23" spans="2:36" x14ac:dyDescent="0.35">
      <c r="B23" s="29">
        <v>2018</v>
      </c>
      <c r="C23" s="28">
        <v>165.3</v>
      </c>
      <c r="D23" s="28">
        <v>65</v>
      </c>
      <c r="E23" s="28">
        <v>81.900000000000006</v>
      </c>
      <c r="F23" s="28">
        <v>37.4</v>
      </c>
      <c r="G23" s="28">
        <v>32.200000000000003</v>
      </c>
      <c r="H23" s="28">
        <v>20.5</v>
      </c>
      <c r="I23" s="28">
        <v>8.6999999999999993</v>
      </c>
      <c r="J23" s="35">
        <f t="shared" si="0"/>
        <v>411</v>
      </c>
      <c r="K23" s="69">
        <f t="shared" si="1"/>
        <v>1.2180267965893863E-3</v>
      </c>
      <c r="L23">
        <v>320.95495299999999</v>
      </c>
      <c r="M23" s="38"/>
      <c r="N23" s="39">
        <f t="shared" si="2"/>
        <v>0.78091229440389287</v>
      </c>
      <c r="O23">
        <f>SUM(L23:L24,L25)</f>
        <v>912.24197400000014</v>
      </c>
    </row>
    <row r="24" spans="2:36" x14ac:dyDescent="0.35">
      <c r="B24" s="29">
        <v>2019</v>
      </c>
      <c r="C24" s="28">
        <v>162.4</v>
      </c>
      <c r="D24" s="28">
        <v>60.2</v>
      </c>
      <c r="E24" s="28">
        <v>80.400000000000006</v>
      </c>
      <c r="F24" s="28">
        <v>40.5</v>
      </c>
      <c r="G24" s="28">
        <v>31.4</v>
      </c>
      <c r="H24" s="28">
        <v>20.7</v>
      </c>
      <c r="I24" s="28">
        <v>8.8000000000000007</v>
      </c>
      <c r="J24" s="35">
        <f t="shared" si="0"/>
        <v>404.4</v>
      </c>
      <c r="K24" s="69">
        <f t="shared" si="1"/>
        <v>-1.6058394160583998E-2</v>
      </c>
      <c r="L24">
        <v>311.74203199999999</v>
      </c>
      <c r="M24" s="38"/>
      <c r="N24" s="39">
        <f t="shared" si="2"/>
        <v>0.77087545004945601</v>
      </c>
    </row>
    <row r="25" spans="2:36" x14ac:dyDescent="0.35">
      <c r="B25" s="29">
        <v>2020</v>
      </c>
      <c r="C25" s="28">
        <v>135.80000000000001</v>
      </c>
      <c r="D25" s="28">
        <v>59.5</v>
      </c>
      <c r="E25" s="28">
        <v>73.3</v>
      </c>
      <c r="F25" s="28">
        <v>38.700000000000003</v>
      </c>
      <c r="G25" s="28">
        <v>31.6</v>
      </c>
      <c r="H25" s="28">
        <v>21.3</v>
      </c>
      <c r="I25" s="28">
        <v>8.9</v>
      </c>
      <c r="J25" s="73">
        <f>SUM(C25:I25)</f>
        <v>369.1</v>
      </c>
      <c r="K25" s="69">
        <f>(J25-J24)/J24</f>
        <v>-8.7289812067260025E-2</v>
      </c>
      <c r="L25" s="50">
        <v>279.5449890000001</v>
      </c>
      <c r="N25" s="41">
        <f>L25/J25</f>
        <v>0.75736924681658113</v>
      </c>
    </row>
    <row r="26" spans="2:36" x14ac:dyDescent="0.35">
      <c r="B26" s="29">
        <v>2021</v>
      </c>
      <c r="C26" s="4">
        <f>0.874*C24</f>
        <v>141.9376</v>
      </c>
      <c r="D26" s="4" cm="1">
        <f t="array" ref="D26">TREND(D$5:D$24,$B$5:$B$24,$B26)</f>
        <v>63.33932330827065</v>
      </c>
      <c r="E26" s="4" cm="1">
        <f t="array" ref="E26">TREND($E$5:$E$24,$B$5:$B$24,B26)</f>
        <v>78.2086466165415</v>
      </c>
      <c r="F26" s="4" cm="1">
        <f t="array" ref="F26">TREND(F$5:F$24,$B$5:$B$24,$B26)</f>
        <v>37.002932330827093</v>
      </c>
      <c r="G26" s="4" cm="1">
        <f t="array" ref="G26">TREND(G$5:G$24,$B$5:$B$24,$B26)</f>
        <v>33.037518796992487</v>
      </c>
      <c r="H26" s="4" cm="1">
        <f t="array" ref="H26">TREND(H$5:H$24,$B$5:$B$24,$B26)</f>
        <v>23.094962406015156</v>
      </c>
      <c r="I26" s="4" cm="1">
        <f t="array" ref="I26">TREND(I$5:I$24,$B$5:$B$24,$B26)</f>
        <v>8.9691729323308209</v>
      </c>
      <c r="J26" s="36">
        <f t="shared" ref="J26" si="3">SUM(C26:I26)</f>
        <v>385.59015639097765</v>
      </c>
      <c r="K26" s="68">
        <f t="shared" ref="K26:K35" si="4">(J26-J25)/J25</f>
        <v>4.4676663210451453E-2</v>
      </c>
      <c r="L26" s="9">
        <f t="shared" ref="L26:L29" si="5">J26*N26</f>
        <v>301.04770379108476</v>
      </c>
      <c r="N26" s="12">
        <f>AVERAGE($N$20:$N$24)</f>
        <v>0.78074530379305318</v>
      </c>
      <c r="O26" s="9">
        <f>SUM(L26:L28)</f>
        <v>869.46952572015277</v>
      </c>
    </row>
    <row r="27" spans="2:36" x14ac:dyDescent="0.35">
      <c r="B27" s="29">
        <v>2022</v>
      </c>
      <c r="C27" s="4" cm="1">
        <f t="array" ref="C27">TREND($C$5:$C$26,$B$5:$B$26,B27)</f>
        <v>148.19774545454584</v>
      </c>
      <c r="D27" s="4" cm="1">
        <f t="array" ref="D27">TREND(D$5:D$24,$B$5:$B$24,$B27)</f>
        <v>60.509699248120342</v>
      </c>
      <c r="E27" s="4" cm="1">
        <f t="array" ref="E27">TREND($E$5:$E$24,$B$5:$B$24,B27)</f>
        <v>77.409398496240783</v>
      </c>
      <c r="F27" s="4" cm="1">
        <f t="array" ref="F27">TREND(F$5:F$24,$B$5:$B$24,$B27)</f>
        <v>36.597969924811991</v>
      </c>
      <c r="G27" s="4" cm="1">
        <f t="array" ref="G27">TREND(G$5:G$24,$B$5:$B$24,$B27)</f>
        <v>33.025563909774448</v>
      </c>
      <c r="H27" s="4" cm="1">
        <f t="array" ref="H27">TREND(H$5:H$24,$B$5:$B$24,$B27)</f>
        <v>23.938872180451426</v>
      </c>
      <c r="I27" s="4" cm="1">
        <f t="array" ref="I27">TREND(I$5:I$24,$B$5:$B$24,$B27)</f>
        <v>9.0551879699247877</v>
      </c>
      <c r="J27" s="36">
        <f>J26+($J$35-$J$26)/9</f>
        <v>371.21347234753569</v>
      </c>
      <c r="K27" s="68">
        <f t="shared" si="4"/>
        <v>-3.7284883457617143E-2</v>
      </c>
      <c r="L27" s="9">
        <f t="shared" si="5"/>
        <v>289.82317524005089</v>
      </c>
      <c r="N27" s="12">
        <f t="shared" ref="N27:N32" si="6">AVERAGE($N$20:$N$24)</f>
        <v>0.78074530379305318</v>
      </c>
      <c r="O27" s="9"/>
    </row>
    <row r="28" spans="2:36" x14ac:dyDescent="0.35">
      <c r="B28" s="29">
        <v>2023</v>
      </c>
      <c r="C28" s="4" cm="1">
        <f t="array" ref="C28">TREND($C$5:$C$26,$B$5:$B$26,B28)</f>
        <v>146.55747984189748</v>
      </c>
      <c r="D28" s="4" cm="1">
        <f t="array" ref="D28">TREND(D$5:D$24,$B$5:$B$24,$B28)</f>
        <v>57.680075187970033</v>
      </c>
      <c r="E28" s="4" cm="1">
        <f t="array" ref="E28">TREND($E$5:$E$24,$B$5:$B$24,B28)</f>
        <v>76.610150375940066</v>
      </c>
      <c r="F28" s="4" cm="1">
        <f t="array" ref="F28">TREND(F$5:F$24,$B$5:$B$24,$B28)</f>
        <v>36.193007518797003</v>
      </c>
      <c r="G28" s="4" cm="1">
        <f t="array" ref="G28">TREND(G$5:G$24,$B$5:$B$24,$B28)</f>
        <v>33.013609022556395</v>
      </c>
      <c r="H28" s="4" cm="1">
        <f t="array" ref="H28">TREND(H$5:H$24,$B$5:$B$24,$B28)</f>
        <v>24.782781954887469</v>
      </c>
      <c r="I28" s="4" cm="1">
        <f t="array" ref="I28">TREND(I$5:I$24,$B$5:$B$24,$B28)</f>
        <v>9.1412030075187829</v>
      </c>
      <c r="J28" s="36">
        <f t="shared" ref="J28:J34" si="7">J27+($J$35-$J$26)/9</f>
        <v>356.83678830409372</v>
      </c>
      <c r="K28" s="68">
        <f t="shared" si="4"/>
        <v>-3.8728885437601522E-2</v>
      </c>
      <c r="L28" s="9">
        <f t="shared" si="5"/>
        <v>278.59864668901707</v>
      </c>
      <c r="N28" s="12">
        <f t="shared" si="6"/>
        <v>0.78074530379305318</v>
      </c>
      <c r="O28" s="9"/>
    </row>
    <row r="29" spans="2:36" x14ac:dyDescent="0.35">
      <c r="B29" s="29">
        <v>2024</v>
      </c>
      <c r="C29" s="4" cm="1">
        <f t="array" ref="C29">TREND($C$5:$C$26,$B$5:$B$26,B29)</f>
        <v>144.91721422924911</v>
      </c>
      <c r="D29" s="4" cm="1">
        <f t="array" ref="D29">TREND(D$5:D$24,$B$5:$B$24,$B29)</f>
        <v>54.850451127819724</v>
      </c>
      <c r="E29" s="4" cm="1">
        <f t="array" ref="E29">TREND($E$5:$E$24,$B$5:$B$24,B29)</f>
        <v>75.810902255639348</v>
      </c>
      <c r="F29" s="4" cm="1">
        <f t="array" ref="F29">TREND(F$5:F$24,$B$5:$B$24,$B29)</f>
        <v>35.788045112781901</v>
      </c>
      <c r="G29" s="4" cm="1">
        <f t="array" ref="G29">TREND(G$5:G$24,$B$5:$B$24,$B29)</f>
        <v>33.001654135338356</v>
      </c>
      <c r="H29" s="4" cm="1">
        <f t="array" ref="H29">TREND(H$5:H$24,$B$5:$B$24,$B29)</f>
        <v>25.626691729323511</v>
      </c>
      <c r="I29" s="4" cm="1">
        <f t="array" ref="I29">TREND(I$5:I$24,$B$5:$B$24,$B29)</f>
        <v>9.2272180451127781</v>
      </c>
      <c r="J29" s="36">
        <f t="shared" si="7"/>
        <v>342.46010426065175</v>
      </c>
      <c r="K29" s="68">
        <f t="shared" si="4"/>
        <v>-4.0289242910656019E-2</v>
      </c>
      <c r="L29" s="9">
        <f t="shared" si="5"/>
        <v>267.3741181379832</v>
      </c>
      <c r="N29" s="12">
        <f t="shared" si="6"/>
        <v>0.78074530379305318</v>
      </c>
      <c r="O29" s="9">
        <f>SUM(L29:L31)</f>
        <v>768.44876876084811</v>
      </c>
    </row>
    <row r="30" spans="2:36" x14ac:dyDescent="0.35">
      <c r="B30" s="29">
        <v>2025</v>
      </c>
      <c r="C30" s="4" cm="1">
        <f t="array" ref="C30">TREND($C$5:$C$26,$B$5:$B$26,B30)</f>
        <v>143.2769486166012</v>
      </c>
      <c r="D30" s="4" cm="1">
        <f t="array" ref="D30">TREND(D$5:D$24,$B$5:$B$24,$B30)</f>
        <v>52.020827067669416</v>
      </c>
      <c r="E30" s="4" cm="1">
        <f t="array" ref="E30">TREND($E$5:$E$24,$B$5:$B$24,B30)</f>
        <v>75.011654135338404</v>
      </c>
      <c r="F30" s="4" cm="1">
        <f t="array" ref="F30">TREND(F$5:F$24,$B$5:$B$24,$B30)</f>
        <v>35.383082706766913</v>
      </c>
      <c r="G30" s="4" cm="1">
        <f t="array" ref="G30">TREND(G$5:G$24,$B$5:$B$24,$B30)</f>
        <v>32.98969924812031</v>
      </c>
      <c r="H30" s="4" cm="1">
        <f t="array" ref="H30">TREND(H$5:H$24,$B$5:$B$24,$B30)</f>
        <v>26.470601503759553</v>
      </c>
      <c r="I30" s="4" cm="1">
        <f t="array" ref="I30">TREND(I$5:I$24,$B$5:$B$24,$B30)</f>
        <v>9.3132330827067449</v>
      </c>
      <c r="J30" s="36">
        <f t="shared" si="7"/>
        <v>328.08342021720978</v>
      </c>
      <c r="K30" s="68">
        <f t="shared" si="4"/>
        <v>-4.1980609900473691E-2</v>
      </c>
      <c r="L30" s="9">
        <f>J30*N30</f>
        <v>256.14958958694939</v>
      </c>
      <c r="N30" s="12">
        <f t="shared" si="6"/>
        <v>0.78074530379305318</v>
      </c>
      <c r="O30" s="9"/>
    </row>
    <row r="31" spans="2:36" x14ac:dyDescent="0.35">
      <c r="B31" s="29">
        <v>2026</v>
      </c>
      <c r="C31" s="4" cm="1">
        <f t="array" ref="C31">TREND($C$5:$C$26,$B$5:$B$26,B31)</f>
        <v>141.63668300395284</v>
      </c>
      <c r="D31" s="4" cm="1">
        <f t="array" ref="D31">TREND(D$5:D$24,$B$5:$B$24,$B31)</f>
        <v>49.191203007519107</v>
      </c>
      <c r="E31" s="4" cm="1">
        <f t="array" ref="E31">TREND($E$5:$E$24,$B$5:$B$24,B31)</f>
        <v>74.212406015037686</v>
      </c>
      <c r="F31" s="4" cm="1">
        <f t="array" ref="F31">TREND(F$5:F$24,$B$5:$B$24,$B31)</f>
        <v>34.978120300751925</v>
      </c>
      <c r="G31" s="4" cm="1">
        <f t="array" ref="G31">TREND(G$5:G$24,$B$5:$B$24,$B31)</f>
        <v>32.977744360902264</v>
      </c>
      <c r="H31" s="4" cm="1">
        <f t="array" ref="H31">TREND(H$5:H$24,$B$5:$B$24,$B31)</f>
        <v>27.314511278195596</v>
      </c>
      <c r="I31" s="4" cm="1">
        <f t="array" ref="I31">TREND(I$5:I$24,$B$5:$B$24,$B31)</f>
        <v>9.3992481203007401</v>
      </c>
      <c r="J31" s="36">
        <f t="shared" si="7"/>
        <v>313.70673617376781</v>
      </c>
      <c r="K31" s="68">
        <f t="shared" si="4"/>
        <v>-4.382020900027131E-2</v>
      </c>
      <c r="L31" s="9">
        <f t="shared" ref="L31:L35" si="8">J31*N31</f>
        <v>244.92506103591552</v>
      </c>
      <c r="N31" s="12">
        <f t="shared" si="6"/>
        <v>0.78074530379305318</v>
      </c>
      <c r="O31" s="9"/>
    </row>
    <row r="32" spans="2:36" x14ac:dyDescent="0.35">
      <c r="B32" s="29">
        <v>2027</v>
      </c>
      <c r="C32" s="4" cm="1">
        <f t="array" ref="C32">TREND($C$5:$C$26,$B$5:$B$26,B32)</f>
        <v>139.99641739130448</v>
      </c>
      <c r="D32" s="4" cm="1">
        <f t="array" ref="D32">TREND(D$5:D$24,$B$5:$B$24,$B32)</f>
        <v>46.361578947368798</v>
      </c>
      <c r="E32" s="4" cm="1">
        <f t="array" ref="E32">TREND($E$5:$E$24,$B$5:$B$24,B32)</f>
        <v>73.413157894736969</v>
      </c>
      <c r="F32" s="4" cm="1">
        <f t="array" ref="F32">TREND(F$5:F$24,$B$5:$B$24,$B32)</f>
        <v>34.573157894736823</v>
      </c>
      <c r="G32" s="4" cm="1">
        <f t="array" ref="G32">TREND(G$5:G$24,$B$5:$B$24,$B32)</f>
        <v>32.965789473684218</v>
      </c>
      <c r="H32" s="4" cm="1">
        <f t="array" ref="H32">TREND(H$5:H$24,$B$5:$B$24,$B32)</f>
        <v>28.158421052631866</v>
      </c>
      <c r="I32" s="4" cm="1">
        <f t="array" ref="I32">TREND(I$5:I$24,$B$5:$B$24,$B32)</f>
        <v>9.4852631578947353</v>
      </c>
      <c r="J32" s="36">
        <f t="shared" si="7"/>
        <v>299.33005213032584</v>
      </c>
      <c r="K32" s="68">
        <f t="shared" si="4"/>
        <v>-4.5828419940203216E-2</v>
      </c>
      <c r="L32" s="9">
        <f t="shared" si="8"/>
        <v>233.70053248488171</v>
      </c>
      <c r="N32" s="12">
        <f t="shared" si="6"/>
        <v>0.78074530379305318</v>
      </c>
      <c r="O32" s="9">
        <f>SUM(L32:L34)</f>
        <v>667.42801180154356</v>
      </c>
    </row>
    <row r="33" spans="2:17" x14ac:dyDescent="0.35">
      <c r="B33" s="29">
        <v>2028</v>
      </c>
      <c r="C33" s="4" cm="1">
        <f t="array" ref="C33">TREND($C$5:$C$26,$B$5:$B$26,B33)</f>
        <v>138.35615177865657</v>
      </c>
      <c r="D33" s="4" cm="1">
        <f t="array" ref="D33">TREND(D$5:D$24,$B$5:$B$24,$B33)</f>
        <v>43.53195488721758</v>
      </c>
      <c r="E33" s="4" cm="1">
        <f t="array" ref="E33">TREND($E$5:$E$24,$B$5:$B$24,B33)</f>
        <v>72.613909774436252</v>
      </c>
      <c r="F33" s="4" cm="1">
        <f t="array" ref="F33">TREND(F$5:F$24,$B$5:$B$24,$B33)</f>
        <v>34.168195488721835</v>
      </c>
      <c r="G33" s="4" cm="1">
        <f t="array" ref="G33">TREND(G$5:G$24,$B$5:$B$24,$B33)</f>
        <v>32.953834586466172</v>
      </c>
      <c r="H33" s="4" cm="1">
        <f t="array" ref="H33">TREND(H$5:H$24,$B$5:$B$24,$B33)</f>
        <v>29.002330827067908</v>
      </c>
      <c r="I33" s="4" cm="1">
        <f t="array" ref="I33">TREND(I$5:I$24,$B$5:$B$24,$B33)</f>
        <v>9.5712781954887021</v>
      </c>
      <c r="J33" s="36">
        <f t="shared" si="7"/>
        <v>284.95336808688387</v>
      </c>
      <c r="K33" s="68">
        <f t="shared" si="4"/>
        <v>-4.8029537766500235E-2</v>
      </c>
      <c r="L33" s="9">
        <f t="shared" si="8"/>
        <v>222.47600393384786</v>
      </c>
      <c r="N33" s="12">
        <f>AVERAGE($N$20:$N$24)</f>
        <v>0.78074530379305318</v>
      </c>
    </row>
    <row r="34" spans="2:17" x14ac:dyDescent="0.35">
      <c r="B34" s="29">
        <v>2029</v>
      </c>
      <c r="C34" s="4" cm="1">
        <f t="array" ref="C34">TREND($C$5:$C$26,$B$5:$B$26,B34)</f>
        <v>136.7158861660082</v>
      </c>
      <c r="D34" s="4" cm="1">
        <f t="array" ref="D34">TREND(D$5:D$24,$B$5:$B$24,$B34)</f>
        <v>40.702330827067271</v>
      </c>
      <c r="E34" s="4" cm="1">
        <f t="array" ref="E34">TREND($E$5:$E$24,$B$5:$B$24,B34)</f>
        <v>71.814661654135534</v>
      </c>
      <c r="F34" s="4" cm="1">
        <f t="array" ref="F34">TREND(F$5:F$24,$B$5:$B$24,$B34)</f>
        <v>33.763233082706734</v>
      </c>
      <c r="G34" s="4" cm="1">
        <f t="array" ref="G34">TREND(G$5:G$24,$B$5:$B$24,$B34)</f>
        <v>32.941879699248133</v>
      </c>
      <c r="H34" s="4" cm="1">
        <f t="array" ref="H34">TREND(H$5:H$24,$B$5:$B$24,$B34)</f>
        <v>29.846240601503951</v>
      </c>
      <c r="I34" s="4" cm="1">
        <f t="array" ref="I34">TREND(I$5:I$24,$B$5:$B$24,$B34)</f>
        <v>9.6572932330826973</v>
      </c>
      <c r="J34" s="36">
        <f t="shared" si="7"/>
        <v>270.5766840434419</v>
      </c>
      <c r="K34" s="68">
        <f t="shared" si="4"/>
        <v>-5.0452760533991788E-2</v>
      </c>
      <c r="L34" s="9">
        <f>J34*N34</f>
        <v>211.25147538281402</v>
      </c>
      <c r="N34" s="12">
        <f t="shared" ref="N34:N35" si="9">AVERAGE($N$20:$N$24)</f>
        <v>0.78074530379305318</v>
      </c>
    </row>
    <row r="35" spans="2:17" x14ac:dyDescent="0.35">
      <c r="B35" s="29">
        <v>2030</v>
      </c>
      <c r="C35" s="4" cm="1">
        <f t="array" ref="C35">TREND($C$5:$C$26,$B$5:$B$26,B35)</f>
        <v>135.07562055335984</v>
      </c>
      <c r="D35" s="4" cm="1">
        <f t="array" ref="D35">TREND(D$5:D$24,$B$5:$B$24,$B35)</f>
        <v>37.872706766916963</v>
      </c>
      <c r="E35" s="4" cm="1">
        <f t="array" ref="E35">TREND($E$5:$E$24,$B$5:$B$24,B35)</f>
        <v>71.015413533834817</v>
      </c>
      <c r="F35" s="4" cm="1">
        <f t="array" ref="F35">TREND(F$5:F$24,$B$5:$B$24,$B35)</f>
        <v>33.358270676691745</v>
      </c>
      <c r="G35" s="4" cm="1">
        <f t="array" ref="G35">TREND(G$5:G$24,$B$5:$B$24,$B35)</f>
        <v>32.92992481203008</v>
      </c>
      <c r="H35" s="4" cm="1">
        <f t="array" ref="H35">TREND(H$5:H$24,$B$5:$B$24,$B35)</f>
        <v>30.690150375939993</v>
      </c>
      <c r="I35" s="4" cm="1">
        <f t="array" ref="I35">TREND(I$5:I$24,$B$5:$B$24,$B35)</f>
        <v>9.7433082706766641</v>
      </c>
      <c r="J35" s="65">
        <f>0.6*I1</f>
        <v>256.2</v>
      </c>
      <c r="K35" s="68">
        <f t="shared" si="4"/>
        <v>-5.3133491875943357E-2</v>
      </c>
      <c r="L35" s="9">
        <f t="shared" si="8"/>
        <v>200.02694683178021</v>
      </c>
      <c r="N35" s="12">
        <f t="shared" si="9"/>
        <v>0.78074530379305318</v>
      </c>
    </row>
    <row r="38" spans="2:17" x14ac:dyDescent="0.35">
      <c r="M38" s="2"/>
    </row>
    <row r="39" spans="2:17" x14ac:dyDescent="0.35">
      <c r="O39" s="7"/>
      <c r="Q39" s="7"/>
    </row>
    <row r="40" spans="2:17" x14ac:dyDescent="0.35">
      <c r="P40" s="8"/>
    </row>
    <row r="42" spans="2:17" x14ac:dyDescent="0.35">
      <c r="F42" s="11"/>
    </row>
    <row r="46" spans="2:17" x14ac:dyDescent="0.35">
      <c r="P46" s="9"/>
    </row>
    <row r="47" spans="2:17" x14ac:dyDescent="0.35">
      <c r="O47" s="9"/>
      <c r="P47" s="9"/>
      <c r="Q47" s="9"/>
    </row>
    <row r="48" spans="2:17" x14ac:dyDescent="0.35">
      <c r="O48" s="9"/>
      <c r="P48" s="9"/>
      <c r="Q48" s="9"/>
    </row>
    <row r="49" spans="15:17" x14ac:dyDescent="0.35">
      <c r="O49" s="9"/>
      <c r="P49" s="9"/>
      <c r="Q49" s="9"/>
    </row>
    <row r="50" spans="15:17" x14ac:dyDescent="0.35">
      <c r="O50" s="9"/>
      <c r="P50" s="9"/>
      <c r="Q50" s="9"/>
    </row>
    <row r="51" spans="15:17" x14ac:dyDescent="0.35">
      <c r="O51" s="9"/>
      <c r="P51" s="9"/>
      <c r="Q51" s="9"/>
    </row>
    <row r="52" spans="15:17" x14ac:dyDescent="0.35">
      <c r="O52" s="9"/>
      <c r="P52" s="9"/>
      <c r="Q52" s="9"/>
    </row>
    <row r="53" spans="15:17" x14ac:dyDescent="0.35">
      <c r="O53" s="9"/>
      <c r="P53" s="9"/>
      <c r="Q53" s="9"/>
    </row>
    <row r="54" spans="15:17" x14ac:dyDescent="0.35">
      <c r="O54" s="9"/>
      <c r="P54" s="9"/>
      <c r="Q54" s="9"/>
    </row>
    <row r="55" spans="15:17" x14ac:dyDescent="0.35">
      <c r="O55" s="9"/>
      <c r="P55" s="9"/>
    </row>
    <row r="58" spans="15:17" ht="116" x14ac:dyDescent="0.35">
      <c r="O58" s="13"/>
      <c r="P58" s="13" t="s">
        <v>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B7B0-0241-44D2-A3F4-637336862F73}">
  <dimension ref="A1:P56"/>
  <sheetViews>
    <sheetView tabSelected="1" topLeftCell="A19" zoomScale="85" zoomScaleNormal="85" workbookViewId="0">
      <selection activeCell="M35" sqref="M35"/>
    </sheetView>
  </sheetViews>
  <sheetFormatPr baseColWidth="10" defaultRowHeight="14.5" x14ac:dyDescent="0.35"/>
  <cols>
    <col min="12" max="12" width="20.6328125" customWidth="1"/>
    <col min="13" max="13" width="17.1796875" customWidth="1"/>
    <col min="14" max="14" width="17" customWidth="1"/>
  </cols>
  <sheetData>
    <row r="1" spans="1:9" x14ac:dyDescent="0.35">
      <c r="B1" s="87" t="s">
        <v>27</v>
      </c>
      <c r="C1" s="87"/>
      <c r="D1" s="87"/>
      <c r="G1" s="87" t="s">
        <v>29</v>
      </c>
      <c r="H1" s="87"/>
      <c r="I1" s="87"/>
    </row>
    <row r="2" spans="1:9" x14ac:dyDescent="0.35">
      <c r="B2" t="s">
        <v>0</v>
      </c>
      <c r="C2" t="s">
        <v>25</v>
      </c>
      <c r="D2" s="19" t="s">
        <v>26</v>
      </c>
      <c r="G2" t="s">
        <v>0</v>
      </c>
      <c r="H2" t="s">
        <v>25</v>
      </c>
      <c r="I2" s="19" t="s">
        <v>26</v>
      </c>
    </row>
    <row r="3" spans="1:9" x14ac:dyDescent="0.35">
      <c r="A3">
        <v>2013</v>
      </c>
      <c r="B3" s="76">
        <v>18.332351500000001</v>
      </c>
      <c r="C3" s="77">
        <v>144.99997500000001</v>
      </c>
      <c r="D3" s="78">
        <f>SUM(B3:C3)</f>
        <v>163.33232650000002</v>
      </c>
      <c r="G3" s="75">
        <v>18.332351500000001</v>
      </c>
      <c r="H3">
        <v>144.99997500000001</v>
      </c>
      <c r="I3" s="83">
        <f>SUM(G3:H3)</f>
        <v>163.33232650000002</v>
      </c>
    </row>
    <row r="4" spans="1:9" x14ac:dyDescent="0.35">
      <c r="A4">
        <v>2014</v>
      </c>
      <c r="B4" s="76">
        <v>18.332351500000001</v>
      </c>
      <c r="C4" s="77">
        <v>146.18122699999998</v>
      </c>
      <c r="D4" s="78">
        <f t="shared" ref="D4:D20" si="0">SUM(B4:C4)</f>
        <v>164.51357849999999</v>
      </c>
      <c r="G4" s="75">
        <v>18.332351500000001</v>
      </c>
      <c r="H4">
        <v>146.18122699999998</v>
      </c>
      <c r="I4" s="83">
        <f t="shared" ref="I4:I20" si="1">SUM(G4:H4)</f>
        <v>164.51357849999999</v>
      </c>
    </row>
    <row r="5" spans="1:9" x14ac:dyDescent="0.35">
      <c r="A5">
        <v>2015</v>
      </c>
      <c r="B5" s="76">
        <v>58.715172666666668</v>
      </c>
      <c r="C5" s="75">
        <v>340.32349900000003</v>
      </c>
      <c r="D5" s="78">
        <f t="shared" si="0"/>
        <v>399.03867166666669</v>
      </c>
      <c r="G5" s="75">
        <v>58.715172666666668</v>
      </c>
      <c r="H5">
        <v>340.32349900000003</v>
      </c>
      <c r="I5" s="83">
        <f t="shared" si="1"/>
        <v>399.03867166666669</v>
      </c>
    </row>
    <row r="6" spans="1:9" x14ac:dyDescent="0.35">
      <c r="A6">
        <v>2016</v>
      </c>
      <c r="B6" s="76">
        <v>58.715172666666668</v>
      </c>
      <c r="C6" s="75">
        <v>324.06901900000003</v>
      </c>
      <c r="D6" s="78">
        <f t="shared" si="0"/>
        <v>382.78419166666669</v>
      </c>
      <c r="G6" s="75">
        <v>58.715172666666668</v>
      </c>
      <c r="H6">
        <v>324.06901900000003</v>
      </c>
      <c r="I6" s="83">
        <f t="shared" si="1"/>
        <v>382.78419166666669</v>
      </c>
    </row>
    <row r="7" spans="1:9" x14ac:dyDescent="0.35">
      <c r="A7">
        <v>2017</v>
      </c>
      <c r="B7" s="76">
        <v>58.715172666666668</v>
      </c>
      <c r="C7" s="75">
        <v>317.049575</v>
      </c>
      <c r="D7" s="78">
        <f t="shared" si="0"/>
        <v>375.76474766666666</v>
      </c>
      <c r="G7" s="75">
        <v>58.715172666666668</v>
      </c>
      <c r="H7">
        <v>317.049575</v>
      </c>
      <c r="I7" s="83">
        <f t="shared" si="1"/>
        <v>375.76474766666666</v>
      </c>
    </row>
    <row r="8" spans="1:9" x14ac:dyDescent="0.35">
      <c r="A8">
        <v>2018</v>
      </c>
      <c r="B8" s="76">
        <v>59.392862333333333</v>
      </c>
      <c r="C8" s="75">
        <v>320.95495299999999</v>
      </c>
      <c r="D8" s="78">
        <f t="shared" si="0"/>
        <v>380.3478153333333</v>
      </c>
      <c r="G8" s="75">
        <v>59.392862333333333</v>
      </c>
      <c r="H8">
        <v>320.95495299999999</v>
      </c>
      <c r="I8" s="83">
        <f t="shared" si="1"/>
        <v>380.3478153333333</v>
      </c>
    </row>
    <row r="9" spans="1:9" x14ac:dyDescent="0.35">
      <c r="A9">
        <v>2019</v>
      </c>
      <c r="B9" s="76">
        <v>59.392862333333333</v>
      </c>
      <c r="C9" s="75">
        <v>311.74203199999999</v>
      </c>
      <c r="D9" s="78">
        <f t="shared" si="0"/>
        <v>371.13489433333331</v>
      </c>
      <c r="G9" s="75">
        <v>59.392862333333333</v>
      </c>
      <c r="H9">
        <v>311.74203199999999</v>
      </c>
      <c r="I9" s="83">
        <f t="shared" si="1"/>
        <v>371.13489433333331</v>
      </c>
    </row>
    <row r="10" spans="1:9" x14ac:dyDescent="0.35">
      <c r="A10">
        <v>2020</v>
      </c>
      <c r="B10" s="76">
        <v>59.392862333333333</v>
      </c>
      <c r="C10" s="76">
        <v>279.5449890000001</v>
      </c>
      <c r="D10" s="78">
        <f t="shared" si="0"/>
        <v>338.93785133333341</v>
      </c>
      <c r="G10" s="75">
        <v>59.392862333333333</v>
      </c>
      <c r="H10">
        <v>279.5449890000001</v>
      </c>
      <c r="I10" s="83">
        <f t="shared" si="1"/>
        <v>338.93785133333341</v>
      </c>
    </row>
    <row r="11" spans="1:9" x14ac:dyDescent="0.35">
      <c r="A11">
        <v>2021</v>
      </c>
      <c r="B11" s="79">
        <v>53.355236333775942</v>
      </c>
      <c r="C11" s="79">
        <v>301.04770379108476</v>
      </c>
      <c r="D11" s="78">
        <f t="shared" si="0"/>
        <v>354.40294012486072</v>
      </c>
      <c r="G11" s="79">
        <v>61.015942474048828</v>
      </c>
      <c r="H11" s="9">
        <v>314.53105308606939</v>
      </c>
      <c r="I11" s="83">
        <f t="shared" si="1"/>
        <v>375.54699556011821</v>
      </c>
    </row>
    <row r="12" spans="1:9" x14ac:dyDescent="0.35">
      <c r="A12">
        <v>2022</v>
      </c>
      <c r="B12" s="79">
        <v>51.872590721367963</v>
      </c>
      <c r="C12" s="79">
        <v>289.82317524005089</v>
      </c>
      <c r="D12" s="78">
        <f t="shared" si="0"/>
        <v>341.69576596141883</v>
      </c>
      <c r="G12" s="79">
        <v>60.709682177632715</v>
      </c>
      <c r="H12" s="9">
        <v>313.19511112180123</v>
      </c>
      <c r="I12" s="83">
        <f t="shared" si="1"/>
        <v>373.90479329943395</v>
      </c>
    </row>
    <row r="13" spans="1:9" x14ac:dyDescent="0.35">
      <c r="A13">
        <v>2023</v>
      </c>
      <c r="B13" s="79">
        <v>50.389945108959992</v>
      </c>
      <c r="C13" s="79">
        <v>278.59864668901707</v>
      </c>
      <c r="D13" s="78">
        <f t="shared" si="0"/>
        <v>328.98859179797705</v>
      </c>
      <c r="G13" s="79">
        <v>60.434047910858219</v>
      </c>
      <c r="H13" s="9">
        <v>311.85916915753313</v>
      </c>
      <c r="I13" s="83">
        <f t="shared" si="1"/>
        <v>372.29321706839136</v>
      </c>
    </row>
    <row r="14" spans="1:9" x14ac:dyDescent="0.35">
      <c r="A14">
        <v>2024</v>
      </c>
      <c r="B14" s="79">
        <v>48.907299496552014</v>
      </c>
      <c r="C14" s="79">
        <v>267.3741181379832</v>
      </c>
      <c r="D14" s="78">
        <f t="shared" si="0"/>
        <v>316.28141763453522</v>
      </c>
      <c r="G14" s="79">
        <v>60.158413644083723</v>
      </c>
      <c r="H14" s="9">
        <v>310.52322719326503</v>
      </c>
      <c r="I14" s="83">
        <f t="shared" si="1"/>
        <v>370.68164083734877</v>
      </c>
    </row>
    <row r="15" spans="1:9" x14ac:dyDescent="0.35">
      <c r="A15">
        <v>2025</v>
      </c>
      <c r="B15" s="79">
        <v>47.424653884144043</v>
      </c>
      <c r="C15" s="79">
        <v>256.14958958694939</v>
      </c>
      <c r="D15" s="78">
        <f t="shared" si="0"/>
        <v>303.57424347109344</v>
      </c>
      <c r="G15" s="79">
        <v>59.882779377309227</v>
      </c>
      <c r="H15" s="9">
        <v>309.18728522899693</v>
      </c>
      <c r="I15" s="83">
        <f t="shared" si="1"/>
        <v>369.07006460630618</v>
      </c>
    </row>
    <row r="16" spans="1:9" x14ac:dyDescent="0.35">
      <c r="A16">
        <v>2026</v>
      </c>
      <c r="B16" s="79">
        <v>45.942008271736071</v>
      </c>
      <c r="C16" s="79">
        <v>244.92506103591552</v>
      </c>
      <c r="D16" s="78">
        <f t="shared" si="0"/>
        <v>290.8670693076516</v>
      </c>
      <c r="G16" s="79">
        <v>59.607145110534731</v>
      </c>
      <c r="H16" s="9">
        <v>307.85134326472883</v>
      </c>
      <c r="I16" s="83">
        <f t="shared" si="1"/>
        <v>367.45848837526353</v>
      </c>
    </row>
    <row r="17" spans="1:11" x14ac:dyDescent="0.35">
      <c r="A17">
        <v>2027</v>
      </c>
      <c r="B17" s="79">
        <v>44.4593626593281</v>
      </c>
      <c r="C17" s="79">
        <v>233.70053248488171</v>
      </c>
      <c r="D17" s="78">
        <f t="shared" si="0"/>
        <v>278.15989514420983</v>
      </c>
      <c r="G17" s="79">
        <v>59.331510843760235</v>
      </c>
      <c r="H17" s="9">
        <v>306.51540130046072</v>
      </c>
      <c r="I17" s="83">
        <f t="shared" si="1"/>
        <v>365.84691214422094</v>
      </c>
    </row>
    <row r="18" spans="1:11" x14ac:dyDescent="0.35">
      <c r="A18">
        <v>2028</v>
      </c>
      <c r="B18" s="79">
        <v>42.976717046920129</v>
      </c>
      <c r="C18" s="79">
        <v>222.47600393384786</v>
      </c>
      <c r="D18" s="78">
        <f t="shared" si="0"/>
        <v>265.45272098076799</v>
      </c>
      <c r="E18" s="6">
        <f>SUM(D18:D20)</f>
        <v>758.46997612738005</v>
      </c>
      <c r="F18" s="6"/>
      <c r="G18" s="79">
        <v>59.055876576985739</v>
      </c>
      <c r="H18" s="9">
        <v>305.17945933619256</v>
      </c>
      <c r="I18" s="83">
        <f t="shared" si="1"/>
        <v>364.23533591317829</v>
      </c>
    </row>
    <row r="19" spans="1:11" x14ac:dyDescent="0.35">
      <c r="A19">
        <v>2029</v>
      </c>
      <c r="B19" s="79">
        <v>41.494071434512158</v>
      </c>
      <c r="C19" s="79">
        <v>211.25147538281402</v>
      </c>
      <c r="D19" s="78">
        <f t="shared" si="0"/>
        <v>252.74554681732619</v>
      </c>
      <c r="G19" s="79">
        <v>58.78024231021125</v>
      </c>
      <c r="H19" s="9">
        <v>303.84351737192446</v>
      </c>
      <c r="I19" s="83">
        <f t="shared" si="1"/>
        <v>362.6237596821357</v>
      </c>
    </row>
    <row r="20" spans="1:11" x14ac:dyDescent="0.35">
      <c r="A20">
        <v>2030</v>
      </c>
      <c r="B20" s="79">
        <v>40.244761497505607</v>
      </c>
      <c r="C20" s="79">
        <v>200.02694683178021</v>
      </c>
      <c r="D20" s="78">
        <f t="shared" si="0"/>
        <v>240.27170832928581</v>
      </c>
      <c r="E20" s="6"/>
      <c r="G20" s="79">
        <v>58.535234073078357</v>
      </c>
      <c r="H20" s="9">
        <v>303.70992317549769</v>
      </c>
      <c r="I20" s="83">
        <f t="shared" si="1"/>
        <v>362.24515724857605</v>
      </c>
      <c r="K20" s="84"/>
    </row>
    <row r="21" spans="1:11" x14ac:dyDescent="0.35">
      <c r="A21" t="s">
        <v>16</v>
      </c>
      <c r="B21" s="80"/>
      <c r="C21" s="75"/>
      <c r="D21" s="81">
        <v>6103.9086445554822</v>
      </c>
      <c r="I21" s="23">
        <f>SUM(I3:I20)</f>
        <v>6259.7604417349739</v>
      </c>
    </row>
    <row r="22" spans="1:11" x14ac:dyDescent="0.35">
      <c r="B22" s="80"/>
      <c r="C22" s="75"/>
      <c r="D22" s="81"/>
      <c r="I22" s="23"/>
    </row>
    <row r="23" spans="1:11" x14ac:dyDescent="0.35">
      <c r="B23" s="87" t="s">
        <v>28</v>
      </c>
      <c r="C23" s="87"/>
      <c r="D23" s="87"/>
      <c r="G23" s="87" t="s">
        <v>30</v>
      </c>
      <c r="H23" s="87"/>
      <c r="I23" s="87"/>
    </row>
    <row r="24" spans="1:11" x14ac:dyDescent="0.35">
      <c r="B24" t="s">
        <v>0</v>
      </c>
      <c r="C24" t="s">
        <v>25</v>
      </c>
      <c r="D24" t="s">
        <v>26</v>
      </c>
      <c r="G24" t="s">
        <v>0</v>
      </c>
      <c r="H24" t="s">
        <v>25</v>
      </c>
      <c r="I24" t="s">
        <v>26</v>
      </c>
    </row>
    <row r="25" spans="1:11" x14ac:dyDescent="0.35">
      <c r="A25">
        <v>2013</v>
      </c>
      <c r="B25">
        <v>82.537999999999997</v>
      </c>
      <c r="C25">
        <v>431.5</v>
      </c>
      <c r="D25">
        <f>B25+C25</f>
        <v>514.03800000000001</v>
      </c>
      <c r="G25">
        <v>82.537999999999997</v>
      </c>
      <c r="H25">
        <v>431.5</v>
      </c>
      <c r="I25">
        <f>G25+H25</f>
        <v>514.03800000000001</v>
      </c>
    </row>
    <row r="26" spans="1:11" x14ac:dyDescent="0.35">
      <c r="A26">
        <v>2014</v>
      </c>
      <c r="B26">
        <v>80.95999999999998</v>
      </c>
      <c r="C26">
        <v>428.2</v>
      </c>
      <c r="D26">
        <f t="shared" ref="D26:D42" si="2">B26+C26</f>
        <v>509.15999999999997</v>
      </c>
      <c r="G26">
        <v>80.95999999999998</v>
      </c>
      <c r="H26">
        <v>428.2</v>
      </c>
      <c r="I26">
        <f t="shared" ref="I26:I42" si="3">G26+H26</f>
        <v>509.15999999999997</v>
      </c>
    </row>
    <row r="27" spans="1:11" x14ac:dyDescent="0.35">
      <c r="A27">
        <v>2015</v>
      </c>
      <c r="B27">
        <v>80.921999999999997</v>
      </c>
      <c r="C27">
        <v>426.6</v>
      </c>
      <c r="D27">
        <f t="shared" si="2"/>
        <v>507.52200000000005</v>
      </c>
      <c r="G27">
        <v>80.921999999999997</v>
      </c>
      <c r="H27">
        <v>426.6</v>
      </c>
      <c r="I27">
        <f t="shared" si="3"/>
        <v>507.52200000000005</v>
      </c>
    </row>
    <row r="28" spans="1:11" x14ac:dyDescent="0.35">
      <c r="A28">
        <v>2016</v>
      </c>
      <c r="B28">
        <v>78.506000000000014</v>
      </c>
      <c r="C28">
        <v>414.49999999999994</v>
      </c>
      <c r="D28">
        <f t="shared" si="2"/>
        <v>493.00599999999997</v>
      </c>
      <c r="G28">
        <v>78.506000000000014</v>
      </c>
      <c r="H28">
        <v>414.49999999999994</v>
      </c>
      <c r="I28">
        <f t="shared" si="3"/>
        <v>493.00599999999997</v>
      </c>
    </row>
    <row r="29" spans="1:11" x14ac:dyDescent="0.35">
      <c r="A29">
        <v>2017</v>
      </c>
      <c r="B29">
        <v>81.105999999999995</v>
      </c>
      <c r="C29">
        <v>410.50000000000006</v>
      </c>
      <c r="D29">
        <f t="shared" si="2"/>
        <v>491.60600000000005</v>
      </c>
      <c r="G29">
        <v>81.105999999999995</v>
      </c>
      <c r="H29">
        <v>410.50000000000006</v>
      </c>
      <c r="I29">
        <f t="shared" si="3"/>
        <v>491.60600000000005</v>
      </c>
    </row>
    <row r="30" spans="1:11" x14ac:dyDescent="0.35">
      <c r="A30">
        <v>2018</v>
      </c>
      <c r="B30">
        <v>80.97</v>
      </c>
      <c r="C30">
        <v>411</v>
      </c>
      <c r="D30">
        <f t="shared" si="2"/>
        <v>491.97</v>
      </c>
      <c r="G30">
        <v>80.97</v>
      </c>
      <c r="H30">
        <v>411</v>
      </c>
      <c r="I30">
        <f t="shared" si="3"/>
        <v>491.97</v>
      </c>
    </row>
    <row r="31" spans="1:11" x14ac:dyDescent="0.35">
      <c r="A31">
        <v>2019</v>
      </c>
      <c r="B31">
        <v>82.720000000000013</v>
      </c>
      <c r="C31">
        <v>404.4</v>
      </c>
      <c r="D31">
        <f t="shared" si="2"/>
        <v>487.12</v>
      </c>
      <c r="G31">
        <v>82.720000000000013</v>
      </c>
      <c r="H31">
        <v>404.4</v>
      </c>
      <c r="I31">
        <f t="shared" si="3"/>
        <v>487.12</v>
      </c>
    </row>
    <row r="32" spans="1:11" x14ac:dyDescent="0.35">
      <c r="A32">
        <v>2020</v>
      </c>
      <c r="B32">
        <v>74.010000000000005</v>
      </c>
      <c r="C32">
        <v>369.1</v>
      </c>
      <c r="D32">
        <f t="shared" si="2"/>
        <v>443.11</v>
      </c>
      <c r="G32">
        <v>74.010000000000005</v>
      </c>
      <c r="H32">
        <v>369.1</v>
      </c>
      <c r="I32">
        <f t="shared" si="3"/>
        <v>443.11</v>
      </c>
    </row>
    <row r="33" spans="1:13" x14ac:dyDescent="0.35">
      <c r="A33">
        <v>2021</v>
      </c>
      <c r="B33">
        <v>72.009</v>
      </c>
      <c r="C33">
        <v>385.59015639097765</v>
      </c>
      <c r="D33">
        <f t="shared" si="2"/>
        <v>457.59915639097767</v>
      </c>
      <c r="G33">
        <v>82.348000000000013</v>
      </c>
      <c r="H33">
        <v>402.85999999999996</v>
      </c>
      <c r="I33">
        <f t="shared" si="3"/>
        <v>485.20799999999997</v>
      </c>
    </row>
    <row r="34" spans="1:13" x14ac:dyDescent="0.35">
      <c r="A34">
        <v>2022</v>
      </c>
      <c r="B34">
        <v>70.007999999999996</v>
      </c>
      <c r="C34">
        <v>371.21347234753569</v>
      </c>
      <c r="D34">
        <f t="shared" si="2"/>
        <v>441.22147234753567</v>
      </c>
      <c r="G34">
        <v>81.934666666666672</v>
      </c>
      <c r="H34">
        <v>401.14888888888885</v>
      </c>
      <c r="I34">
        <f t="shared" si="3"/>
        <v>483.08355555555551</v>
      </c>
    </row>
    <row r="35" spans="1:13" x14ac:dyDescent="0.35">
      <c r="A35">
        <v>2023</v>
      </c>
      <c r="B35">
        <v>68.006999999999991</v>
      </c>
      <c r="C35">
        <v>356.83678830409372</v>
      </c>
      <c r="D35">
        <f t="shared" si="2"/>
        <v>424.84378830409372</v>
      </c>
      <c r="G35">
        <v>81.562666666666672</v>
      </c>
      <c r="H35">
        <v>399.43777777777774</v>
      </c>
      <c r="I35">
        <f t="shared" si="3"/>
        <v>481.00044444444438</v>
      </c>
    </row>
    <row r="36" spans="1:13" x14ac:dyDescent="0.35">
      <c r="A36">
        <v>2024</v>
      </c>
      <c r="B36">
        <v>66.005999999999986</v>
      </c>
      <c r="C36">
        <v>342.46010426065175</v>
      </c>
      <c r="D36">
        <f t="shared" si="2"/>
        <v>408.46610426065172</v>
      </c>
      <c r="G36">
        <v>81.190666666666672</v>
      </c>
      <c r="H36">
        <v>397.72666666666663</v>
      </c>
      <c r="I36">
        <f t="shared" si="3"/>
        <v>478.91733333333332</v>
      </c>
    </row>
    <row r="37" spans="1:13" x14ac:dyDescent="0.35">
      <c r="A37">
        <v>2025</v>
      </c>
      <c r="B37">
        <v>64.004999999999981</v>
      </c>
      <c r="C37">
        <v>328.08342021720978</v>
      </c>
      <c r="D37">
        <f t="shared" si="2"/>
        <v>392.08842021720977</v>
      </c>
      <c r="G37" s="84">
        <v>80.818666666666672</v>
      </c>
      <c r="H37">
        <v>396.01555555555552</v>
      </c>
      <c r="I37">
        <f t="shared" si="3"/>
        <v>476.83422222222219</v>
      </c>
    </row>
    <row r="38" spans="1:13" x14ac:dyDescent="0.35">
      <c r="A38">
        <v>2026</v>
      </c>
      <c r="B38">
        <v>62.003999999999984</v>
      </c>
      <c r="C38">
        <v>313.70673617376781</v>
      </c>
      <c r="D38">
        <f t="shared" si="2"/>
        <v>375.71073617376777</v>
      </c>
      <c r="G38">
        <v>80.446666666666673</v>
      </c>
      <c r="H38">
        <v>394.30444444444441</v>
      </c>
      <c r="I38">
        <f t="shared" si="3"/>
        <v>474.75111111111107</v>
      </c>
    </row>
    <row r="39" spans="1:13" x14ac:dyDescent="0.35">
      <c r="A39">
        <v>2027</v>
      </c>
      <c r="B39">
        <v>60.002999999999986</v>
      </c>
      <c r="C39">
        <v>299.33005213032584</v>
      </c>
      <c r="D39">
        <f t="shared" si="2"/>
        <v>359.33305213032583</v>
      </c>
      <c r="E39">
        <f>SUM(D39:D41)</f>
        <v>1028.8661042606516</v>
      </c>
      <c r="G39">
        <v>80.074666666666673</v>
      </c>
      <c r="H39">
        <v>392.59333333333331</v>
      </c>
      <c r="I39">
        <f t="shared" si="3"/>
        <v>472.66800000000001</v>
      </c>
    </row>
    <row r="40" spans="1:13" x14ac:dyDescent="0.35">
      <c r="A40">
        <v>2028</v>
      </c>
      <c r="B40">
        <v>58.001999999999988</v>
      </c>
      <c r="C40">
        <v>284.95336808688387</v>
      </c>
      <c r="D40">
        <f t="shared" si="2"/>
        <v>342.95536808688388</v>
      </c>
      <c r="G40">
        <v>79.702666666666673</v>
      </c>
      <c r="H40">
        <v>390.8822222222222</v>
      </c>
      <c r="I40">
        <f t="shared" si="3"/>
        <v>470.58488888888888</v>
      </c>
    </row>
    <row r="41" spans="1:13" x14ac:dyDescent="0.35">
      <c r="A41">
        <v>2029</v>
      </c>
      <c r="B41">
        <v>56.000999999999991</v>
      </c>
      <c r="C41">
        <v>270.5766840434419</v>
      </c>
      <c r="D41">
        <f t="shared" si="2"/>
        <v>326.57768404344188</v>
      </c>
      <c r="G41">
        <v>79.330666666666673</v>
      </c>
      <c r="H41">
        <v>389.17111111111109</v>
      </c>
      <c r="I41">
        <f t="shared" si="3"/>
        <v>468.50177777777776</v>
      </c>
      <c r="L41" s="84"/>
    </row>
    <row r="42" spans="1:13" x14ac:dyDescent="0.35">
      <c r="A42">
        <v>2030</v>
      </c>
      <c r="B42">
        <v>54</v>
      </c>
      <c r="C42">
        <v>256.2</v>
      </c>
      <c r="D42">
        <f t="shared" si="2"/>
        <v>310.2</v>
      </c>
      <c r="G42">
        <v>79</v>
      </c>
      <c r="H42">
        <v>389</v>
      </c>
      <c r="I42">
        <f t="shared" si="3"/>
        <v>468</v>
      </c>
      <c r="M42" s="84"/>
    </row>
    <row r="46" spans="1:13" x14ac:dyDescent="0.35">
      <c r="E46" s="84"/>
    </row>
    <row r="49" spans="2:16" x14ac:dyDescent="0.35">
      <c r="B49" s="87"/>
      <c r="C49" s="87"/>
      <c r="D49" s="87"/>
      <c r="L49" s="84"/>
      <c r="N49" s="84"/>
      <c r="O49" s="84"/>
      <c r="P49" s="84"/>
    </row>
    <row r="50" spans="2:16" x14ac:dyDescent="0.35">
      <c r="B50" s="84"/>
      <c r="L50" s="84"/>
    </row>
    <row r="51" spans="2:16" x14ac:dyDescent="0.35">
      <c r="B51" s="84"/>
    </row>
    <row r="52" spans="2:16" x14ac:dyDescent="0.35">
      <c r="B52" s="84"/>
    </row>
    <row r="53" spans="2:16" x14ac:dyDescent="0.35">
      <c r="B53" s="84"/>
    </row>
    <row r="54" spans="2:16" x14ac:dyDescent="0.35">
      <c r="B54" s="84"/>
    </row>
    <row r="55" spans="2:16" x14ac:dyDescent="0.35">
      <c r="B55" s="84"/>
      <c r="L55" s="84"/>
    </row>
    <row r="56" spans="2:16" x14ac:dyDescent="0.35">
      <c r="B56" s="84"/>
    </row>
  </sheetData>
  <mergeCells count="5">
    <mergeCell ref="B49:D49"/>
    <mergeCell ref="B1:D1"/>
    <mergeCell ref="B23:D23"/>
    <mergeCell ref="G1:I1"/>
    <mergeCell ref="G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QC Sc. BAU</vt:lpstr>
      <vt:lpstr>CA Sc. BAU</vt:lpstr>
      <vt:lpstr>QC Sc. BAU 78%</vt:lpstr>
      <vt:lpstr>CA Sc. BAU 80%</vt:lpstr>
      <vt:lpstr>QC Sc. comp. pol.</vt:lpstr>
      <vt:lpstr>CA Sc. comp. pol.</vt:lpstr>
      <vt:lpstr>QC no covid</vt:lpstr>
      <vt:lpstr>CA no covid</vt:lpstr>
      <vt:lpstr>QC goal</vt:lpstr>
      <vt:lpstr>CA goal</vt:lpstr>
      <vt:lpstr>Summary -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Noémie Martin</dc:creator>
  <cp:lastModifiedBy>Noémie Martin</cp:lastModifiedBy>
  <dcterms:created xsi:type="dcterms:W3CDTF">2021-12-03T10:05:14Z</dcterms:created>
  <dcterms:modified xsi:type="dcterms:W3CDTF">2023-02-07T23:15:09Z</dcterms:modified>
</cp:coreProperties>
</file>