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OneDrive\Documents\SPEDE\Soumission\Excels\"/>
    </mc:Choice>
  </mc:AlternateContent>
  <xr:revisionPtr revIDLastSave="0" documentId="13_ncr:1_{95BA8BAE-2DDC-4333-A6C6-955A989E693A}" xr6:coauthVersionLast="47" xr6:coauthVersionMax="47" xr10:uidLastSave="{00000000-0000-0000-0000-000000000000}"/>
  <bookViews>
    <workbookView xWindow="-110" yWindow="-110" windowWidth="19420" windowHeight="10420" tabRatio="680" firstSheet="1" activeTab="7" xr2:uid="{457595E5-7DF0-4020-A99F-C2781A9B2FD4}"/>
  </bookViews>
  <sheets>
    <sheet name="Emissions " sheetId="1" r:id="rId1"/>
    <sheet name="Elasticities" sheetId="3" r:id="rId2"/>
    <sheet name="Surplus" sheetId="13" r:id="rId3"/>
    <sheet name="Prices" sheetId="16" r:id="rId4"/>
    <sheet name="Instruments supply" sheetId="8" r:id="rId5"/>
    <sheet name="Reserves" sheetId="18" r:id="rId6"/>
    <sheet name="Supply levels" sheetId="2" r:id="rId7"/>
    <sheet name="Graph all CP" sheetId="4" r:id="rId8"/>
  </sheets>
  <definedNames>
    <definedName name="_xlnm._FilterDatabase" localSheetId="3" hidden="1">Prices!$B$2:$D$39</definedName>
    <definedName name="x">"$I$6+(LIGNE(INDEX(A:A;1):INDEX(A:A;$C$6))-1)*($C$7-$C$6)/($C$8-1)"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13" l="1"/>
  <c r="P16" i="13"/>
  <c r="Q16" i="13"/>
  <c r="R16" i="13"/>
  <c r="S16" i="13"/>
  <c r="T16" i="13"/>
  <c r="U16" i="13"/>
  <c r="N16" i="13"/>
  <c r="M16" i="8"/>
  <c r="U21" i="2"/>
  <c r="T21" i="2"/>
  <c r="U13" i="2"/>
  <c r="T13" i="2"/>
  <c r="M13" i="2"/>
  <c r="K13" i="2"/>
  <c r="O20" i="18"/>
  <c r="Q13" i="18"/>
  <c r="O13" i="18"/>
  <c r="O14" i="18" s="1"/>
  <c r="O15" i="18" s="1"/>
  <c r="Q12" i="18"/>
  <c r="Q11" i="18"/>
  <c r="Q10" i="18"/>
  <c r="Q9" i="18"/>
  <c r="Q8" i="18"/>
  <c r="Q7" i="18"/>
  <c r="Q23" i="18" s="1"/>
  <c r="Q24" i="18" s="1"/>
  <c r="Q6" i="18"/>
  <c r="Q5" i="18"/>
  <c r="I18" i="18"/>
  <c r="I15" i="18"/>
  <c r="J12" i="18"/>
  <c r="I12" i="18"/>
  <c r="E18" i="18"/>
  <c r="E15" i="18"/>
  <c r="F12" i="18"/>
  <c r="E12" i="18"/>
  <c r="M11" i="8"/>
  <c r="L20" i="8"/>
  <c r="L21" i="8" s="1"/>
  <c r="L11" i="8"/>
  <c r="L6" i="8"/>
  <c r="L16" i="8" s="1"/>
  <c r="L5" i="8"/>
  <c r="M14" i="16"/>
  <c r="M15" i="16" s="1"/>
  <c r="M16" i="16" s="1"/>
  <c r="M17" i="16" s="1"/>
  <c r="O13" i="16"/>
  <c r="O12" i="16"/>
  <c r="M20" i="13"/>
  <c r="M11" i="13"/>
  <c r="M6" i="13"/>
  <c r="M5" i="13"/>
  <c r="M16" i="13" s="1"/>
  <c r="M21" i="13" s="1"/>
  <c r="M28" i="13"/>
  <c r="I8" i="4"/>
  <c r="H8" i="4"/>
  <c r="G8" i="4"/>
  <c r="I17" i="16"/>
  <c r="I14" i="16"/>
  <c r="I11" i="16"/>
  <c r="D15" i="18" l="1"/>
  <c r="D16" i="18" s="1"/>
  <c r="H15" i="18"/>
  <c r="H16" i="18" s="1"/>
  <c r="H17" i="18" s="1"/>
  <c r="H18" i="18" s="1"/>
  <c r="O16" i="18"/>
  <c r="O17" i="18" s="1"/>
  <c r="O18" i="18" s="1"/>
  <c r="P12" i="18"/>
  <c r="H19" i="18"/>
  <c r="H20" i="18" s="1"/>
  <c r="H21" i="18" s="1"/>
  <c r="J15" i="18"/>
  <c r="M18" i="16"/>
  <c r="M19" i="16" s="1"/>
  <c r="M20" i="16" s="1"/>
  <c r="N17" i="16"/>
  <c r="I9" i="4" s="1"/>
  <c r="K52" i="4" s="1"/>
  <c r="K53" i="4" s="1"/>
  <c r="N14" i="16"/>
  <c r="H9" i="4" s="1"/>
  <c r="H20" i="16" a="1"/>
  <c r="H20" i="16" s="1"/>
  <c r="H14" i="16" a="1"/>
  <c r="H14" i="16" s="1"/>
  <c r="H13" i="16" a="1"/>
  <c r="H13" i="16" s="1"/>
  <c r="H12" i="16"/>
  <c r="E53" i="4"/>
  <c r="E52" i="4"/>
  <c r="C53" i="4"/>
  <c r="C52" i="4"/>
  <c r="B53" i="4"/>
  <c r="D53" i="4"/>
  <c r="F53" i="4"/>
  <c r="A53" i="4"/>
  <c r="A52" i="4"/>
  <c r="F9" i="4"/>
  <c r="E9" i="4"/>
  <c r="D9" i="4"/>
  <c r="N11" i="16"/>
  <c r="G9" i="4" s="1"/>
  <c r="N8" i="16"/>
  <c r="N5" i="16"/>
  <c r="N3" i="16"/>
  <c r="L4" i="13" a="1"/>
  <c r="L4" i="13" s="1"/>
  <c r="I52" i="4" l="1"/>
  <c r="I53" i="4" s="1"/>
  <c r="F66" i="4"/>
  <c r="D17" i="18"/>
  <c r="D18" i="18" s="1"/>
  <c r="D19" i="18" s="1"/>
  <c r="D20" i="18" s="1"/>
  <c r="D21" i="18" s="1"/>
  <c r="O19" i="18"/>
  <c r="O21" i="18" s="1"/>
  <c r="P18" i="18"/>
  <c r="P15" i="18"/>
  <c r="J18" i="18"/>
  <c r="I13" i="4" s="1"/>
  <c r="G52" i="4"/>
  <c r="G53" i="4" s="1"/>
  <c r="F65" i="4"/>
  <c r="F67" i="4"/>
  <c r="I67" i="4" s="1"/>
  <c r="H15" i="16" a="1"/>
  <c r="H15" i="16" s="1"/>
  <c r="G16" i="4"/>
  <c r="G58" i="4" s="1"/>
  <c r="G59" i="4" s="1"/>
  <c r="F15" i="4"/>
  <c r="E15" i="4"/>
  <c r="D15" i="4"/>
  <c r="F14" i="4"/>
  <c r="E14" i="4"/>
  <c r="D14" i="4"/>
  <c r="H13" i="4"/>
  <c r="G13" i="4"/>
  <c r="F13" i="4"/>
  <c r="E13" i="4"/>
  <c r="D13" i="4"/>
  <c r="I12" i="4"/>
  <c r="H12" i="4"/>
  <c r="G12" i="4"/>
  <c r="F12" i="4"/>
  <c r="E12" i="4"/>
  <c r="D12" i="4"/>
  <c r="G11" i="4"/>
  <c r="F11" i="4"/>
  <c r="E11" i="4"/>
  <c r="D11" i="4"/>
  <c r="I10" i="4"/>
  <c r="H10" i="4"/>
  <c r="G10" i="4"/>
  <c r="F10" i="4"/>
  <c r="E10" i="4"/>
  <c r="D10" i="4"/>
  <c r="N9" i="18"/>
  <c r="M9" i="18"/>
  <c r="J9" i="18"/>
  <c r="I9" i="18"/>
  <c r="F9" i="18"/>
  <c r="E9" i="18"/>
  <c r="N6" i="18"/>
  <c r="M6" i="18"/>
  <c r="J6" i="18"/>
  <c r="I6" i="18"/>
  <c r="F6" i="18"/>
  <c r="E6" i="18"/>
  <c r="N4" i="18"/>
  <c r="M4" i="18"/>
  <c r="J4" i="18"/>
  <c r="I4" i="18"/>
  <c r="F4" i="18"/>
  <c r="E4" i="18"/>
  <c r="F15" i="18" l="1"/>
  <c r="H11" i="4" s="1"/>
  <c r="H16" i="4"/>
  <c r="I58" i="4" s="1"/>
  <c r="I59" i="4" s="1"/>
  <c r="F18" i="18"/>
  <c r="I11" i="4" s="1"/>
  <c r="H16" i="16" a="1"/>
  <c r="H16" i="16" s="1"/>
  <c r="H17" i="16" s="1" a="1"/>
  <c r="H17" i="16" s="1"/>
  <c r="I16" i="4" l="1"/>
  <c r="K58" i="4" s="1"/>
  <c r="K59" i="4" s="1"/>
  <c r="H18" i="16" a="1"/>
  <c r="H18" i="16" s="1"/>
  <c r="H19" i="16" l="1" a="1"/>
  <c r="H19" i="16" s="1"/>
  <c r="E21" i="8" l="1"/>
  <c r="F21" i="8"/>
  <c r="G21" i="8"/>
  <c r="H21" i="8"/>
  <c r="I21" i="8"/>
  <c r="J21" i="8"/>
  <c r="K21" i="8"/>
  <c r="M21" i="8"/>
  <c r="K22" i="8" s="1"/>
  <c r="D21" i="8"/>
  <c r="C21" i="8"/>
  <c r="T20" i="8"/>
  <c r="S20" i="8"/>
  <c r="R20" i="8"/>
  <c r="Q20" i="8"/>
  <c r="P20" i="8"/>
  <c r="O20" i="8"/>
  <c r="N20" i="8"/>
  <c r="M20" i="8"/>
  <c r="U20" i="13"/>
  <c r="T20" i="13"/>
  <c r="S20" i="13"/>
  <c r="R20" i="13"/>
  <c r="Q20" i="13"/>
  <c r="P20" i="13"/>
  <c r="O20" i="13"/>
  <c r="N20" i="13"/>
  <c r="F27" i="13"/>
  <c r="G27" i="13"/>
  <c r="H27" i="13"/>
  <c r="I27" i="13"/>
  <c r="J27" i="13"/>
  <c r="K27" i="13"/>
  <c r="O28" i="13"/>
  <c r="P28" i="13"/>
  <c r="R28" i="13"/>
  <c r="S28" i="13"/>
  <c r="U28" i="13"/>
  <c r="E27" i="13"/>
  <c r="G54" i="4" l="1"/>
  <c r="G55" i="4" s="1"/>
  <c r="E58" i="4"/>
  <c r="E59" i="4" s="1"/>
  <c r="C58" i="4"/>
  <c r="C59" i="4" s="1"/>
  <c r="A58" i="4"/>
  <c r="A59" i="4" s="1"/>
  <c r="E56" i="4"/>
  <c r="E57" i="4" s="1"/>
  <c r="A56" i="4"/>
  <c r="A57" i="4" s="1"/>
  <c r="E54" i="4"/>
  <c r="E55" i="4" s="1"/>
  <c r="C54" i="4"/>
  <c r="C55" i="4" s="1"/>
  <c r="A54" i="4"/>
  <c r="A55" i="4" s="1"/>
  <c r="G56" i="4" l="1"/>
  <c r="G57" i="4" s="1"/>
  <c r="C56" i="4"/>
  <c r="C57" i="4" s="1"/>
  <c r="K54" i="4" l="1"/>
  <c r="K55" i="4" s="1"/>
  <c r="I54" i="4"/>
  <c r="I55" i="4" s="1"/>
  <c r="K56" i="4"/>
  <c r="K57" i="4" s="1"/>
  <c r="I56" i="4"/>
  <c r="I57" i="4" s="1"/>
  <c r="F11" i="8" l="1"/>
  <c r="E11" i="8"/>
  <c r="O4" i="2"/>
  <c r="K20" i="8"/>
  <c r="J20" i="8"/>
  <c r="I20" i="8"/>
  <c r="H20" i="8"/>
  <c r="G20" i="8"/>
  <c r="F20" i="8"/>
  <c r="E20" i="8"/>
  <c r="D20" i="8"/>
  <c r="C20" i="8"/>
  <c r="F8" i="4"/>
  <c r="E8" i="4"/>
  <c r="D8" i="4"/>
  <c r="I8" i="16"/>
  <c r="I5" i="16"/>
  <c r="I3" i="16"/>
  <c r="H4" i="16"/>
  <c r="H11" i="16"/>
  <c r="H10" i="16"/>
  <c r="H9" i="16"/>
  <c r="H8" i="16"/>
  <c r="H7" i="16"/>
  <c r="H6" i="16"/>
  <c r="H5" i="16"/>
  <c r="H3" i="16"/>
  <c r="E10" i="1" l="1"/>
  <c r="E9" i="1"/>
  <c r="H17" i="2"/>
  <c r="H18" i="2"/>
  <c r="H19" i="2"/>
  <c r="H20" i="2"/>
  <c r="H21" i="2"/>
  <c r="H13" i="2"/>
  <c r="H14" i="2"/>
  <c r="H15" i="2"/>
  <c r="H16" i="2"/>
  <c r="H12" i="2"/>
  <c r="H4" i="2"/>
  <c r="H5" i="2"/>
  <c r="H6" i="2"/>
  <c r="H7" i="2"/>
  <c r="H8" i="2"/>
  <c r="H9" i="2"/>
  <c r="H10" i="2"/>
  <c r="H11" i="2"/>
  <c r="I11" i="13"/>
  <c r="F6" i="13"/>
  <c r="E11" i="13"/>
  <c r="F11" i="13"/>
  <c r="G11" i="13"/>
  <c r="H11" i="13"/>
  <c r="J11" i="13"/>
  <c r="K11" i="13"/>
  <c r="L11" i="13"/>
  <c r="N11" i="13"/>
  <c r="O11" i="13"/>
  <c r="D11" i="13"/>
  <c r="L24" i="13"/>
  <c r="L28" i="13" s="1"/>
  <c r="K24" i="13"/>
  <c r="K28" i="13" s="1"/>
  <c r="J24" i="13"/>
  <c r="J28" i="13" s="1"/>
  <c r="I24" i="13"/>
  <c r="I28" i="13" s="1"/>
  <c r="H24" i="13"/>
  <c r="H28" i="13" s="1"/>
  <c r="G24" i="13"/>
  <c r="G28" i="13" s="1"/>
  <c r="F24" i="13"/>
  <c r="F28" i="13" s="1"/>
  <c r="E24" i="13"/>
  <c r="E28" i="13" s="1"/>
  <c r="D24" i="13"/>
  <c r="L20" i="13"/>
  <c r="K20" i="13"/>
  <c r="J20" i="13"/>
  <c r="I20" i="13"/>
  <c r="H20" i="13"/>
  <c r="G20" i="13"/>
  <c r="F20" i="13"/>
  <c r="E20" i="13"/>
  <c r="D20" i="13"/>
  <c r="L6" i="13"/>
  <c r="K6" i="13"/>
  <c r="J6" i="13"/>
  <c r="I6" i="13"/>
  <c r="H6" i="13"/>
  <c r="G6" i="13"/>
  <c r="E6" i="13"/>
  <c r="D6" i="13"/>
  <c r="L5" i="13"/>
  <c r="K5" i="13"/>
  <c r="J5" i="13"/>
  <c r="I5" i="13"/>
  <c r="H5" i="13"/>
  <c r="G5" i="13"/>
  <c r="G16" i="13" s="1"/>
  <c r="F5" i="13"/>
  <c r="E5" i="13"/>
  <c r="E16" i="13" s="1"/>
  <c r="D5" i="13"/>
  <c r="C11" i="8"/>
  <c r="D11" i="8"/>
  <c r="G11" i="8"/>
  <c r="H11" i="8"/>
  <c r="I11" i="8"/>
  <c r="J11" i="8"/>
  <c r="K11" i="8"/>
  <c r="N11" i="8"/>
  <c r="D16" i="13" l="1"/>
  <c r="M11" i="2"/>
  <c r="M10" i="2"/>
  <c r="M7" i="2"/>
  <c r="M8" i="2"/>
  <c r="M5" i="2"/>
  <c r="M9" i="2"/>
  <c r="M4" i="2"/>
  <c r="M12" i="2"/>
  <c r="M6" i="2"/>
  <c r="F50" i="13"/>
  <c r="G21" i="13"/>
  <c r="G29" i="13" s="1"/>
  <c r="L16" i="13"/>
  <c r="I16" i="13"/>
  <c r="J16" i="13"/>
  <c r="T28" i="13"/>
  <c r="Q28" i="13"/>
  <c r="H16" i="13"/>
  <c r="F16" i="13"/>
  <c r="K16" i="13"/>
  <c r="C50" i="13" l="1"/>
  <c r="D21" i="13"/>
  <c r="D29" i="13" s="1"/>
  <c r="I50" i="13"/>
  <c r="J21" i="13"/>
  <c r="J29" i="13" s="1"/>
  <c r="J50" i="13"/>
  <c r="K21" i="13"/>
  <c r="K29" i="13" s="1"/>
  <c r="E50" i="13"/>
  <c r="F21" i="13"/>
  <c r="F29" i="13" s="1"/>
  <c r="K50" i="13"/>
  <c r="L21" i="13"/>
  <c r="L29" i="13" s="1"/>
  <c r="H50" i="13"/>
  <c r="I21" i="13"/>
  <c r="I29" i="13" s="1"/>
  <c r="G50" i="13"/>
  <c r="H21" i="13"/>
  <c r="H29" i="13" s="1"/>
  <c r="D50" i="13"/>
  <c r="E21" i="13"/>
  <c r="E29" i="13" s="1"/>
  <c r="C52" i="13" l="1"/>
  <c r="H30" i="13"/>
  <c r="Q9" i="2" s="1"/>
  <c r="K30" i="13"/>
  <c r="Q12" i="2" s="1"/>
  <c r="E30" i="13"/>
  <c r="Q6" i="2" s="1"/>
  <c r="E7" i="1"/>
  <c r="I18" i="4" l="1"/>
  <c r="H18" i="4"/>
  <c r="I44" i="4" l="1"/>
  <c r="H66" i="4"/>
  <c r="H44" i="4"/>
  <c r="H27" i="4"/>
  <c r="H31" i="4"/>
  <c r="H35" i="4"/>
  <c r="H39" i="4"/>
  <c r="H43" i="4"/>
  <c r="H26" i="4"/>
  <c r="H30" i="4"/>
  <c r="H34" i="4"/>
  <c r="H38" i="4"/>
  <c r="H42" i="4"/>
  <c r="H24" i="4"/>
  <c r="H25" i="4"/>
  <c r="H29" i="4"/>
  <c r="H33" i="4"/>
  <c r="H37" i="4"/>
  <c r="H41" i="4"/>
  <c r="H28" i="4"/>
  <c r="H32" i="4"/>
  <c r="H36" i="4"/>
  <c r="H40" i="4"/>
  <c r="I27" i="4"/>
  <c r="I31" i="4"/>
  <c r="I35" i="4"/>
  <c r="I39" i="4"/>
  <c r="I43" i="4"/>
  <c r="I28" i="4"/>
  <c r="I26" i="4"/>
  <c r="I30" i="4"/>
  <c r="I34" i="4"/>
  <c r="I38" i="4"/>
  <c r="I42" i="4"/>
  <c r="I29" i="4"/>
  <c r="I24" i="4"/>
  <c r="I37" i="4"/>
  <c r="I41" i="4"/>
  <c r="I32" i="4"/>
  <c r="I25" i="4"/>
  <c r="I33" i="4"/>
  <c r="I36" i="4"/>
  <c r="I40" i="4"/>
  <c r="F18" i="4"/>
  <c r="D38" i="3"/>
  <c r="F27" i="4" l="1"/>
  <c r="F35" i="4"/>
  <c r="F43" i="4"/>
  <c r="F30" i="4"/>
  <c r="F38" i="4"/>
  <c r="F24" i="4"/>
  <c r="F40" i="4"/>
  <c r="F25" i="4"/>
  <c r="F33" i="4"/>
  <c r="F41" i="4"/>
  <c r="F34" i="4"/>
  <c r="F28" i="4"/>
  <c r="F36" i="4"/>
  <c r="F44" i="4"/>
  <c r="F42" i="4"/>
  <c r="F31" i="4"/>
  <c r="F39" i="4"/>
  <c r="F26" i="4"/>
  <c r="F29" i="4"/>
  <c r="F37" i="4"/>
  <c r="F32" i="4"/>
  <c r="C5" i="8"/>
  <c r="J6" i="8"/>
  <c r="C6" i="8"/>
  <c r="D6" i="8"/>
  <c r="E6" i="8"/>
  <c r="F6" i="8"/>
  <c r="G6" i="8"/>
  <c r="H6" i="8"/>
  <c r="I6" i="8"/>
  <c r="K6" i="8"/>
  <c r="D5" i="8"/>
  <c r="E5" i="8"/>
  <c r="F5" i="8"/>
  <c r="G5" i="8"/>
  <c r="H5" i="8"/>
  <c r="I5" i="8"/>
  <c r="J5" i="8"/>
  <c r="K5" i="8"/>
  <c r="K16" i="8" s="1"/>
  <c r="K12" i="2" s="1"/>
  <c r="J16" i="8" l="1"/>
  <c r="K11" i="2" s="1"/>
  <c r="H16" i="8"/>
  <c r="K9" i="2" s="1"/>
  <c r="C16" i="8"/>
  <c r="K4" i="2" s="1"/>
  <c r="G16" i="8"/>
  <c r="K8" i="2" s="1"/>
  <c r="D16" i="8"/>
  <c r="K5" i="2" s="1"/>
  <c r="F16" i="8"/>
  <c r="K7" i="2" s="1"/>
  <c r="E16" i="8"/>
  <c r="K6" i="2" s="1"/>
  <c r="I16" i="8"/>
  <c r="K10" i="2" s="1"/>
  <c r="L4" i="2" l="1"/>
  <c r="H22" i="8"/>
  <c r="L9" i="2"/>
  <c r="E22" i="8"/>
  <c r="L6" i="2"/>
  <c r="N6" i="2"/>
  <c r="P6" i="2" s="1"/>
  <c r="R6" i="2" s="1"/>
  <c r="E7" i="4" s="1"/>
  <c r="D54" i="4" s="1"/>
  <c r="D55" i="4" s="1"/>
  <c r="D56" i="4" s="1"/>
  <c r="D57" i="4" s="1"/>
  <c r="D58" i="4" s="1"/>
  <c r="D59" i="4" s="1"/>
  <c r="D60" i="4" s="1"/>
  <c r="N4" i="2"/>
  <c r="P4" i="2" s="1"/>
  <c r="N9" i="2"/>
  <c r="C22" i="8"/>
  <c r="E6" i="1"/>
  <c r="E5" i="1"/>
  <c r="R4" i="2" l="1"/>
  <c r="D7" i="4" s="1"/>
  <c r="B54" i="4" s="1"/>
  <c r="B55" i="4" s="1"/>
  <c r="B56" i="4" s="1"/>
  <c r="B57" i="4" s="1"/>
  <c r="B58" i="4" s="1"/>
  <c r="B59" i="4" s="1"/>
  <c r="B60" i="4" s="1"/>
  <c r="D18" i="4"/>
  <c r="D36" i="4" s="1"/>
  <c r="E18" i="4"/>
  <c r="E36" i="4" s="1"/>
  <c r="D41" i="4"/>
  <c r="D40" i="4"/>
  <c r="D28" i="4"/>
  <c r="D39" i="4"/>
  <c r="D32" i="4"/>
  <c r="D29" i="4"/>
  <c r="D37" i="4"/>
  <c r="D35" i="4"/>
  <c r="D30" i="4"/>
  <c r="E25" i="4"/>
  <c r="E33" i="4"/>
  <c r="E41" i="4"/>
  <c r="E37" i="4"/>
  <c r="E28" i="4"/>
  <c r="E31" i="4"/>
  <c r="E26" i="4"/>
  <c r="E34" i="4"/>
  <c r="E42" i="4"/>
  <c r="E24" i="4"/>
  <c r="E40" i="4"/>
  <c r="E35" i="4"/>
  <c r="E43" i="4"/>
  <c r="E27" i="4"/>
  <c r="P9" i="2"/>
  <c r="R9" i="2" s="1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D42" i="4" l="1"/>
  <c r="D33" i="4"/>
  <c r="D24" i="4"/>
  <c r="D34" i="4"/>
  <c r="D25" i="4"/>
  <c r="D43" i="4"/>
  <c r="D26" i="4"/>
  <c r="D27" i="4"/>
  <c r="D31" i="4"/>
  <c r="F7" i="4"/>
  <c r="F54" i="4" s="1"/>
  <c r="F55" i="4" s="1"/>
  <c r="F56" i="4" s="1"/>
  <c r="F57" i="4" s="1"/>
  <c r="F58" i="4" s="1"/>
  <c r="F59" i="4" s="1"/>
  <c r="F60" i="4" s="1"/>
  <c r="D44" i="4"/>
  <c r="D38" i="4"/>
  <c r="E38" i="4"/>
  <c r="E39" i="4"/>
  <c r="E32" i="4"/>
  <c r="E44" i="4"/>
  <c r="E30" i="4"/>
  <c r="E29" i="4"/>
  <c r="U9" i="2"/>
  <c r="T9" i="2"/>
  <c r="U11" i="2"/>
  <c r="T11" i="2"/>
  <c r="G4" i="2"/>
  <c r="U4" i="2"/>
  <c r="T4" i="2"/>
  <c r="U12" i="2"/>
  <c r="T12" i="2"/>
  <c r="U8" i="2"/>
  <c r="T8" i="2"/>
  <c r="U10" i="2"/>
  <c r="T10" i="2"/>
  <c r="U6" i="2"/>
  <c r="T6" i="2"/>
  <c r="U5" i="2"/>
  <c r="T5" i="2"/>
  <c r="U7" i="2"/>
  <c r="T7" i="2"/>
  <c r="I17" i="2"/>
  <c r="I10" i="2"/>
  <c r="I4" i="2"/>
  <c r="I9" i="2"/>
  <c r="I11" i="2"/>
  <c r="I19" i="2"/>
  <c r="I20" i="2"/>
  <c r="I5" i="2"/>
  <c r="I13" i="2"/>
  <c r="I6" i="2"/>
  <c r="I7" i="2"/>
  <c r="I21" i="2"/>
  <c r="I14" i="2"/>
  <c r="I8" i="2"/>
  <c r="I16" i="2"/>
  <c r="D5" i="4"/>
  <c r="G12" i="2"/>
  <c r="G5" i="4" s="1"/>
  <c r="I12" i="2"/>
  <c r="G15" i="2"/>
  <c r="H5" i="4" s="1"/>
  <c r="I15" i="2"/>
  <c r="G6" i="2"/>
  <c r="E5" i="4" s="1"/>
  <c r="G18" i="2"/>
  <c r="I5" i="4" s="1"/>
  <c r="I18" i="2"/>
  <c r="G9" i="2"/>
  <c r="D39" i="3"/>
  <c r="D37" i="3"/>
  <c r="J6" i="2" l="1"/>
  <c r="E6" i="4" s="1"/>
  <c r="J9" i="2"/>
  <c r="J4" i="2"/>
  <c r="D6" i="4" s="1"/>
  <c r="F5" i="4"/>
  <c r="J12" i="2"/>
  <c r="G6" i="4" s="1"/>
  <c r="J18" i="2"/>
  <c r="I6" i="4" s="1"/>
  <c r="J15" i="2"/>
  <c r="H6" i="4" s="1"/>
  <c r="K21" i="2" l="1"/>
  <c r="T16" i="8" s="1"/>
  <c r="T21" i="8" s="1"/>
  <c r="K19" i="2"/>
  <c r="R16" i="8" s="1"/>
  <c r="R21" i="8" s="1"/>
  <c r="K20" i="2"/>
  <c r="S16" i="8" s="1"/>
  <c r="S21" i="8" s="1"/>
  <c r="K14" i="2"/>
  <c r="K17" i="2"/>
  <c r="P16" i="8" s="1"/>
  <c r="P21" i="8" s="1"/>
  <c r="K15" i="2"/>
  <c r="K16" i="2"/>
  <c r="O16" i="8" s="1"/>
  <c r="O21" i="8" s="1"/>
  <c r="K18" i="2"/>
  <c r="S21" i="13"/>
  <c r="S29" i="13" s="1"/>
  <c r="U21" i="13"/>
  <c r="U29" i="13" s="1"/>
  <c r="Q21" i="13"/>
  <c r="Q29" i="13" s="1"/>
  <c r="P21" i="13"/>
  <c r="P29" i="13" s="1"/>
  <c r="T21" i="13"/>
  <c r="T29" i="13" s="1"/>
  <c r="F6" i="4"/>
  <c r="N16" i="8" l="1"/>
  <c r="N21" i="8" s="1"/>
  <c r="N22" i="8" s="1"/>
  <c r="L15" i="2"/>
  <c r="N21" i="13"/>
  <c r="L12" i="2"/>
  <c r="R21" i="13"/>
  <c r="R29" i="13" s="1"/>
  <c r="N18" i="2"/>
  <c r="N12" i="2"/>
  <c r="O21" i="13"/>
  <c r="O29" i="13" s="1"/>
  <c r="N15" i="2"/>
  <c r="Q16" i="8"/>
  <c r="Q21" i="8" s="1"/>
  <c r="Q22" i="8" s="1"/>
  <c r="L18" i="2"/>
  <c r="P15" i="2" l="1"/>
  <c r="P18" i="2"/>
  <c r="P12" i="2"/>
  <c r="R12" i="2" l="1"/>
  <c r="G7" i="4" s="1"/>
  <c r="H53" i="4" s="1"/>
  <c r="H54" i="4" s="1"/>
  <c r="H55" i="4" s="1"/>
  <c r="H56" i="4" s="1"/>
  <c r="H57" i="4" s="1"/>
  <c r="H58" i="4" s="1"/>
  <c r="E8" i="1" l="1"/>
  <c r="G18" i="4" l="1"/>
  <c r="N28" i="13"/>
  <c r="N29" i="13" s="1"/>
  <c r="N30" i="13" s="1"/>
  <c r="Q15" i="2" l="1"/>
  <c r="R15" i="2" s="1"/>
  <c r="H7" i="4" s="1"/>
  <c r="J53" i="4" s="1"/>
  <c r="J54" i="4" s="1"/>
  <c r="J55" i="4" s="1"/>
  <c r="J56" i="4" s="1"/>
  <c r="J57" i="4" s="1"/>
  <c r="J58" i="4" s="1"/>
  <c r="T30" i="13"/>
  <c r="Q30" i="13"/>
  <c r="Q18" i="2" s="1"/>
  <c r="R18" i="2" s="1"/>
  <c r="I7" i="4" s="1"/>
  <c r="L53" i="4" s="1"/>
  <c r="L54" i="4" s="1"/>
  <c r="L55" i="4" s="1"/>
  <c r="L56" i="4" s="1"/>
  <c r="L57" i="4" s="1"/>
  <c r="L58" i="4" s="1"/>
  <c r="G33" i="4"/>
  <c r="G36" i="4"/>
  <c r="G41" i="4"/>
  <c r="G31" i="4"/>
  <c r="G35" i="4"/>
  <c r="G34" i="4"/>
  <c r="G24" i="4"/>
  <c r="G39" i="4"/>
  <c r="G25" i="4"/>
  <c r="G40" i="4"/>
  <c r="G27" i="4"/>
  <c r="G29" i="4"/>
  <c r="G37" i="4"/>
  <c r="G32" i="4"/>
  <c r="G42" i="4"/>
  <c r="G28" i="4"/>
  <c r="G65" i="4"/>
  <c r="G26" i="4"/>
  <c r="G44" i="4"/>
  <c r="G30" i="4"/>
  <c r="G38" i="4"/>
  <c r="G4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<sst xmlns="http://schemas.openxmlformats.org/spreadsheetml/2006/main" count="246" uniqueCount="162">
  <si>
    <t>Emissions</t>
  </si>
  <si>
    <t>Auteur(s)</t>
  </si>
  <si>
    <t>Année</t>
  </si>
  <si>
    <t>type</t>
  </si>
  <si>
    <t>Elasticité</t>
  </si>
  <si>
    <t>Contexte</t>
  </si>
  <si>
    <t>Bernard &amp; Kichian</t>
  </si>
  <si>
    <t>Carbon tax in British Colombia</t>
  </si>
  <si>
    <t>Andersson et al.</t>
  </si>
  <si>
    <t>coal</t>
  </si>
  <si>
    <t>-0,56</t>
  </si>
  <si>
    <t xml:space="preserve">US carbon tax </t>
  </si>
  <si>
    <t>oil</t>
  </si>
  <si>
    <t>natural gas</t>
  </si>
  <si>
    <t>Brännlund &amp; Nordström</t>
  </si>
  <si>
    <t>petrol</t>
  </si>
  <si>
    <t>Sweden</t>
  </si>
  <si>
    <t>public transport</t>
  </si>
  <si>
    <t>other transports</t>
  </si>
  <si>
    <t>Andersson</t>
  </si>
  <si>
    <t>Tax on transport fuel in Sweden</t>
  </si>
  <si>
    <t>Dahl &amp; Sterner</t>
  </si>
  <si>
    <t>short run</t>
  </si>
  <si>
    <t>Based on a survey, meta-analysis</t>
  </si>
  <si>
    <t xml:space="preserve">long run </t>
  </si>
  <si>
    <t>Espey &amp; Espey</t>
  </si>
  <si>
    <t>Residential electricity demand</t>
  </si>
  <si>
    <t>Mori</t>
  </si>
  <si>
    <t>gasoline</t>
  </si>
  <si>
    <t>Meta-analysis</t>
  </si>
  <si>
    <t>diesel fuel</t>
  </si>
  <si>
    <t>jet fuel</t>
  </si>
  <si>
    <t>residential electricity</t>
  </si>
  <si>
    <t>commercial electricity</t>
  </si>
  <si>
    <t>industrial electricity</t>
  </si>
  <si>
    <t>residential natural gas</t>
  </si>
  <si>
    <t>commercial natural gas</t>
  </si>
  <si>
    <t>Lin &amp; Prince</t>
  </si>
  <si>
    <t>OLS</t>
  </si>
  <si>
    <t>Meta-analysis and estimation for energy in California</t>
  </si>
  <si>
    <t>partial adjustment model</t>
  </si>
  <si>
    <t>VMT OLS</t>
  </si>
  <si>
    <t>VMT IV GMM</t>
  </si>
  <si>
    <t>Goodwin</t>
  </si>
  <si>
    <t>Time series short term</t>
  </si>
  <si>
    <t>Review of demand elasticities</t>
  </si>
  <si>
    <t>Time series long term</t>
  </si>
  <si>
    <t>Cross section short run</t>
  </si>
  <si>
    <t>Cross section long run</t>
  </si>
  <si>
    <t>Goodwin et al.</t>
  </si>
  <si>
    <t>fuel consumption short term</t>
  </si>
  <si>
    <t>Review</t>
  </si>
  <si>
    <t>fuel consumption long term</t>
  </si>
  <si>
    <t>California Cap</t>
  </si>
  <si>
    <t>Quebec Cap</t>
  </si>
  <si>
    <t>Joint Cap</t>
  </si>
  <si>
    <t>Caps</t>
  </si>
  <si>
    <t>CP1</t>
  </si>
  <si>
    <t>CP2</t>
  </si>
  <si>
    <t>CP3</t>
  </si>
  <si>
    <t>Demand CP1</t>
  </si>
  <si>
    <t>Demand CP2</t>
  </si>
  <si>
    <t>Demand CP3</t>
  </si>
  <si>
    <t>CA</t>
  </si>
  <si>
    <t>QC</t>
  </si>
  <si>
    <t>2013-2014</t>
  </si>
  <si>
    <t>2015-2017</t>
  </si>
  <si>
    <t>Total</t>
  </si>
  <si>
    <t>2018-2020</t>
  </si>
  <si>
    <t>Cap + offsets</t>
  </si>
  <si>
    <t>Offsets (max)</t>
  </si>
  <si>
    <t>Q1</t>
  </si>
  <si>
    <t>Q2</t>
  </si>
  <si>
    <t>Q3</t>
  </si>
  <si>
    <t>Q4</t>
  </si>
  <si>
    <t xml:space="preserve"> QC</t>
  </si>
  <si>
    <t>Elasticities</t>
  </si>
  <si>
    <t>Free allocation</t>
  </si>
  <si>
    <t>Offset credits</t>
  </si>
  <si>
    <t>.+ auction nov 2012</t>
  </si>
  <si>
    <t>Parameters</t>
  </si>
  <si>
    <t>Allowance Cap</t>
  </si>
  <si>
    <t>Demand</t>
  </si>
  <si>
    <t>Compliance period 3</t>
  </si>
  <si>
    <t>Supply</t>
  </si>
  <si>
    <t>Elasticity</t>
  </si>
  <si>
    <t>CP4</t>
  </si>
  <si>
    <t>CP5</t>
  </si>
  <si>
    <t>CP6</t>
  </si>
  <si>
    <t>2021-2023</t>
  </si>
  <si>
    <t>2024-2026</t>
  </si>
  <si>
    <t>2027-2029</t>
  </si>
  <si>
    <t>2030-2032</t>
  </si>
  <si>
    <t>Demand CP4</t>
  </si>
  <si>
    <t>Demand CP5</t>
  </si>
  <si>
    <t>Demand CP6</t>
  </si>
  <si>
    <t>Granted Offsets</t>
  </si>
  <si>
    <t>CP</t>
  </si>
  <si>
    <t>Early action credits</t>
  </si>
  <si>
    <r>
      <t>Allowances made available for auction</t>
    </r>
    <r>
      <rPr>
        <sz val="11"/>
        <color theme="1"/>
        <rFont val="Calibri"/>
        <family val="2"/>
        <scheme val="minor"/>
      </rPr>
      <t xml:space="preserve"> Current &amp; EDU</t>
    </r>
  </si>
  <si>
    <r>
      <t>Allowances made available for auction</t>
    </r>
    <r>
      <rPr>
        <sz val="11"/>
        <color theme="1"/>
        <rFont val="Calibri"/>
        <family val="2"/>
        <scheme val="minor"/>
      </rPr>
      <t xml:space="preserve"> Advance</t>
    </r>
  </si>
  <si>
    <t>Supply of allowances</t>
  </si>
  <si>
    <r>
      <rPr>
        <sz val="11"/>
        <color rgb="FFFF0000"/>
        <rFont val="Calibri"/>
        <family val="2"/>
        <scheme val="minor"/>
      </rPr>
      <t>8%</t>
    </r>
    <r>
      <rPr>
        <sz val="11"/>
        <color theme="1"/>
        <rFont val="Calibri"/>
        <family val="2"/>
        <scheme val="minor"/>
      </rPr>
      <t>,</t>
    </r>
    <r>
      <rPr>
        <sz val="11"/>
        <color rgb="FF92D050"/>
        <rFont val="Calibri"/>
        <family val="2"/>
        <scheme val="minor"/>
      </rPr>
      <t>4%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6%</t>
    </r>
    <r>
      <rPr>
        <sz val="11"/>
        <color theme="1"/>
        <rFont val="Calibri"/>
        <family val="2"/>
        <scheme val="minor"/>
      </rPr>
      <t xml:space="preserve"> (CA) ; 8% (QC)</t>
    </r>
  </si>
  <si>
    <t>Mean allowance price</t>
  </si>
  <si>
    <t>Available supply</t>
  </si>
  <si>
    <r>
      <t xml:space="preserve">Allowances bought in auction               </t>
    </r>
    <r>
      <rPr>
        <sz val="11"/>
        <color theme="1"/>
        <rFont val="Calibri"/>
        <family val="2"/>
        <scheme val="minor"/>
      </rPr>
      <t>Current &amp; EDU</t>
    </r>
  </si>
  <si>
    <r>
      <t>Allowances bought in auction</t>
    </r>
    <r>
      <rPr>
        <sz val="11"/>
        <color theme="1"/>
        <rFont val="Calibri"/>
        <family val="2"/>
        <scheme val="minor"/>
      </rPr>
      <t xml:space="preserve">            Advance</t>
    </r>
  </si>
  <si>
    <t>Compliance Period Surplus</t>
  </si>
  <si>
    <t>Compliance period Supply</t>
  </si>
  <si>
    <t>Early reduction credits</t>
  </si>
  <si>
    <t>price</t>
  </si>
  <si>
    <t>Year</t>
  </si>
  <si>
    <t>Mean Price</t>
  </si>
  <si>
    <t>Compliance period mean price</t>
  </si>
  <si>
    <t>Cap + max offsets</t>
  </si>
  <si>
    <t>Supply of allowances (free allocation + auction)</t>
  </si>
  <si>
    <t>Surplus of available instruments</t>
  </si>
  <si>
    <t>Surrendered instruments</t>
  </si>
  <si>
    <t>Ratio of auction wrt cap</t>
  </si>
  <si>
    <t xml:space="preserve">mean: </t>
  </si>
  <si>
    <t>Ratio offsets wrt cap</t>
  </si>
  <si>
    <t>Allowances entering private accounts</t>
  </si>
  <si>
    <t>Supply of instruments</t>
  </si>
  <si>
    <t>Instruments entering private accounts</t>
  </si>
  <si>
    <t>Ratio entering allowances/supply</t>
  </si>
  <si>
    <t xml:space="preserve">mean entering rate: </t>
  </si>
  <si>
    <r>
      <t xml:space="preserve">"Lower bound"     </t>
    </r>
    <r>
      <rPr>
        <sz val="12"/>
        <color theme="1"/>
        <rFont val="Calibri"/>
        <family val="2"/>
        <scheme val="minor"/>
      </rPr>
      <t>= Allowance Cap</t>
    </r>
  </si>
  <si>
    <r>
      <t xml:space="preserve">"Upper bound"    </t>
    </r>
    <r>
      <rPr>
        <sz val="12"/>
        <color theme="1"/>
        <rFont val="Calibri"/>
        <family val="2"/>
        <scheme val="minor"/>
      </rPr>
      <t>= Cap + Offsets</t>
    </r>
  </si>
  <si>
    <t>Surplus</t>
  </si>
  <si>
    <t>Price</t>
  </si>
  <si>
    <t>Allowances T1</t>
  </si>
  <si>
    <t>Price T1</t>
  </si>
  <si>
    <t>Allowances T2</t>
  </si>
  <si>
    <t>Price T2</t>
  </si>
  <si>
    <t>Allowances T3</t>
  </si>
  <si>
    <t>Price T3</t>
  </si>
  <si>
    <t>Reserves</t>
  </si>
  <si>
    <t>Allowances in T1</t>
  </si>
  <si>
    <t>Allowances in T2</t>
  </si>
  <si>
    <t>Allowances in T3</t>
  </si>
  <si>
    <t>TOTAL</t>
  </si>
  <si>
    <t>Instruments supply</t>
  </si>
  <si>
    <t>Price Ceiling</t>
  </si>
  <si>
    <t>%Price change T1</t>
  </si>
  <si>
    <t>Mean:</t>
  </si>
  <si>
    <t xml:space="preserve">Inflation: </t>
  </si>
  <si>
    <t>Surrendered allowances</t>
  </si>
  <si>
    <t>Surrendered offsets</t>
  </si>
  <si>
    <t>Min Allowance price</t>
  </si>
  <si>
    <t>estimation FED</t>
  </si>
  <si>
    <t>Inflation</t>
  </si>
  <si>
    <t>Mean without Sweden</t>
  </si>
  <si>
    <t>Mean without long-term</t>
  </si>
  <si>
    <t>Auction number</t>
  </si>
  <si>
    <t>Reference year</t>
  </si>
  <si>
    <t>Quarter</t>
  </si>
  <si>
    <t>Minimum price</t>
  </si>
  <si>
    <t>Compliance Period min price</t>
  </si>
  <si>
    <t>CP4 quantity</t>
  </si>
  <si>
    <t>CP5 quantity</t>
  </si>
  <si>
    <t>CP6 quantity</t>
  </si>
  <si>
    <t>Equilibrium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</si>
</sst>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0\ _€_-;\-* #,##0.00\ _€_-;_-* &quot;-&quot;??\ _€_-;_-@_-"/>
    <numFmt numFmtId="167" formatCode="_-* #,##0.000000_-;\-* #,##0.000000_-;_-* &quot;-&quot;??_-;_-@_-"/>
    <numFmt numFmtId="168" formatCode="0.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92D050"/>
      </left>
      <right style="thin">
        <color rgb="FF92D05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rgb="FF00B0F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</cellStyleXfs>
  <cellXfs count="3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49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  <xf numFmtId="2" fontId="0" fillId="0" borderId="0" xfId="0" applyNumberFormat="1"/>
    <xf numFmtId="164" fontId="0" fillId="0" borderId="0" xfId="0" applyNumberFormat="1" applyFont="1"/>
    <xf numFmtId="0" fontId="0" fillId="0" borderId="0" xfId="0" applyFont="1" applyFill="1"/>
    <xf numFmtId="0" fontId="0" fillId="0" borderId="0" xfId="0" applyBorder="1"/>
    <xf numFmtId="3" fontId="8" fillId="0" borderId="0" xfId="0" applyNumberFormat="1" applyFont="1" applyBorder="1" applyAlignment="1">
      <alignment horizontal="center" vertical="center" wrapText="1"/>
    </xf>
    <xf numFmtId="3" fontId="8" fillId="0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Border="1"/>
    <xf numFmtId="0" fontId="7" fillId="0" borderId="0" xfId="2" applyAlignment="1">
      <alignment horizontal="right" wrapText="1"/>
    </xf>
    <xf numFmtId="0" fontId="0" fillId="0" borderId="0" xfId="0"/>
    <xf numFmtId="164" fontId="5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/>
    <xf numFmtId="1" fontId="0" fillId="0" borderId="0" xfId="0" applyNumberFormat="1" applyAlignment="1"/>
    <xf numFmtId="0" fontId="0" fillId="0" borderId="0" xfId="0" applyFill="1"/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0" fillId="5" borderId="0" xfId="5" applyNumberFormat="1" applyFont="1" applyFill="1" applyAlignment="1">
      <alignment horizontal="center" vertical="center"/>
    </xf>
    <xf numFmtId="165" fontId="0" fillId="5" borderId="1" xfId="5" applyNumberFormat="1" applyFont="1" applyFill="1" applyBorder="1" applyAlignment="1">
      <alignment horizontal="center" vertical="center"/>
    </xf>
    <xf numFmtId="165" fontId="0" fillId="3" borderId="1" xfId="5" applyNumberFormat="1" applyFont="1" applyFill="1" applyBorder="1" applyAlignment="1">
      <alignment horizontal="center" vertical="center"/>
    </xf>
    <xf numFmtId="165" fontId="1" fillId="5" borderId="1" xfId="5" applyNumberFormat="1" applyFont="1" applyFill="1" applyBorder="1" applyAlignment="1">
      <alignment horizontal="center" vertical="center"/>
    </xf>
    <xf numFmtId="165" fontId="0" fillId="5" borderId="1" xfId="5" applyNumberFormat="1" applyFont="1" applyFill="1" applyBorder="1"/>
    <xf numFmtId="165" fontId="0" fillId="3" borderId="1" xfId="5" applyNumberFormat="1" applyFont="1" applyFill="1" applyBorder="1"/>
    <xf numFmtId="165" fontId="1" fillId="2" borderId="1" xfId="5" applyNumberFormat="1" applyFont="1" applyFill="1" applyBorder="1" applyAlignment="1">
      <alignment horizontal="center" vertical="center"/>
    </xf>
    <xf numFmtId="165" fontId="1" fillId="6" borderId="1" xfId="5" applyNumberFormat="1" applyFont="1" applyFill="1" applyBorder="1" applyAlignment="1">
      <alignment horizontal="center" vertical="center"/>
    </xf>
    <xf numFmtId="0" fontId="7" fillId="0" borderId="0" xfId="2"/>
    <xf numFmtId="165" fontId="1" fillId="0" borderId="0" xfId="5" applyNumberFormat="1" applyFont="1" applyFill="1" applyBorder="1" applyAlignment="1">
      <alignment horizontal="center" vertical="center"/>
    </xf>
    <xf numFmtId="165" fontId="1" fillId="0" borderId="0" xfId="5" applyNumberFormat="1" applyFont="1" applyFill="1" applyBorder="1" applyAlignment="1">
      <alignment vertic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5" xfId="0" applyBorder="1"/>
    <xf numFmtId="1" fontId="0" fillId="0" borderId="1" xfId="0" applyNumberFormat="1" applyBorder="1" applyAlignment="1"/>
    <xf numFmtId="43" fontId="5" fillId="0" borderId="0" xfId="5" applyFont="1"/>
    <xf numFmtId="1" fontId="0" fillId="0" borderId="1" xfId="0" applyNumberFormat="1" applyBorder="1"/>
    <xf numFmtId="2" fontId="0" fillId="0" borderId="0" xfId="0" applyNumberFormat="1" applyBorder="1" applyAlignment="1"/>
    <xf numFmtId="0" fontId="0" fillId="0" borderId="0" xfId="0" applyAlignment="1">
      <alignment horizontal="right"/>
    </xf>
    <xf numFmtId="0" fontId="5" fillId="0" borderId="0" xfId="0" applyFont="1"/>
    <xf numFmtId="165" fontId="1" fillId="3" borderId="2" xfId="5" applyNumberFormat="1" applyFont="1" applyFill="1" applyBorder="1" applyAlignment="1">
      <alignment horizontal="center" vertical="center"/>
    </xf>
    <xf numFmtId="165" fontId="1" fillId="3" borderId="1" xfId="5" applyNumberFormat="1" applyFont="1" applyFill="1" applyBorder="1" applyAlignment="1">
      <alignment horizontal="center" vertical="center"/>
    </xf>
    <xf numFmtId="165" fontId="1" fillId="0" borderId="0" xfId="5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4" fillId="0" borderId="0" xfId="5" applyNumberFormat="1" applyFont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9" borderId="9" xfId="0" applyFont="1" applyFill="1" applyBorder="1" applyAlignment="1">
      <alignment horizontal="center" vertical="center"/>
    </xf>
    <xf numFmtId="165" fontId="0" fillId="9" borderId="1" xfId="5" applyNumberFormat="1" applyFont="1" applyFill="1" applyBorder="1" applyAlignment="1">
      <alignment horizontal="center" vertical="center"/>
    </xf>
    <xf numFmtId="165" fontId="0" fillId="9" borderId="1" xfId="5" applyNumberFormat="1" applyFont="1" applyFill="1" applyBorder="1"/>
    <xf numFmtId="0" fontId="1" fillId="9" borderId="9" xfId="0" applyFont="1" applyFill="1" applyBorder="1" applyAlignment="1">
      <alignment horizontal="center" vertical="center"/>
    </xf>
    <xf numFmtId="165" fontId="1" fillId="9" borderId="1" xfId="5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/>
    <xf numFmtId="0" fontId="0" fillId="9" borderId="1" xfId="0" applyFill="1" applyBorder="1"/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0" xfId="0" applyFont="1" applyFill="1"/>
    <xf numFmtId="0" fontId="5" fillId="0" borderId="0" xfId="0" applyFont="1" applyAlignment="1">
      <alignment horizontal="center" vertical="center"/>
    </xf>
    <xf numFmtId="165" fontId="1" fillId="0" borderId="0" xfId="0" applyNumberFormat="1" applyFont="1"/>
    <xf numFmtId="0" fontId="0" fillId="9" borderId="1" xfId="0" applyFont="1" applyFill="1" applyBorder="1"/>
    <xf numFmtId="0" fontId="1" fillId="3" borderId="1" xfId="0" applyFont="1" applyFill="1" applyBorder="1"/>
    <xf numFmtId="165" fontId="0" fillId="3" borderId="0" xfId="5" applyNumberFormat="1" applyFont="1" applyFill="1"/>
    <xf numFmtId="165" fontId="1" fillId="9" borderId="1" xfId="5" applyNumberFormat="1" applyFont="1" applyFill="1" applyBorder="1" applyAlignment="1">
      <alignment vertical="center"/>
    </xf>
    <xf numFmtId="165" fontId="1" fillId="3" borderId="1" xfId="5" applyNumberFormat="1" applyFont="1" applyFill="1" applyBorder="1" applyAlignment="1">
      <alignment vertical="center"/>
    </xf>
    <xf numFmtId="0" fontId="1" fillId="9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9" xfId="0" applyBorder="1" applyAlignment="1"/>
    <xf numFmtId="0" fontId="1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wrapText="1"/>
    </xf>
    <xf numFmtId="0" fontId="16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2" fontId="0" fillId="0" borderId="1" xfId="0" applyNumberFormat="1" applyBorder="1" applyAlignment="1"/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167" fontId="4" fillId="0" borderId="0" xfId="5" applyNumberFormat="1" applyFont="1" applyAlignment="1">
      <alignment horizontal="center"/>
    </xf>
    <xf numFmtId="3" fontId="6" fillId="0" borderId="0" xfId="0" applyNumberFormat="1" applyFont="1" applyBorder="1" applyAlignment="1"/>
    <xf numFmtId="3" fontId="0" fillId="0" borderId="0" xfId="0" applyNumberFormat="1" applyFont="1" applyFill="1" applyAlignment="1"/>
    <xf numFmtId="43" fontId="0" fillId="0" borderId="0" xfId="5" applyFont="1" applyFill="1" applyAlignment="1"/>
    <xf numFmtId="43" fontId="0" fillId="0" borderId="0" xfId="5" applyFont="1" applyAlignment="1"/>
    <xf numFmtId="9" fontId="0" fillId="0" borderId="0" xfId="1" applyFont="1" applyAlignment="1"/>
    <xf numFmtId="3" fontId="6" fillId="0" borderId="0" xfId="0" applyNumberFormat="1" applyFont="1" applyAlignment="1"/>
    <xf numFmtId="3" fontId="0" fillId="0" borderId="0" xfId="0" applyNumberFormat="1" applyFont="1" applyFill="1" applyBorder="1" applyAlignment="1">
      <alignment horizontal="right"/>
    </xf>
    <xf numFmtId="165" fontId="0" fillId="0" borderId="0" xfId="5" applyNumberFormat="1" applyFont="1" applyFill="1" applyBorder="1" applyAlignment="1">
      <alignment horizontal="center"/>
    </xf>
    <xf numFmtId="43" fontId="6" fillId="0" borderId="0" xfId="5" applyFont="1" applyAlignme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65" fontId="0" fillId="3" borderId="0" xfId="5" applyNumberFormat="1" applyFont="1" applyFill="1" applyAlignment="1">
      <alignment horizontal="center" vertical="center"/>
    </xf>
    <xf numFmtId="2" fontId="5" fillId="0" borderId="1" xfId="0" applyNumberFormat="1" applyFont="1" applyBorder="1" applyAlignme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" fillId="0" borderId="0" xfId="1" applyNumberFormat="1" applyFont="1"/>
    <xf numFmtId="164" fontId="0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right"/>
    </xf>
    <xf numFmtId="0" fontId="1" fillId="9" borderId="1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166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5" applyNumberFormat="1" applyFont="1"/>
    <xf numFmtId="0" fontId="0" fillId="0" borderId="2" xfId="0" applyBorder="1" applyAlignment="1"/>
    <xf numFmtId="0" fontId="0" fillId="0" borderId="2" xfId="0" applyFill="1" applyBorder="1" applyAlignment="1"/>
    <xf numFmtId="0" fontId="18" fillId="0" borderId="0" xfId="0" applyFont="1" applyAlignment="1">
      <alignment horizontal="center" wrapText="1"/>
    </xf>
    <xf numFmtId="168" fontId="0" fillId="0" borderId="0" xfId="0" applyNumberFormat="1" applyAlignment="1"/>
    <xf numFmtId="0" fontId="0" fillId="10" borderId="0" xfId="0" applyFill="1"/>
    <xf numFmtId="2" fontId="0" fillId="0" borderId="1" xfId="0" applyNumberFormat="1" applyBorder="1"/>
    <xf numFmtId="0" fontId="0" fillId="10" borderId="1" xfId="0" applyFill="1" applyBorder="1"/>
    <xf numFmtId="164" fontId="0" fillId="10" borderId="1" xfId="0" applyNumberFormat="1" applyFont="1" applyFill="1" applyBorder="1" applyAlignment="1"/>
    <xf numFmtId="1" fontId="0" fillId="10" borderId="1" xfId="0" applyNumberFormat="1" applyFill="1" applyBorder="1" applyAlignment="1"/>
    <xf numFmtId="1" fontId="0" fillId="10" borderId="1" xfId="0" applyNumberFormat="1" applyFill="1" applyBorder="1"/>
    <xf numFmtId="1" fontId="5" fillId="10" borderId="1" xfId="0" applyNumberFormat="1" applyFont="1" applyFill="1" applyBorder="1"/>
    <xf numFmtId="1" fontId="5" fillId="10" borderId="1" xfId="0" applyNumberFormat="1" applyFont="1" applyFill="1" applyBorder="1" applyAlignment="1"/>
    <xf numFmtId="2" fontId="0" fillId="10" borderId="1" xfId="0" applyNumberFormat="1" applyFill="1" applyBorder="1" applyAlignment="1"/>
    <xf numFmtId="2" fontId="5" fillId="10" borderId="1" xfId="0" applyNumberFormat="1" applyFont="1" applyFill="1" applyBorder="1" applyAlignment="1"/>
    <xf numFmtId="0" fontId="0" fillId="10" borderId="1" xfId="0" applyFill="1" applyBorder="1" applyAlignment="1"/>
    <xf numFmtId="1" fontId="0" fillId="0" borderId="1" xfId="0" applyNumberFormat="1" applyFill="1" applyBorder="1" applyAlignment="1"/>
    <xf numFmtId="164" fontId="0" fillId="0" borderId="1" xfId="0" applyNumberFormat="1" applyBorder="1" applyAlignment="1"/>
    <xf numFmtId="168" fontId="0" fillId="0" borderId="0" xfId="0" applyNumberFormat="1"/>
    <xf numFmtId="2" fontId="1" fillId="0" borderId="0" xfId="0" applyNumberFormat="1" applyFont="1"/>
    <xf numFmtId="43" fontId="0" fillId="0" borderId="0" xfId="0" applyNumberFormat="1" applyFont="1"/>
    <xf numFmtId="166" fontId="0" fillId="0" borderId="0" xfId="0" applyNumberFormat="1" applyAlignment="1">
      <alignment horizontal="center"/>
    </xf>
    <xf numFmtId="1" fontId="1" fillId="0" borderId="0" xfId="0" applyNumberFormat="1" applyFont="1"/>
    <xf numFmtId="0" fontId="0" fillId="9" borderId="1" xfId="0" applyFont="1" applyFill="1" applyBorder="1" applyAlignment="1">
      <alignment horizontal="center" vertical="center"/>
    </xf>
    <xf numFmtId="165" fontId="4" fillId="9" borderId="1" xfId="5" applyNumberFormat="1" applyFont="1" applyFill="1" applyBorder="1" applyAlignment="1">
      <alignment horizontal="center" vertical="center"/>
    </xf>
    <xf numFmtId="165" fontId="4" fillId="3" borderId="1" xfId="5" applyNumberFormat="1" applyFont="1" applyFill="1" applyBorder="1" applyAlignment="1">
      <alignment horizontal="center" vertical="center"/>
    </xf>
    <xf numFmtId="165" fontId="4" fillId="3" borderId="1" xfId="5" applyNumberFormat="1" applyFont="1" applyFill="1" applyBorder="1" applyAlignment="1">
      <alignment vertical="center"/>
    </xf>
    <xf numFmtId="165" fontId="4" fillId="3" borderId="1" xfId="5" applyNumberFormat="1" applyFont="1" applyFill="1" applyBorder="1"/>
    <xf numFmtId="0" fontId="0" fillId="3" borderId="1" xfId="0" applyFont="1" applyFill="1" applyBorder="1"/>
    <xf numFmtId="165" fontId="0" fillId="3" borderId="1" xfId="0" applyNumberFormat="1" applyFont="1" applyFill="1" applyBorder="1"/>
    <xf numFmtId="165" fontId="4" fillId="9" borderId="1" xfId="5" applyNumberFormat="1" applyFont="1" applyFill="1" applyBorder="1" applyAlignment="1">
      <alignment vertical="center"/>
    </xf>
    <xf numFmtId="165" fontId="4" fillId="9" borderId="1" xfId="5" applyNumberFormat="1" applyFont="1" applyFill="1" applyBorder="1"/>
    <xf numFmtId="165" fontId="0" fillId="9" borderId="1" xfId="0" applyNumberFormat="1" applyFont="1" applyFill="1" applyBorder="1"/>
    <xf numFmtId="165" fontId="4" fillId="0" borderId="0" xfId="5" applyNumberFormat="1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4" fillId="0" borderId="1" xfId="5" applyNumberFormat="1" applyFont="1" applyFill="1" applyBorder="1" applyAlignment="1">
      <alignment horizontal="center" vertical="center"/>
    </xf>
    <xf numFmtId="43" fontId="4" fillId="0" borderId="1" xfId="5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9" fontId="4" fillId="0" borderId="23" xfId="1" applyFont="1" applyFill="1" applyBorder="1" applyAlignment="1">
      <alignment horizontal="center" vertical="center"/>
    </xf>
    <xf numFmtId="165" fontId="4" fillId="0" borderId="23" xfId="5" applyNumberFormat="1" applyFont="1" applyFill="1" applyBorder="1" applyAlignment="1">
      <alignment vertical="center"/>
    </xf>
    <xf numFmtId="0" fontId="0" fillId="0" borderId="23" xfId="0" applyFont="1" applyFill="1" applyBorder="1"/>
    <xf numFmtId="0" fontId="0" fillId="0" borderId="6" xfId="0" applyBorder="1"/>
    <xf numFmtId="0" fontId="0" fillId="0" borderId="24" xfId="0" applyFont="1" applyFill="1" applyBorder="1" applyAlignment="1">
      <alignment horizontal="center" vertical="center" wrapText="1"/>
    </xf>
    <xf numFmtId="0" fontId="0" fillId="0" borderId="25" xfId="0" applyBorder="1"/>
    <xf numFmtId="0" fontId="0" fillId="0" borderId="26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7" xfId="0" applyFont="1" applyFill="1" applyBorder="1"/>
    <xf numFmtId="0" fontId="0" fillId="0" borderId="27" xfId="0" applyFont="1" applyFill="1" applyBorder="1" applyAlignment="1">
      <alignment horizontal="center" vertical="center"/>
    </xf>
    <xf numFmtId="165" fontId="4" fillId="0" borderId="27" xfId="5" applyNumberFormat="1" applyFont="1" applyFill="1" applyBorder="1" applyAlignment="1">
      <alignment vertical="center"/>
    </xf>
    <xf numFmtId="0" fontId="0" fillId="0" borderId="27" xfId="0" applyFont="1" applyFill="1" applyBorder="1"/>
    <xf numFmtId="0" fontId="0" fillId="0" borderId="8" xfId="0" applyBorder="1"/>
    <xf numFmtId="0" fontId="1" fillId="9" borderId="0" xfId="0" applyFont="1" applyFill="1"/>
    <xf numFmtId="165" fontId="10" fillId="3" borderId="1" xfId="5" applyNumberFormat="1" applyFont="1" applyFill="1" applyBorder="1" applyAlignment="1">
      <alignment horizontal="center" vertical="center"/>
    </xf>
    <xf numFmtId="165" fontId="10" fillId="3" borderId="1" xfId="5" applyNumberFormat="1" applyFont="1" applyFill="1" applyBorder="1" applyAlignment="1">
      <alignment vertical="center"/>
    </xf>
    <xf numFmtId="165" fontId="10" fillId="2" borderId="1" xfId="5" applyNumberFormat="1" applyFont="1" applyFill="1" applyBorder="1" applyAlignment="1">
      <alignment horizontal="center" vertical="center"/>
    </xf>
    <xf numFmtId="165" fontId="10" fillId="6" borderId="1" xfId="5" applyNumberFormat="1" applyFont="1" applyFill="1" applyBorder="1" applyAlignment="1">
      <alignment horizontal="center" vertical="center"/>
    </xf>
    <xf numFmtId="43" fontId="10" fillId="3" borderId="1" xfId="5" applyFont="1" applyFill="1" applyBorder="1" applyAlignment="1">
      <alignment horizontal="center" vertical="center"/>
    </xf>
    <xf numFmtId="165" fontId="19" fillId="3" borderId="1" xfId="5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165" fontId="1" fillId="9" borderId="2" xfId="5" applyNumberFormat="1" applyFont="1" applyFill="1" applyBorder="1" applyAlignment="1">
      <alignment horizontal="center" vertical="center"/>
    </xf>
    <xf numFmtId="165" fontId="10" fillId="9" borderId="2" xfId="5" applyNumberFormat="1" applyFont="1" applyFill="1" applyBorder="1"/>
    <xf numFmtId="165" fontId="10" fillId="9" borderId="2" xfId="5" applyNumberFormat="1" applyFont="1" applyFill="1" applyBorder="1" applyAlignment="1">
      <alignment horizontal="center" vertical="center"/>
    </xf>
    <xf numFmtId="165" fontId="10" fillId="9" borderId="2" xfId="0" applyNumberFormat="1" applyFont="1" applyFill="1" applyBorder="1"/>
    <xf numFmtId="0" fontId="1" fillId="3" borderId="24" xfId="0" applyFont="1" applyFill="1" applyBorder="1" applyAlignment="1">
      <alignment horizontal="center" vertical="center"/>
    </xf>
    <xf numFmtId="165" fontId="10" fillId="3" borderId="28" xfId="5" applyNumberFormat="1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11" borderId="30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165" fontId="1" fillId="8" borderId="30" xfId="0" applyNumberFormat="1" applyFont="1" applyFill="1" applyBorder="1" applyAlignment="1">
      <alignment horizontal="center" vertical="center"/>
    </xf>
    <xf numFmtId="165" fontId="10" fillId="8" borderId="30" xfId="0" applyNumberFormat="1" applyFont="1" applyFill="1" applyBorder="1" applyAlignment="1">
      <alignment horizontal="center" vertical="center"/>
    </xf>
    <xf numFmtId="0" fontId="10" fillId="8" borderId="30" xfId="0" applyFont="1" applyFill="1" applyBorder="1" applyAlignment="1">
      <alignment horizontal="center" vertical="center"/>
    </xf>
    <xf numFmtId="0" fontId="10" fillId="8" borderId="3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/>
    <xf numFmtId="0" fontId="0" fillId="10" borderId="5" xfId="0" applyFill="1" applyBorder="1"/>
    <xf numFmtId="0" fontId="0" fillId="10" borderId="23" xfId="0" applyFill="1" applyBorder="1"/>
    <xf numFmtId="165" fontId="0" fillId="10" borderId="23" xfId="5" applyNumberFormat="1" applyFont="1" applyFill="1" applyBorder="1"/>
    <xf numFmtId="0" fontId="0" fillId="10" borderId="6" xfId="0" applyFill="1" applyBorder="1"/>
    <xf numFmtId="165" fontId="0" fillId="0" borderId="26" xfId="5" applyNumberFormat="1" applyFont="1" applyBorder="1"/>
    <xf numFmtId="43" fontId="0" fillId="0" borderId="0" xfId="5" applyFont="1" applyBorder="1"/>
    <xf numFmtId="165" fontId="0" fillId="0" borderId="0" xfId="5" applyNumberFormat="1" applyFont="1" applyBorder="1"/>
    <xf numFmtId="43" fontId="0" fillId="0" borderId="25" xfId="5" applyFont="1" applyBorder="1"/>
    <xf numFmtId="2" fontId="0" fillId="0" borderId="25" xfId="0" applyNumberFormat="1" applyBorder="1"/>
    <xf numFmtId="165" fontId="0" fillId="0" borderId="0" xfId="0" applyNumberFormat="1"/>
    <xf numFmtId="165" fontId="0" fillId="0" borderId="7" xfId="5" applyNumberFormat="1" applyFont="1" applyBorder="1"/>
    <xf numFmtId="2" fontId="0" fillId="0" borderId="27" xfId="0" applyNumberFormat="1" applyBorder="1"/>
    <xf numFmtId="0" fontId="0" fillId="0" borderId="27" xfId="0" applyBorder="1"/>
    <xf numFmtId="0" fontId="0" fillId="12" borderId="0" xfId="0" applyFill="1"/>
    <xf numFmtId="165" fontId="0" fillId="0" borderId="25" xfId="5" applyNumberFormat="1" applyFont="1" applyBorder="1"/>
    <xf numFmtId="43" fontId="0" fillId="0" borderId="27" xfId="5" applyFont="1" applyBorder="1"/>
    <xf numFmtId="165" fontId="0" fillId="0" borderId="27" xfId="5" applyNumberFormat="1" applyFont="1" applyBorder="1"/>
    <xf numFmtId="165" fontId="0" fillId="0" borderId="8" xfId="5" applyNumberFormat="1" applyFont="1" applyBorder="1"/>
    <xf numFmtId="2" fontId="0" fillId="0" borderId="1" xfId="0" applyNumberFormat="1" applyFill="1" applyBorder="1" applyAlignment="1"/>
    <xf numFmtId="2" fontId="0" fillId="0" borderId="1" xfId="0" applyNumberFormat="1" applyFill="1" applyBorder="1"/>
    <xf numFmtId="2" fontId="5" fillId="0" borderId="0" xfId="0" applyNumberFormat="1" applyFont="1"/>
    <xf numFmtId="0" fontId="6" fillId="10" borderId="1" xfId="0" applyFont="1" applyFill="1" applyBorder="1" applyAlignment="1"/>
    <xf numFmtId="2" fontId="5" fillId="0" borderId="1" xfId="0" applyNumberFormat="1" applyFont="1" applyFill="1" applyBorder="1" applyAlignment="1"/>
    <xf numFmtId="3" fontId="6" fillId="0" borderId="1" xfId="0" applyNumberFormat="1" applyFont="1" applyFill="1" applyBorder="1"/>
    <xf numFmtId="0" fontId="5" fillId="0" borderId="1" xfId="0" applyFont="1" applyFill="1" applyBorder="1" applyAlignment="1"/>
    <xf numFmtId="166" fontId="5" fillId="0" borderId="1" xfId="0" applyNumberFormat="1" applyFont="1" applyFill="1" applyBorder="1" applyAlignment="1"/>
    <xf numFmtId="0" fontId="0" fillId="0" borderId="0" xfId="0" applyAlignment="1">
      <alignment horizontal="left"/>
    </xf>
    <xf numFmtId="165" fontId="19" fillId="2" borderId="1" xfId="5" applyNumberFormat="1" applyFont="1" applyFill="1" applyBorder="1" applyAlignment="1">
      <alignment horizontal="center" vertical="center"/>
    </xf>
    <xf numFmtId="165" fontId="19" fillId="8" borderId="30" xfId="5" applyNumberFormat="1" applyFont="1" applyFill="1" applyBorder="1" applyAlignment="1">
      <alignment horizontal="center" vertical="center"/>
    </xf>
    <xf numFmtId="10" fontId="0" fillId="0" borderId="0" xfId="1" applyNumberFormat="1" applyFont="1"/>
    <xf numFmtId="3" fontId="0" fillId="9" borderId="1" xfId="0" applyNumberFormat="1" applyFill="1" applyBorder="1"/>
    <xf numFmtId="3" fontId="0" fillId="3" borderId="0" xfId="0" applyNumberFormat="1" applyFill="1"/>
    <xf numFmtId="0" fontId="6" fillId="0" borderId="0" xfId="0" applyFont="1"/>
    <xf numFmtId="166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1" fillId="8" borderId="16" xfId="0" applyNumberFormat="1" applyFont="1" applyFill="1" applyBorder="1" applyAlignment="1">
      <alignment horizontal="center" vertical="center"/>
    </xf>
    <xf numFmtId="165" fontId="1" fillId="8" borderId="17" xfId="0" applyNumberFormat="1" applyFont="1" applyFill="1" applyBorder="1" applyAlignment="1">
      <alignment horizontal="center" vertical="center"/>
    </xf>
    <xf numFmtId="165" fontId="10" fillId="8" borderId="16" xfId="0" applyNumberFormat="1" applyFont="1" applyFill="1" applyBorder="1" applyAlignment="1">
      <alignment horizontal="center" vertical="center"/>
    </xf>
    <xf numFmtId="165" fontId="10" fillId="8" borderId="18" xfId="0" applyNumberFormat="1" applyFont="1" applyFill="1" applyBorder="1" applyAlignment="1">
      <alignment horizontal="center" vertical="center"/>
    </xf>
    <xf numFmtId="165" fontId="10" fillId="8" borderId="17" xfId="0" applyNumberFormat="1" applyFont="1" applyFill="1" applyBorder="1" applyAlignment="1">
      <alignment horizontal="center" vertical="center"/>
    </xf>
    <xf numFmtId="165" fontId="1" fillId="8" borderId="1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4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6">
    <cellStyle name="Lien hypertexte" xfId="2" builtinId="8"/>
    <cellStyle name="Milliers" xfId="5" builtinId="3"/>
    <cellStyle name="Normal" xfId="0" builtinId="0"/>
    <cellStyle name="Normal 10" xfId="3" xr:uid="{CCBDD2AB-33F9-4F96-AB8F-279FB8D15D11}"/>
    <cellStyle name="Normal 23" xfId="4" xr:uid="{64A791E0-D58D-4C0F-B510-03EE6A9EB6F5}"/>
    <cellStyle name="Pourcentage" xfId="1" builtinId="5"/>
  </cellStyles>
  <dxfs count="0"/>
  <tableStyles count="0" defaultTableStyle="TableStyleMedium2" defaultPivotStyle="PivotStyleLight16"/>
  <colors>
    <mruColors>
      <color rgb="FF69EB41"/>
      <color rgb="FFF941FD"/>
      <color rgb="FF696911"/>
      <color rgb="FF29BE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59769798718089"/>
          <c:y val="4.439124492709319E-2"/>
          <c:w val="0.78878238828890168"/>
          <c:h val="0.62790865465131263"/>
        </c:manualLayout>
      </c:layout>
      <c:scatterChart>
        <c:scatterStyle val="lineMarker"/>
        <c:varyColors val="0"/>
        <c:ser>
          <c:idx val="3"/>
          <c:order val="0"/>
          <c:tx>
            <c:strRef>
              <c:f>'Graph all CP'!$G$23</c:f>
              <c:strCache>
                <c:ptCount val="1"/>
                <c:pt idx="0">
                  <c:v>Demand CP4</c:v>
                </c:pt>
              </c:strCache>
            </c:strRef>
          </c:tx>
          <c:spPr>
            <a:ln w="381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'Graph all CP'!$C$24:$C$44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'Graph all CP'!$G$24:$G$44</c:f>
              <c:numCache>
                <c:formatCode>0.00</c:formatCode>
                <c:ptCount val="21"/>
                <c:pt idx="0">
                  <c:v>1052.4055190886522</c:v>
                </c:pt>
                <c:pt idx="1">
                  <c:v>1048.3055190886521</c:v>
                </c:pt>
                <c:pt idx="2">
                  <c:v>1044.2055190886522</c:v>
                </c:pt>
                <c:pt idx="3">
                  <c:v>1040.105519088652</c:v>
                </c:pt>
                <c:pt idx="4">
                  <c:v>1036.0055190886521</c:v>
                </c:pt>
                <c:pt idx="5">
                  <c:v>1031.9055190886522</c:v>
                </c:pt>
                <c:pt idx="6">
                  <c:v>1027.8055190886521</c:v>
                </c:pt>
                <c:pt idx="7">
                  <c:v>1023.7055190886522</c:v>
                </c:pt>
                <c:pt idx="8">
                  <c:v>1019.6055190886522</c:v>
                </c:pt>
                <c:pt idx="9">
                  <c:v>1015.5055190886521</c:v>
                </c:pt>
                <c:pt idx="10">
                  <c:v>1011.4055190886521</c:v>
                </c:pt>
                <c:pt idx="11">
                  <c:v>1007.3055190886521</c:v>
                </c:pt>
                <c:pt idx="12">
                  <c:v>1003.2055190886522</c:v>
                </c:pt>
                <c:pt idx="13">
                  <c:v>999.10551908865216</c:v>
                </c:pt>
                <c:pt idx="14">
                  <c:v>995.00551908865214</c:v>
                </c:pt>
                <c:pt idx="15">
                  <c:v>990.90551908865211</c:v>
                </c:pt>
                <c:pt idx="16">
                  <c:v>986.80551908865209</c:v>
                </c:pt>
                <c:pt idx="17">
                  <c:v>982.70551908865218</c:v>
                </c:pt>
                <c:pt idx="18">
                  <c:v>978.60551908865216</c:v>
                </c:pt>
                <c:pt idx="19">
                  <c:v>974.50551908865214</c:v>
                </c:pt>
                <c:pt idx="20">
                  <c:v>970.40551908865211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B1-48A9-8F7C-4C2DD5A279DB}"/>
            </c:ext>
          </c:extLst>
        </c:ser>
        <c:ser>
          <c:idx val="4"/>
          <c:order val="1"/>
          <c:tx>
            <c:strRef>
              <c:f>'Graph all CP'!$H$23</c:f>
              <c:strCache>
                <c:ptCount val="1"/>
                <c:pt idx="0">
                  <c:v>Demand CP5</c:v>
                </c:pt>
              </c:strCache>
              <c:extLst xmlns:c15="http://schemas.microsoft.com/office/drawing/2012/chart"/>
            </c:strRef>
          </c:tx>
          <c:spPr>
            <a:ln w="38100" cap="rnd">
              <a:solidFill>
                <a:srgbClr val="F941FD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'Graph all CP'!$C$24:$C$44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'Graph all CP'!$H$24:$H$44</c:f>
              <c:numCache>
                <c:formatCode>0.00</c:formatCode>
                <c:ptCount val="21"/>
                <c:pt idx="0">
                  <c:v>976.20142891898433</c:v>
                </c:pt>
                <c:pt idx="1">
                  <c:v>972.10142891898431</c:v>
                </c:pt>
                <c:pt idx="2">
                  <c:v>968.0014289189844</c:v>
                </c:pt>
                <c:pt idx="3">
                  <c:v>963.90142891898438</c:v>
                </c:pt>
                <c:pt idx="4">
                  <c:v>959.80142891898436</c:v>
                </c:pt>
                <c:pt idx="5">
                  <c:v>955.70142891898433</c:v>
                </c:pt>
                <c:pt idx="6">
                  <c:v>951.60142891898431</c:v>
                </c:pt>
                <c:pt idx="7">
                  <c:v>947.5014289189844</c:v>
                </c:pt>
                <c:pt idx="8">
                  <c:v>943.40142891898438</c:v>
                </c:pt>
                <c:pt idx="9">
                  <c:v>939.30142891898436</c:v>
                </c:pt>
                <c:pt idx="10">
                  <c:v>935.20142891898433</c:v>
                </c:pt>
                <c:pt idx="11">
                  <c:v>931.10142891898431</c:v>
                </c:pt>
                <c:pt idx="12">
                  <c:v>927.0014289189844</c:v>
                </c:pt>
                <c:pt idx="13">
                  <c:v>922.90142891898438</c:v>
                </c:pt>
                <c:pt idx="14">
                  <c:v>918.80142891898436</c:v>
                </c:pt>
                <c:pt idx="15">
                  <c:v>914.70142891898433</c:v>
                </c:pt>
                <c:pt idx="16">
                  <c:v>910.60142891898431</c:v>
                </c:pt>
                <c:pt idx="17">
                  <c:v>906.50142891898429</c:v>
                </c:pt>
                <c:pt idx="18">
                  <c:v>902.40142891898438</c:v>
                </c:pt>
                <c:pt idx="19">
                  <c:v>898.30142891898436</c:v>
                </c:pt>
                <c:pt idx="20">
                  <c:v>894.20142891898433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D6B1-48A9-8F7C-4C2DD5A279DB}"/>
            </c:ext>
          </c:extLst>
        </c:ser>
        <c:ser>
          <c:idx val="5"/>
          <c:order val="2"/>
          <c:tx>
            <c:strRef>
              <c:f>'Graph all CP'!$I$23</c:f>
              <c:strCache>
                <c:ptCount val="1"/>
                <c:pt idx="0">
                  <c:v>Demand CP6</c:v>
                </c:pt>
              </c:strCache>
              <c:extLst xmlns:c15="http://schemas.microsoft.com/office/drawing/2012/chart"/>
            </c:strRef>
          </c:tx>
          <c:spPr>
            <a:ln w="38100" cap="rnd">
              <a:solidFill>
                <a:srgbClr val="69EB4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'Graph all CP'!$C$24:$C$44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'Graph all CP'!$I$24:$I$44</c:f>
              <c:numCache>
                <c:formatCode>0.00</c:formatCode>
                <c:ptCount val="21"/>
                <c:pt idx="0">
                  <c:v>900.79587076278665</c:v>
                </c:pt>
                <c:pt idx="1">
                  <c:v>896.69587076278663</c:v>
                </c:pt>
                <c:pt idx="2">
                  <c:v>892.5958707627866</c:v>
                </c:pt>
                <c:pt idx="3">
                  <c:v>888.49587076278658</c:v>
                </c:pt>
                <c:pt idx="4">
                  <c:v>884.39587076278656</c:v>
                </c:pt>
                <c:pt idx="5">
                  <c:v>880.29587076278665</c:v>
                </c:pt>
                <c:pt idx="6">
                  <c:v>876.19587076278663</c:v>
                </c:pt>
                <c:pt idx="7">
                  <c:v>872.0958707627866</c:v>
                </c:pt>
                <c:pt idx="8">
                  <c:v>867.99587076278658</c:v>
                </c:pt>
                <c:pt idx="9">
                  <c:v>863.89587076278656</c:v>
                </c:pt>
                <c:pt idx="10">
                  <c:v>859.79587076278665</c:v>
                </c:pt>
                <c:pt idx="11">
                  <c:v>855.69587076278663</c:v>
                </c:pt>
                <c:pt idx="12">
                  <c:v>851.5958707627866</c:v>
                </c:pt>
                <c:pt idx="13">
                  <c:v>847.49587076278658</c:v>
                </c:pt>
                <c:pt idx="14">
                  <c:v>843.39587076278656</c:v>
                </c:pt>
                <c:pt idx="15">
                  <c:v>839.29587076278665</c:v>
                </c:pt>
                <c:pt idx="16">
                  <c:v>835.19587076278663</c:v>
                </c:pt>
                <c:pt idx="17">
                  <c:v>831.0958707627866</c:v>
                </c:pt>
                <c:pt idx="18">
                  <c:v>826.99587076278658</c:v>
                </c:pt>
                <c:pt idx="19">
                  <c:v>822.89587076278656</c:v>
                </c:pt>
                <c:pt idx="20">
                  <c:v>818.79587076278665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D6B1-48A9-8F7C-4C2DD5A279DB}"/>
            </c:ext>
          </c:extLst>
        </c:ser>
        <c:ser>
          <c:idx val="9"/>
          <c:order val="3"/>
          <c:tx>
            <c:v>Supply CP4</c:v>
          </c:tx>
          <c:spPr>
            <a:ln w="381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CP'!$G$53:$G$54</c:f>
              <c:numCache>
                <c:formatCode>0.00</c:formatCode>
                <c:ptCount val="2"/>
                <c:pt idx="0">
                  <c:v>19.873333333333331</c:v>
                </c:pt>
                <c:pt idx="1">
                  <c:v>46.456666666666671</c:v>
                </c:pt>
              </c:numCache>
            </c:numRef>
          </c:xVal>
          <c:yVal>
            <c:numRef>
              <c:f>'Graph all CP'!$H$53:$H$54</c:f>
              <c:numCache>
                <c:formatCode>0</c:formatCode>
                <c:ptCount val="2"/>
                <c:pt idx="0">
                  <c:v>1422.3400183702058</c:v>
                </c:pt>
                <c:pt idx="1">
                  <c:v>1422.3400183702058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6B1-48A9-8F7C-4C2DD5A279DB}"/>
            </c:ext>
          </c:extLst>
        </c:ser>
        <c:ser>
          <c:idx val="10"/>
          <c:order val="4"/>
          <c:tx>
            <c:v>Supply CP5</c:v>
          </c:tx>
          <c:spPr>
            <a:ln w="38100" cap="rnd">
              <a:solidFill>
                <a:srgbClr val="F941FD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CP'!$I$53:$I$54</c:f>
              <c:numCache>
                <c:formatCode>0.00</c:formatCode>
                <c:ptCount val="2"/>
                <c:pt idx="0">
                  <c:v>25.905256120333338</c:v>
                </c:pt>
                <c:pt idx="1">
                  <c:v>53.582955511521561</c:v>
                </c:pt>
              </c:numCache>
            </c:numRef>
          </c:xVal>
          <c:yVal>
            <c:numRef>
              <c:f>'Graph all CP'!$J$53:$J$54</c:f>
              <c:numCache>
                <c:formatCode>0</c:formatCode>
                <c:ptCount val="2"/>
                <c:pt idx="0">
                  <c:v>1374.0582790335679</c:v>
                </c:pt>
                <c:pt idx="1">
                  <c:v>1374.0582790335679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D6B1-48A9-8F7C-4C2DD5A279DB}"/>
            </c:ext>
          </c:extLst>
        </c:ser>
        <c:ser>
          <c:idx val="11"/>
          <c:order val="5"/>
          <c:tx>
            <c:v>Supply CP6</c:v>
          </c:tx>
          <c:spPr>
            <a:ln w="38100" cap="rnd">
              <a:solidFill>
                <a:srgbClr val="69EB41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CP'!$K$53:$K$54</c:f>
              <c:numCache>
                <c:formatCode>0.00</c:formatCode>
                <c:ptCount val="2"/>
                <c:pt idx="0">
                  <c:v>31.872110827731518</c:v>
                </c:pt>
                <c:pt idx="1">
                  <c:v>56.170845403624007</c:v>
                </c:pt>
              </c:numCache>
            </c:numRef>
          </c:xVal>
          <c:yVal>
            <c:numRef>
              <c:f>'Graph all CP'!$L$53:$L$54</c:f>
              <c:numCache>
                <c:formatCode>0</c:formatCode>
                <c:ptCount val="2"/>
                <c:pt idx="0">
                  <c:v>1215.4587363005655</c:v>
                </c:pt>
                <c:pt idx="1">
                  <c:v>1215.4587363005655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D6B1-48A9-8F7C-4C2DD5A279DB}"/>
            </c:ext>
          </c:extLst>
        </c:ser>
        <c:ser>
          <c:idx val="30"/>
          <c:order val="6"/>
          <c:tx>
            <c:v>cap 4 T1</c:v>
          </c:tx>
          <c:spPr>
            <a:ln w="381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CP'!$G$55:$G$56</c:f>
              <c:numCache>
                <c:formatCode>0.00</c:formatCode>
                <c:ptCount val="2"/>
                <c:pt idx="0">
                  <c:v>46.456666666666671</c:v>
                </c:pt>
                <c:pt idx="1">
                  <c:v>59.693333333333328</c:v>
                </c:pt>
              </c:numCache>
            </c:numRef>
          </c:xVal>
          <c:yVal>
            <c:numRef>
              <c:f>'Graph all CP'!$H$55:$H$56</c:f>
              <c:numCache>
                <c:formatCode>0.00</c:formatCode>
                <c:ptCount val="2"/>
                <c:pt idx="0">
                  <c:v>1489.1510183702057</c:v>
                </c:pt>
                <c:pt idx="1">
                  <c:v>1489.1510183702057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6D7-4503-B101-531C83622876}"/>
            </c:ext>
          </c:extLst>
        </c:ser>
        <c:ser>
          <c:idx val="31"/>
          <c:order val="7"/>
          <c:tx>
            <c:v>cap 4 T2</c:v>
          </c:tx>
          <c:spPr>
            <a:ln w="381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CP'!$G$57:$G$58</c:f>
              <c:numCache>
                <c:formatCode>0.00</c:formatCode>
                <c:ptCount val="2"/>
                <c:pt idx="0">
                  <c:v>59.693333333333328</c:v>
                </c:pt>
                <c:pt idx="1">
                  <c:v>77.046146666666672</c:v>
                </c:pt>
              </c:numCache>
            </c:numRef>
          </c:xVal>
          <c:yVal>
            <c:numRef>
              <c:f>'Graph all CP'!$H$57:$H$58</c:f>
              <c:numCache>
                <c:formatCode>0.00</c:formatCode>
                <c:ptCount val="2"/>
                <c:pt idx="0">
                  <c:v>1578.6880183702058</c:v>
                </c:pt>
                <c:pt idx="1">
                  <c:v>1578.6880183702058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6D7-4503-B101-531C83622876}"/>
            </c:ext>
          </c:extLst>
        </c:ser>
        <c:ser>
          <c:idx val="32"/>
          <c:order val="8"/>
          <c:tx>
            <c:v>cap 4 T1 bar</c:v>
          </c:tx>
          <c:spPr>
            <a:ln w="381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CP'!$G$54:$G$55</c:f>
              <c:numCache>
                <c:formatCode>0.00</c:formatCode>
                <c:ptCount val="2"/>
                <c:pt idx="0">
                  <c:v>46.456666666666671</c:v>
                </c:pt>
                <c:pt idx="1">
                  <c:v>46.456666666666671</c:v>
                </c:pt>
              </c:numCache>
            </c:numRef>
          </c:xVal>
          <c:yVal>
            <c:numRef>
              <c:f>'Graph all CP'!$H$54:$H$55</c:f>
              <c:numCache>
                <c:formatCode>0.00</c:formatCode>
                <c:ptCount val="2"/>
                <c:pt idx="0" formatCode="0">
                  <c:v>1422.3400183702058</c:v>
                </c:pt>
                <c:pt idx="1">
                  <c:v>1489.1510183702057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6D7-4503-B101-531C83622876}"/>
            </c:ext>
          </c:extLst>
        </c:ser>
        <c:ser>
          <c:idx val="33"/>
          <c:order val="9"/>
          <c:tx>
            <c:v>cap 4 T2 bar</c:v>
          </c:tx>
          <c:spPr>
            <a:ln w="381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CP'!$G$56:$G$57</c:f>
              <c:numCache>
                <c:formatCode>0.00</c:formatCode>
                <c:ptCount val="2"/>
                <c:pt idx="0">
                  <c:v>59.693333333333328</c:v>
                </c:pt>
                <c:pt idx="1">
                  <c:v>59.693333333333328</c:v>
                </c:pt>
              </c:numCache>
            </c:numRef>
          </c:xVal>
          <c:yVal>
            <c:numRef>
              <c:f>'Graph all CP'!$H$56:$H$57</c:f>
              <c:numCache>
                <c:formatCode>0.00</c:formatCode>
                <c:ptCount val="2"/>
                <c:pt idx="0">
                  <c:v>1489.1510183702057</c:v>
                </c:pt>
                <c:pt idx="1">
                  <c:v>1578.6880183702058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6D7-4503-B101-531C83622876}"/>
            </c:ext>
          </c:extLst>
        </c:ser>
        <c:ser>
          <c:idx val="34"/>
          <c:order val="10"/>
          <c:tx>
            <c:v>cap 5 T1</c:v>
          </c:tx>
          <c:spPr>
            <a:ln w="38100" cap="rnd">
              <a:solidFill>
                <a:srgbClr val="F941FD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CP'!$I$55:$I$56</c:f>
              <c:numCache>
                <c:formatCode>0.00</c:formatCode>
                <c:ptCount val="2"/>
                <c:pt idx="0">
                  <c:v>53.582955511521561</c:v>
                </c:pt>
                <c:pt idx="1">
                  <c:v>68.846667222141818</c:v>
                </c:pt>
              </c:numCache>
            </c:numRef>
          </c:xVal>
          <c:yVal>
            <c:numRef>
              <c:f>'Graph all CP'!$J$55:$J$56</c:f>
              <c:numCache>
                <c:formatCode>0.00</c:formatCode>
                <c:ptCount val="2"/>
                <c:pt idx="0">
                  <c:v>1440.8692790335679</c:v>
                </c:pt>
                <c:pt idx="1">
                  <c:v>1440.8692790335679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6D7-4503-B101-531C83622876}"/>
            </c:ext>
          </c:extLst>
        </c:ser>
        <c:ser>
          <c:idx val="35"/>
          <c:order val="11"/>
          <c:tx>
            <c:v>cap 5 T2</c:v>
          </c:tx>
          <c:spPr>
            <a:ln w="38100" cap="rnd">
              <a:solidFill>
                <a:srgbClr val="F941FD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CP'!$I$57:$I$58</c:f>
              <c:numCache>
                <c:formatCode>0.00</c:formatCode>
                <c:ptCount val="2"/>
                <c:pt idx="0">
                  <c:v>68.846667222141818</c:v>
                </c:pt>
                <c:pt idx="1">
                  <c:v>107.73384453004508</c:v>
                </c:pt>
              </c:numCache>
            </c:numRef>
          </c:xVal>
          <c:yVal>
            <c:numRef>
              <c:f>'Graph all CP'!$J$57:$J$58</c:f>
              <c:numCache>
                <c:formatCode>0.00</c:formatCode>
                <c:ptCount val="2"/>
                <c:pt idx="0">
                  <c:v>1530.4062790335679</c:v>
                </c:pt>
                <c:pt idx="1">
                  <c:v>1530.4062790335679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6D7-4503-B101-531C83622876}"/>
            </c:ext>
          </c:extLst>
        </c:ser>
        <c:ser>
          <c:idx val="36"/>
          <c:order val="12"/>
          <c:tx>
            <c:v>cap 5 T1 bar</c:v>
          </c:tx>
          <c:spPr>
            <a:ln w="38100" cap="rnd">
              <a:solidFill>
                <a:srgbClr val="F941FD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CP'!$I$54:$I$55</c:f>
              <c:numCache>
                <c:formatCode>0.00</c:formatCode>
                <c:ptCount val="2"/>
                <c:pt idx="0">
                  <c:v>53.582955511521561</c:v>
                </c:pt>
                <c:pt idx="1">
                  <c:v>53.582955511521561</c:v>
                </c:pt>
              </c:numCache>
            </c:numRef>
          </c:xVal>
          <c:yVal>
            <c:numRef>
              <c:f>'Graph all CP'!$J$54:$J$55</c:f>
              <c:numCache>
                <c:formatCode>0.00</c:formatCode>
                <c:ptCount val="2"/>
                <c:pt idx="0" formatCode="0">
                  <c:v>1374.0582790335679</c:v>
                </c:pt>
                <c:pt idx="1">
                  <c:v>1440.8692790335679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6D7-4503-B101-531C83622876}"/>
            </c:ext>
          </c:extLst>
        </c:ser>
        <c:ser>
          <c:idx val="37"/>
          <c:order val="13"/>
          <c:tx>
            <c:v>cap 5 t2 bar</c:v>
          </c:tx>
          <c:spPr>
            <a:ln w="38100" cap="rnd">
              <a:solidFill>
                <a:srgbClr val="F941FD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CP'!$I$56:$I$57</c:f>
              <c:numCache>
                <c:formatCode>0.00</c:formatCode>
                <c:ptCount val="2"/>
                <c:pt idx="0">
                  <c:v>68.846667222141818</c:v>
                </c:pt>
                <c:pt idx="1">
                  <c:v>68.846667222141818</c:v>
                </c:pt>
              </c:numCache>
            </c:numRef>
          </c:xVal>
          <c:yVal>
            <c:numRef>
              <c:f>'Graph all CP'!$J$56:$J$57</c:f>
              <c:numCache>
                <c:formatCode>0.00</c:formatCode>
                <c:ptCount val="2"/>
                <c:pt idx="0">
                  <c:v>1440.8692790335679</c:v>
                </c:pt>
                <c:pt idx="1">
                  <c:v>1530.4062790335679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6D7-4503-B101-531C83622876}"/>
            </c:ext>
          </c:extLst>
        </c:ser>
        <c:ser>
          <c:idx val="38"/>
          <c:order val="14"/>
          <c:tx>
            <c:v>cap 6 T1</c:v>
          </c:tx>
          <c:spPr>
            <a:ln w="38100" cap="rnd">
              <a:solidFill>
                <a:srgbClr val="69EB41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CP'!$K$55:$K$56</c:f>
              <c:numCache>
                <c:formatCode>0.00</c:formatCode>
                <c:ptCount val="2"/>
                <c:pt idx="0">
                  <c:v>56.170845403624007</c:v>
                </c:pt>
                <c:pt idx="1">
                  <c:v>72.17174685816174</c:v>
                </c:pt>
              </c:numCache>
            </c:numRef>
          </c:xVal>
          <c:yVal>
            <c:numRef>
              <c:f>'Graph all CP'!$L$55:$L$56</c:f>
              <c:numCache>
                <c:formatCode>0.00</c:formatCode>
                <c:ptCount val="2"/>
                <c:pt idx="0">
                  <c:v>1282.2697363005655</c:v>
                </c:pt>
                <c:pt idx="1">
                  <c:v>1282.2697363005655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F6D7-4503-B101-531C83622876}"/>
            </c:ext>
          </c:extLst>
        </c:ser>
        <c:ser>
          <c:idx val="39"/>
          <c:order val="15"/>
          <c:tx>
            <c:v>cap 6 T2</c:v>
          </c:tx>
          <c:spPr>
            <a:ln w="38100" cap="rnd">
              <a:solidFill>
                <a:srgbClr val="69EB41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CP'!$K$57:$K$58</c:f>
              <c:numCache>
                <c:formatCode>0.00</c:formatCode>
                <c:ptCount val="2"/>
                <c:pt idx="0">
                  <c:v>72.17174685816174</c:v>
                </c:pt>
                <c:pt idx="1">
                  <c:v>132.09346972004059</c:v>
                </c:pt>
              </c:numCache>
            </c:numRef>
          </c:xVal>
          <c:yVal>
            <c:numRef>
              <c:f>'Graph all CP'!$L$57:$L$58</c:f>
              <c:numCache>
                <c:formatCode>0.00</c:formatCode>
                <c:ptCount val="2"/>
                <c:pt idx="0">
                  <c:v>1371.8067363005655</c:v>
                </c:pt>
                <c:pt idx="1">
                  <c:v>1371.8067363005655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F6D7-4503-B101-531C83622876}"/>
            </c:ext>
          </c:extLst>
        </c:ser>
        <c:ser>
          <c:idx val="40"/>
          <c:order val="16"/>
          <c:tx>
            <c:v>cap 6 T1 bar</c:v>
          </c:tx>
          <c:spPr>
            <a:ln w="38100" cap="rnd">
              <a:solidFill>
                <a:srgbClr val="69EB41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CP'!$K$54:$K$55</c:f>
              <c:numCache>
                <c:formatCode>0.00</c:formatCode>
                <c:ptCount val="2"/>
                <c:pt idx="0">
                  <c:v>56.170845403624007</c:v>
                </c:pt>
                <c:pt idx="1">
                  <c:v>56.170845403624007</c:v>
                </c:pt>
              </c:numCache>
            </c:numRef>
          </c:xVal>
          <c:yVal>
            <c:numRef>
              <c:f>'Graph all CP'!$L$54:$L$55</c:f>
              <c:numCache>
                <c:formatCode>0.00</c:formatCode>
                <c:ptCount val="2"/>
                <c:pt idx="0" formatCode="0">
                  <c:v>1215.4587363005655</c:v>
                </c:pt>
                <c:pt idx="1">
                  <c:v>1282.2697363005655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F6D7-4503-B101-531C83622876}"/>
            </c:ext>
          </c:extLst>
        </c:ser>
        <c:ser>
          <c:idx val="41"/>
          <c:order val="17"/>
          <c:tx>
            <c:v>cap 6 T2 bar</c:v>
          </c:tx>
          <c:spPr>
            <a:ln w="38100" cap="rnd">
              <a:solidFill>
                <a:srgbClr val="69EB41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CP'!$K$56:$K$57</c:f>
              <c:numCache>
                <c:formatCode>0.00</c:formatCode>
                <c:ptCount val="2"/>
                <c:pt idx="0">
                  <c:v>72.17174685816174</c:v>
                </c:pt>
                <c:pt idx="1">
                  <c:v>72.17174685816174</c:v>
                </c:pt>
              </c:numCache>
            </c:numRef>
          </c:xVal>
          <c:yVal>
            <c:numRef>
              <c:f>'Graph all CP'!$L$56:$L$57</c:f>
              <c:numCache>
                <c:formatCode>0.00</c:formatCode>
                <c:ptCount val="2"/>
                <c:pt idx="0">
                  <c:v>1282.2697363005655</c:v>
                </c:pt>
                <c:pt idx="1">
                  <c:v>1371.8067363005655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F6D7-4503-B101-531C83622876}"/>
            </c:ext>
          </c:extLst>
        </c:ser>
        <c:ser>
          <c:idx val="45"/>
          <c:order val="18"/>
          <c:tx>
            <c:v>cap 4 ceiling</c:v>
          </c:tx>
          <c:spPr>
            <a:ln w="381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CP'!$G$58:$G$59</c:f>
              <c:numCache>
                <c:formatCode>0.00</c:formatCode>
                <c:ptCount val="2"/>
                <c:pt idx="0">
                  <c:v>77.046146666666672</c:v>
                </c:pt>
                <c:pt idx="1">
                  <c:v>77.046146666666672</c:v>
                </c:pt>
              </c:numCache>
            </c:numRef>
          </c:xVal>
          <c:yVal>
            <c:numRef>
              <c:f>'Graph all CP'!$H$58:$H$59</c:f>
              <c:numCache>
                <c:formatCode>General</c:formatCode>
                <c:ptCount val="2"/>
                <c:pt idx="0" formatCode="0.00">
                  <c:v>1578.6880183702058</c:v>
                </c:pt>
                <c:pt idx="1">
                  <c:v>1700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0-4604-9C82-C691C308CC5A}"/>
            </c:ext>
          </c:extLst>
        </c:ser>
        <c:ser>
          <c:idx val="46"/>
          <c:order val="19"/>
          <c:tx>
            <c:v>cap 5 ceiling</c:v>
          </c:tx>
          <c:spPr>
            <a:ln w="38100" cap="rnd">
              <a:solidFill>
                <a:srgbClr val="F941FD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CP'!$I$58:$I$59</c:f>
              <c:numCache>
                <c:formatCode>0.00</c:formatCode>
                <c:ptCount val="2"/>
                <c:pt idx="0">
                  <c:v>107.73384453004508</c:v>
                </c:pt>
                <c:pt idx="1">
                  <c:v>107.73384453004508</c:v>
                </c:pt>
              </c:numCache>
            </c:numRef>
          </c:xVal>
          <c:yVal>
            <c:numRef>
              <c:f>'Graph all CP'!$J$58:$J$59</c:f>
              <c:numCache>
                <c:formatCode>General</c:formatCode>
                <c:ptCount val="2"/>
                <c:pt idx="0" formatCode="0.00">
                  <c:v>1530.4062790335679</c:v>
                </c:pt>
                <c:pt idx="1">
                  <c:v>1700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F0-4604-9C82-C691C308CC5A}"/>
            </c:ext>
          </c:extLst>
        </c:ser>
        <c:ser>
          <c:idx val="47"/>
          <c:order val="20"/>
          <c:tx>
            <c:v>cap 6 ceiling</c:v>
          </c:tx>
          <c:spPr>
            <a:ln w="38100" cap="rnd">
              <a:solidFill>
                <a:srgbClr val="69EB41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CP'!$K$58:$K$59</c:f>
              <c:numCache>
                <c:formatCode>0.00</c:formatCode>
                <c:ptCount val="2"/>
                <c:pt idx="0">
                  <c:v>132.09346972004059</c:v>
                </c:pt>
                <c:pt idx="1">
                  <c:v>132.09346972004059</c:v>
                </c:pt>
              </c:numCache>
            </c:numRef>
          </c:xVal>
          <c:yVal>
            <c:numRef>
              <c:f>'Graph all CP'!$L$58:$L$59</c:f>
              <c:numCache>
                <c:formatCode>General</c:formatCode>
                <c:ptCount val="2"/>
                <c:pt idx="0" formatCode="0.00">
                  <c:v>1371.8067363005655</c:v>
                </c:pt>
                <c:pt idx="1">
                  <c:v>1700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F0-4604-9C82-C691C308CC5A}"/>
            </c:ext>
          </c:extLst>
        </c:ser>
        <c:ser>
          <c:idx val="0"/>
          <c:order val="21"/>
          <c:tx>
            <c:v>min CP4</c:v>
          </c:tx>
          <c:spPr>
            <a:ln w="381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CP'!$G$52:$G$53</c:f>
              <c:numCache>
                <c:formatCode>0.00</c:formatCode>
                <c:ptCount val="2"/>
                <c:pt idx="0">
                  <c:v>19.873333333333331</c:v>
                </c:pt>
                <c:pt idx="1">
                  <c:v>19.873333333333331</c:v>
                </c:pt>
              </c:numCache>
            </c:numRef>
          </c:xVal>
          <c:yVal>
            <c:numRef>
              <c:f>'Graph all CP'!$H$52:$H$53</c:f>
              <c:numCache>
                <c:formatCode>0</c:formatCode>
                <c:ptCount val="2"/>
                <c:pt idx="0" formatCode="General">
                  <c:v>250</c:v>
                </c:pt>
                <c:pt idx="1">
                  <c:v>1422.3400183702058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65-4A9E-89B1-BA65DF2C5E72}"/>
            </c:ext>
          </c:extLst>
        </c:ser>
        <c:ser>
          <c:idx val="1"/>
          <c:order val="22"/>
          <c:tx>
            <c:v>min CP5</c:v>
          </c:tx>
          <c:spPr>
            <a:ln w="38100" cap="rnd">
              <a:solidFill>
                <a:srgbClr val="F941FD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CP'!$I$52:$I$53</c:f>
              <c:numCache>
                <c:formatCode>0.00</c:formatCode>
                <c:ptCount val="2"/>
                <c:pt idx="0">
                  <c:v>25.905256120333338</c:v>
                </c:pt>
                <c:pt idx="1">
                  <c:v>25.905256120333338</c:v>
                </c:pt>
              </c:numCache>
            </c:numRef>
          </c:xVal>
          <c:yVal>
            <c:numRef>
              <c:f>'Graph all CP'!$J$52:$J$53</c:f>
              <c:numCache>
                <c:formatCode>0</c:formatCode>
                <c:ptCount val="2"/>
                <c:pt idx="0" formatCode="General">
                  <c:v>250</c:v>
                </c:pt>
                <c:pt idx="1">
                  <c:v>1374.0582790335679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65-4A9E-89B1-BA65DF2C5E72}"/>
            </c:ext>
          </c:extLst>
        </c:ser>
        <c:ser>
          <c:idx val="2"/>
          <c:order val="23"/>
          <c:tx>
            <c:v>min CP6</c:v>
          </c:tx>
          <c:spPr>
            <a:ln w="38100" cap="rnd">
              <a:solidFill>
                <a:srgbClr val="69EB41"/>
              </a:solidFill>
              <a:round/>
            </a:ln>
            <a:effectLst/>
          </c:spPr>
          <c:marker>
            <c:symbol val="none"/>
          </c:marker>
          <c:xVal>
            <c:numRef>
              <c:f>'Graph all CP'!$K$52:$K$53</c:f>
              <c:numCache>
                <c:formatCode>0.00</c:formatCode>
                <c:ptCount val="2"/>
                <c:pt idx="0">
                  <c:v>31.872110827731518</c:v>
                </c:pt>
                <c:pt idx="1">
                  <c:v>31.872110827731518</c:v>
                </c:pt>
              </c:numCache>
            </c:numRef>
          </c:xVal>
          <c:yVal>
            <c:numRef>
              <c:f>'Graph all CP'!$L$52:$L$53</c:f>
              <c:numCache>
                <c:formatCode>0</c:formatCode>
                <c:ptCount val="2"/>
                <c:pt idx="0" formatCode="General">
                  <c:v>250</c:v>
                </c:pt>
                <c:pt idx="1">
                  <c:v>1215.4587363005655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65-4A9E-89B1-BA65DF2C5E72}"/>
            </c:ext>
          </c:extLst>
        </c:ser>
        <c:ser>
          <c:idx val="6"/>
          <c:order val="24"/>
          <c:tx>
            <c:v>Equilibriums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'Graph all CP'!$F$65</c:f>
              <c:numCache>
                <c:formatCode>0.00</c:formatCode>
                <c:ptCount val="1"/>
                <c:pt idx="0">
                  <c:v>19.873333333333331</c:v>
                </c:pt>
              </c:numCache>
            </c:numRef>
          </c:xVal>
          <c:yVal>
            <c:numRef>
              <c:f>'Graph all CP'!$G$65</c:f>
              <c:numCache>
                <c:formatCode>General</c:formatCode>
                <c:ptCount val="1"/>
                <c:pt idx="0">
                  <c:v>1044.2574524219854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5-42E9-8CDF-87DD09D77116}"/>
            </c:ext>
          </c:extLst>
        </c:ser>
        <c:ser>
          <c:idx val="7"/>
          <c:order val="25"/>
          <c:tx>
            <c:v>eq 5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'Graph all CP'!$F$66</c:f>
              <c:numCache>
                <c:formatCode>0.00</c:formatCode>
                <c:ptCount val="1"/>
                <c:pt idx="0">
                  <c:v>25.905256120333338</c:v>
                </c:pt>
              </c:numCache>
            </c:numRef>
          </c:xVal>
          <c:yVal>
            <c:numRef>
              <c:f>'Graph all CP'!$H$66</c:f>
              <c:numCache>
                <c:formatCode>_-* #\,##0.00\ _€_-;\-* #\,##0.00\ _€_-;_-* "-"??\ _€_-;_-@_-</c:formatCode>
                <c:ptCount val="1"/>
                <c:pt idx="0">
                  <c:v>965.58027390964764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D5-42E9-8CDF-87DD09D77116}"/>
            </c:ext>
          </c:extLst>
        </c:ser>
        <c:ser>
          <c:idx val="8"/>
          <c:order val="26"/>
          <c:tx>
            <c:v>eq 6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'Graph all CP'!$F$67</c:f>
              <c:numCache>
                <c:formatCode>0.00</c:formatCode>
                <c:ptCount val="1"/>
                <c:pt idx="0">
                  <c:v>31.872110827731518</c:v>
                </c:pt>
              </c:numCache>
            </c:numRef>
          </c:xVal>
          <c:yVal>
            <c:numRef>
              <c:f>'Graph all CP'!$I$67</c:f>
              <c:numCache>
                <c:formatCode>_-* #\,##0.00\ _€_-;\-* #\,##0.00\ _€_-;_-* "-"??\ _€_-;_-@_-</c:formatCode>
                <c:ptCount val="1"/>
                <c:pt idx="0">
                  <c:v>887.72830532341675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D5-42E9-8CDF-87DD09D77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446592"/>
        <c:axId val="864446920"/>
      </c:scatterChart>
      <c:valAx>
        <c:axId val="864446592"/>
        <c:scaling>
          <c:orientation val="minMax"/>
          <c:max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3200"/>
                  <a:t>Price (US$/tonne)</a:t>
                </a:r>
                <a:endParaRPr lang="fr-FR" sz="3200" baseline="0"/>
              </a:p>
            </c:rich>
          </c:tx>
          <c:layout>
            <c:manualLayout>
              <c:xMode val="edge"/>
              <c:yMode val="edge"/>
              <c:x val="0.42297453857242667"/>
              <c:y val="0.769747573133847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4446920"/>
        <c:crosses val="autoZero"/>
        <c:crossBetween val="midCat"/>
      </c:valAx>
      <c:valAx>
        <c:axId val="864446920"/>
        <c:scaling>
          <c:orientation val="minMax"/>
          <c:max val="1700"/>
          <c:min val="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3200"/>
                  <a:t>Emissions (Mt CO2-eq.)</a:t>
                </a:r>
              </a:p>
            </c:rich>
          </c:tx>
          <c:layout>
            <c:manualLayout>
              <c:xMode val="edge"/>
              <c:yMode val="edge"/>
              <c:x val="2.8089961495814351E-2"/>
              <c:y val="0.174623040352305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444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16757228428449675"/>
          <c:y val="0.85056802698268574"/>
          <c:w val="0.79437384905533803"/>
          <c:h val="0.100467416682680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451260</xdr:colOff>
      <xdr:row>9</xdr:row>
      <xdr:rowOff>22195</xdr:rowOff>
    </xdr:from>
    <xdr:to>
      <xdr:col>27</xdr:col>
      <xdr:colOff>318732</xdr:colOff>
      <xdr:row>62</xdr:row>
      <xdr:rowOff>61885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249A41E-FA01-4C50-BAD6-8DE3EFD27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F098-6BAE-4AAE-84FE-6F252A94217C}">
  <dimension ref="A1:T26"/>
  <sheetViews>
    <sheetView zoomScale="70" zoomScaleNormal="70" workbookViewId="0"/>
  </sheetViews>
  <sheetFormatPr baseColWidth="10" defaultRowHeight="14.5" x14ac:dyDescent="0.35"/>
  <cols>
    <col min="1" max="1" width="10.81640625" style="31"/>
    <col min="2" max="2" width="23.453125" customWidth="1"/>
    <col min="3" max="3" width="17.81640625" customWidth="1"/>
    <col min="4" max="4" width="23.453125" customWidth="1"/>
    <col min="5" max="6" width="21.1796875" style="22" customWidth="1"/>
    <col min="7" max="7" width="27.54296875" customWidth="1"/>
    <col min="8" max="8" width="27.81640625" customWidth="1"/>
    <col min="9" max="9" width="31.1796875" customWidth="1"/>
    <col min="10" max="10" width="15.1796875" customWidth="1"/>
    <col min="11" max="11" width="22.453125" customWidth="1"/>
    <col min="12" max="12" width="55" customWidth="1"/>
    <col min="13" max="13" width="49.1796875" customWidth="1"/>
    <col min="14" max="14" width="17.7265625" customWidth="1"/>
  </cols>
  <sheetData>
    <row r="1" spans="1:20" x14ac:dyDescent="0.35">
      <c r="B1" t="s">
        <v>0</v>
      </c>
    </row>
    <row r="3" spans="1:20" s="31" customFormat="1" x14ac:dyDescent="0.35">
      <c r="B3" s="16"/>
      <c r="E3" s="22"/>
      <c r="F3" s="22"/>
    </row>
    <row r="4" spans="1:20" ht="30" customHeight="1" x14ac:dyDescent="0.35">
      <c r="A4" s="31" t="s">
        <v>97</v>
      </c>
      <c r="B4" s="25" t="s">
        <v>117</v>
      </c>
      <c r="C4" s="25" t="s">
        <v>63</v>
      </c>
      <c r="D4" s="25" t="s">
        <v>64</v>
      </c>
      <c r="E4" s="25" t="s">
        <v>67</v>
      </c>
      <c r="F4" s="25"/>
      <c r="G4" s="25"/>
      <c r="H4" s="25"/>
      <c r="I4" s="25"/>
    </row>
    <row r="5" spans="1:20" ht="28.5" customHeight="1" x14ac:dyDescent="0.35">
      <c r="A5" s="87">
        <v>1</v>
      </c>
      <c r="B5" s="136" t="s">
        <v>65</v>
      </c>
      <c r="C5" s="127">
        <v>291181202</v>
      </c>
      <c r="D5" s="128">
        <v>36664703</v>
      </c>
      <c r="E5" s="129">
        <f>SUM(C5:D5)</f>
        <v>327845905</v>
      </c>
      <c r="F5" s="129"/>
      <c r="G5" s="130"/>
      <c r="H5" s="131"/>
      <c r="K5" s="152"/>
    </row>
    <row r="6" spans="1:20" ht="27.65" customHeight="1" x14ac:dyDescent="0.35">
      <c r="A6" s="87">
        <v>2</v>
      </c>
      <c r="B6" s="136" t="s">
        <v>66</v>
      </c>
      <c r="C6" s="132">
        <v>981442093</v>
      </c>
      <c r="D6" s="133">
        <v>176145518</v>
      </c>
      <c r="E6" s="129">
        <f>SUM(C6:D6)</f>
        <v>1157587611</v>
      </c>
      <c r="F6" s="129"/>
      <c r="G6" s="130"/>
      <c r="H6" s="131"/>
      <c r="J6" s="26"/>
      <c r="K6" s="152"/>
      <c r="L6" s="26"/>
      <c r="M6" s="26"/>
      <c r="N6" s="26"/>
      <c r="O6" s="26"/>
      <c r="P6" s="26"/>
      <c r="Q6" s="26"/>
      <c r="R6" s="26"/>
    </row>
    <row r="7" spans="1:20" ht="28" customHeight="1" x14ac:dyDescent="0.35">
      <c r="A7" s="87">
        <v>3</v>
      </c>
      <c r="B7" s="136" t="s">
        <v>68</v>
      </c>
      <c r="C7" s="134">
        <v>912241974</v>
      </c>
      <c r="D7" s="134">
        <v>178178587</v>
      </c>
      <c r="E7" s="135">
        <f>C7+D7</f>
        <v>1090420561</v>
      </c>
      <c r="F7" s="135"/>
      <c r="G7" s="158"/>
      <c r="H7" s="158"/>
      <c r="J7" s="27"/>
      <c r="K7" s="152"/>
      <c r="L7" s="27"/>
      <c r="M7" s="27"/>
      <c r="N7" s="27"/>
      <c r="O7" s="27"/>
      <c r="P7" s="28"/>
      <c r="Q7" s="28"/>
      <c r="R7" s="28"/>
    </row>
    <row r="8" spans="1:20" ht="29.5" customHeight="1" x14ac:dyDescent="0.35">
      <c r="A8" s="87">
        <v>4</v>
      </c>
      <c r="B8" s="136" t="s">
        <v>89</v>
      </c>
      <c r="C8" s="147">
        <v>883385365.70708203</v>
      </c>
      <c r="D8" s="78">
        <v>158766252.30749601</v>
      </c>
      <c r="E8" s="74">
        <f>C8+D8</f>
        <v>1042151618.0145781</v>
      </c>
      <c r="F8" s="74"/>
      <c r="G8" s="158"/>
      <c r="H8" s="172"/>
      <c r="I8" s="31"/>
      <c r="J8" s="26"/>
      <c r="K8" s="152"/>
      <c r="L8" s="29"/>
      <c r="M8" s="26"/>
      <c r="N8" s="26"/>
      <c r="O8" s="29"/>
      <c r="P8" s="26"/>
      <c r="Q8" s="26"/>
      <c r="R8" s="26"/>
    </row>
    <row r="9" spans="1:20" ht="29.15" customHeight="1" x14ac:dyDescent="0.35">
      <c r="A9" s="87">
        <v>5</v>
      </c>
      <c r="B9" s="137" t="s">
        <v>90</v>
      </c>
      <c r="C9" s="147">
        <v>811029727.47502899</v>
      </c>
      <c r="D9" s="148">
        <v>153900029.89850101</v>
      </c>
      <c r="E9" s="74">
        <f t="shared" ref="E9:E10" si="0">C9+D9</f>
        <v>964929757.37353003</v>
      </c>
      <c r="F9" s="74"/>
      <c r="G9" s="158"/>
      <c r="H9" s="172"/>
      <c r="I9" s="31"/>
      <c r="J9" s="26"/>
      <c r="K9" s="152"/>
      <c r="L9" s="26"/>
      <c r="M9" s="26"/>
      <c r="N9" s="26"/>
      <c r="O9" s="26"/>
      <c r="P9" s="26"/>
      <c r="Q9" s="26"/>
      <c r="R9" s="26"/>
    </row>
    <row r="10" spans="1:20" ht="29.15" customHeight="1" x14ac:dyDescent="0.35">
      <c r="A10" s="87">
        <v>6</v>
      </c>
      <c r="B10" s="136" t="s">
        <v>91</v>
      </c>
      <c r="C10" s="147">
        <v>738674089.24297702</v>
      </c>
      <c r="D10" s="78">
        <v>149033807.48950699</v>
      </c>
      <c r="E10" s="74">
        <f t="shared" si="0"/>
        <v>887707896.73248398</v>
      </c>
      <c r="F10" s="74"/>
      <c r="G10" s="158"/>
      <c r="H10" s="172"/>
      <c r="I10" s="31"/>
      <c r="K10" s="152"/>
    </row>
    <row r="11" spans="1:20" ht="29.5" customHeight="1" x14ac:dyDescent="0.35">
      <c r="A11" s="87">
        <v>7</v>
      </c>
      <c r="B11" s="136" t="s">
        <v>92</v>
      </c>
      <c r="E11" s="24"/>
      <c r="F11" s="24"/>
      <c r="G11" s="19"/>
      <c r="I11" s="18"/>
      <c r="K11" s="152"/>
      <c r="M11" s="152"/>
    </row>
    <row r="12" spans="1:20" x14ac:dyDescent="0.35">
      <c r="B12" s="25"/>
      <c r="E12" s="174"/>
      <c r="F12" s="146"/>
      <c r="G12" s="86"/>
      <c r="I12" s="18"/>
    </row>
    <row r="13" spans="1:20" x14ac:dyDescent="0.35">
      <c r="B13" s="25"/>
      <c r="C13" s="20"/>
      <c r="D13" s="21"/>
      <c r="E13" s="24"/>
      <c r="F13" s="24"/>
      <c r="G13" s="19"/>
    </row>
    <row r="14" spans="1:20" x14ac:dyDescent="0.35">
      <c r="C14" s="20"/>
      <c r="D14" s="22"/>
      <c r="F14" s="32"/>
      <c r="G14" s="19"/>
    </row>
    <row r="15" spans="1:20" x14ac:dyDescent="0.35">
      <c r="C15" s="20"/>
      <c r="D15" s="21"/>
      <c r="E15" s="24"/>
      <c r="F15" s="24"/>
      <c r="G15" s="19"/>
    </row>
    <row r="16" spans="1:20" x14ac:dyDescent="0.35">
      <c r="C16" s="20"/>
      <c r="D16" s="22"/>
      <c r="E16" s="24"/>
      <c r="F16" s="24"/>
      <c r="G16" s="175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7" x14ac:dyDescent="0.35">
      <c r="C17" s="20"/>
      <c r="D17" s="21"/>
      <c r="E17" s="24"/>
      <c r="F17" s="24"/>
      <c r="G17" s="152"/>
    </row>
    <row r="18" spans="1:7" x14ac:dyDescent="0.35">
      <c r="C18" s="20"/>
      <c r="D18" s="22"/>
      <c r="E18" s="24"/>
      <c r="F18" s="24"/>
    </row>
    <row r="19" spans="1:7" x14ac:dyDescent="0.35">
      <c r="A19" s="16"/>
      <c r="B19" s="30"/>
      <c r="C19" s="30"/>
      <c r="D19" s="21"/>
      <c r="E19" s="24"/>
      <c r="F19" s="24"/>
    </row>
    <row r="20" spans="1:7" x14ac:dyDescent="0.35">
      <c r="A20"/>
      <c r="B20" s="33"/>
      <c r="C20" s="22"/>
      <c r="D20" s="22"/>
      <c r="E20" s="24"/>
      <c r="F20" s="24"/>
    </row>
    <row r="21" spans="1:7" x14ac:dyDescent="0.35">
      <c r="C21" s="20"/>
      <c r="D21" s="21"/>
      <c r="E21" s="24"/>
      <c r="F21" s="24"/>
    </row>
    <row r="22" spans="1:7" x14ac:dyDescent="0.35">
      <c r="C22" s="20"/>
      <c r="D22" s="22"/>
      <c r="E22" s="24"/>
      <c r="F22" s="24"/>
    </row>
    <row r="23" spans="1:7" x14ac:dyDescent="0.35">
      <c r="C23" s="20"/>
      <c r="D23" s="21"/>
      <c r="E23" s="24"/>
      <c r="F23" s="24"/>
    </row>
    <row r="24" spans="1:7" x14ac:dyDescent="0.35">
      <c r="C24" s="20"/>
      <c r="D24" s="22"/>
      <c r="E24" s="24"/>
      <c r="F24" s="24"/>
    </row>
    <row r="25" spans="1:7" x14ac:dyDescent="0.35">
      <c r="C25" s="20"/>
      <c r="D25" s="21"/>
      <c r="E25" s="24"/>
      <c r="F25" s="24"/>
    </row>
    <row r="26" spans="1:7" x14ac:dyDescent="0.35">
      <c r="C26" s="20"/>
      <c r="D26" s="22"/>
      <c r="E26" s="24"/>
      <c r="F26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1298-7509-4FC1-A4BA-04A88B743A58}">
  <dimension ref="A1:G40"/>
  <sheetViews>
    <sheetView workbookViewId="0"/>
  </sheetViews>
  <sheetFormatPr baseColWidth="10" defaultRowHeight="14.5" x14ac:dyDescent="0.35"/>
  <cols>
    <col min="3" max="3" width="17.54296875" customWidth="1"/>
    <col min="5" max="5" width="26.7265625" customWidth="1"/>
    <col min="7" max="7" width="45.54296875" customWidth="1"/>
  </cols>
  <sheetData>
    <row r="1" spans="1:7" x14ac:dyDescent="0.35">
      <c r="A1" t="s">
        <v>76</v>
      </c>
    </row>
    <row r="3" spans="1:7" x14ac:dyDescent="0.35">
      <c r="C3" s="1" t="s">
        <v>1</v>
      </c>
      <c r="D3" s="1" t="s">
        <v>2</v>
      </c>
      <c r="E3" s="1" t="s">
        <v>3</v>
      </c>
      <c r="F3" s="2" t="s">
        <v>4</v>
      </c>
      <c r="G3" s="1" t="s">
        <v>5</v>
      </c>
    </row>
    <row r="4" spans="1:7" x14ac:dyDescent="0.35">
      <c r="C4" s="3" t="s">
        <v>6</v>
      </c>
      <c r="D4" s="3">
        <v>2019</v>
      </c>
      <c r="E4" s="3"/>
      <c r="F4" s="4">
        <v>-0.11</v>
      </c>
      <c r="G4" s="3" t="s">
        <v>7</v>
      </c>
    </row>
    <row r="5" spans="1:7" x14ac:dyDescent="0.35">
      <c r="C5" s="266" t="s">
        <v>8</v>
      </c>
      <c r="D5" s="267">
        <v>1990</v>
      </c>
      <c r="E5" s="5" t="s">
        <v>9</v>
      </c>
      <c r="F5" s="6" t="s">
        <v>10</v>
      </c>
      <c r="G5" s="266" t="s">
        <v>11</v>
      </c>
    </row>
    <row r="6" spans="1:7" x14ac:dyDescent="0.35">
      <c r="C6" s="266"/>
      <c r="D6" s="267"/>
      <c r="E6" s="5" t="s">
        <v>12</v>
      </c>
      <c r="F6" s="4">
        <v>-0.7</v>
      </c>
      <c r="G6" s="266"/>
    </row>
    <row r="7" spans="1:7" x14ac:dyDescent="0.35">
      <c r="C7" s="266"/>
      <c r="D7" s="267"/>
      <c r="E7" s="5" t="s">
        <v>13</v>
      </c>
      <c r="F7" s="4">
        <v>-0.52</v>
      </c>
      <c r="G7" s="266"/>
    </row>
    <row r="8" spans="1:7" x14ac:dyDescent="0.35">
      <c r="C8" s="266" t="s">
        <v>14</v>
      </c>
      <c r="D8" s="267">
        <v>2004</v>
      </c>
      <c r="E8" s="5" t="s">
        <v>15</v>
      </c>
      <c r="F8" s="7">
        <v>-1.18</v>
      </c>
      <c r="G8" s="266" t="s">
        <v>16</v>
      </c>
    </row>
    <row r="9" spans="1:7" x14ac:dyDescent="0.35">
      <c r="C9" s="266"/>
      <c r="D9" s="267"/>
      <c r="E9" s="5" t="s">
        <v>17</v>
      </c>
      <c r="F9" s="7">
        <v>-0.65</v>
      </c>
      <c r="G9" s="266"/>
    </row>
    <row r="10" spans="1:7" x14ac:dyDescent="0.35">
      <c r="C10" s="266"/>
      <c r="D10" s="267"/>
      <c r="E10" s="5" t="s">
        <v>18</v>
      </c>
      <c r="F10" s="7">
        <v>-1.3</v>
      </c>
      <c r="G10" s="266"/>
    </row>
    <row r="11" spans="1:7" x14ac:dyDescent="0.35">
      <c r="C11" s="3" t="s">
        <v>19</v>
      </c>
      <c r="D11" s="3">
        <v>2017</v>
      </c>
      <c r="E11" s="3"/>
      <c r="F11" s="4">
        <v>-0.51</v>
      </c>
      <c r="G11" s="3" t="s">
        <v>20</v>
      </c>
    </row>
    <row r="12" spans="1:7" x14ac:dyDescent="0.35">
      <c r="C12" s="266" t="s">
        <v>21</v>
      </c>
      <c r="D12" s="267">
        <v>1991</v>
      </c>
      <c r="E12" s="5" t="s">
        <v>22</v>
      </c>
      <c r="F12" s="4">
        <v>-0.26</v>
      </c>
      <c r="G12" s="266" t="s">
        <v>23</v>
      </c>
    </row>
    <row r="13" spans="1:7" x14ac:dyDescent="0.35">
      <c r="C13" s="266"/>
      <c r="D13" s="267"/>
      <c r="E13" s="5" t="s">
        <v>24</v>
      </c>
      <c r="F13" s="7">
        <v>-0.86</v>
      </c>
      <c r="G13" s="266"/>
    </row>
    <row r="14" spans="1:7" x14ac:dyDescent="0.35">
      <c r="C14" s="266" t="s">
        <v>25</v>
      </c>
      <c r="D14" s="267">
        <v>2004</v>
      </c>
      <c r="E14" s="5" t="s">
        <v>22</v>
      </c>
      <c r="F14" s="4">
        <v>-0.35</v>
      </c>
      <c r="G14" s="266" t="s">
        <v>26</v>
      </c>
    </row>
    <row r="15" spans="1:7" x14ac:dyDescent="0.35">
      <c r="C15" s="266"/>
      <c r="D15" s="267"/>
      <c r="E15" s="5" t="s">
        <v>24</v>
      </c>
      <c r="F15" s="7">
        <v>-0.85</v>
      </c>
      <c r="G15" s="266"/>
    </row>
    <row r="16" spans="1:7" x14ac:dyDescent="0.35">
      <c r="C16" s="268" t="s">
        <v>27</v>
      </c>
      <c r="D16" s="271">
        <v>2012</v>
      </c>
      <c r="E16" s="8" t="s">
        <v>28</v>
      </c>
      <c r="F16" s="4">
        <v>-0.62</v>
      </c>
      <c r="G16" s="268" t="s">
        <v>29</v>
      </c>
    </row>
    <row r="17" spans="3:7" x14ac:dyDescent="0.35">
      <c r="C17" s="269"/>
      <c r="D17" s="272"/>
      <c r="E17" s="9" t="s">
        <v>30</v>
      </c>
      <c r="F17" s="4">
        <v>-0.44</v>
      </c>
      <c r="G17" s="269"/>
    </row>
    <row r="18" spans="3:7" x14ac:dyDescent="0.35">
      <c r="C18" s="269"/>
      <c r="D18" s="272"/>
      <c r="E18" s="9" t="s">
        <v>31</v>
      </c>
      <c r="F18" s="4">
        <v>-0.23</v>
      </c>
      <c r="G18" s="269"/>
    </row>
    <row r="19" spans="3:7" x14ac:dyDescent="0.35">
      <c r="C19" s="269"/>
      <c r="D19" s="272"/>
      <c r="E19" s="9" t="s">
        <v>32</v>
      </c>
      <c r="F19" s="4">
        <v>-0.43</v>
      </c>
      <c r="G19" s="269"/>
    </row>
    <row r="20" spans="3:7" x14ac:dyDescent="0.35">
      <c r="C20" s="269"/>
      <c r="D20" s="272"/>
      <c r="E20" s="9" t="s">
        <v>33</v>
      </c>
      <c r="F20" s="4">
        <v>-0.47</v>
      </c>
      <c r="G20" s="269"/>
    </row>
    <row r="21" spans="3:7" x14ac:dyDescent="0.35">
      <c r="C21" s="269"/>
      <c r="D21" s="272"/>
      <c r="E21" s="9" t="s">
        <v>34</v>
      </c>
      <c r="F21" s="4">
        <v>-0.49</v>
      </c>
      <c r="G21" s="269"/>
    </row>
    <row r="22" spans="3:7" x14ac:dyDescent="0.35">
      <c r="C22" s="269"/>
      <c r="D22" s="272"/>
      <c r="E22" s="9" t="s">
        <v>35</v>
      </c>
      <c r="F22" s="4">
        <v>-0.38</v>
      </c>
      <c r="G22" s="269"/>
    </row>
    <row r="23" spans="3:7" x14ac:dyDescent="0.35">
      <c r="C23" s="270"/>
      <c r="D23" s="273"/>
      <c r="E23" s="10" t="s">
        <v>36</v>
      </c>
      <c r="F23" s="4">
        <v>-0.35</v>
      </c>
      <c r="G23" s="270"/>
    </row>
    <row r="24" spans="3:7" x14ac:dyDescent="0.35">
      <c r="C24" s="268" t="s">
        <v>37</v>
      </c>
      <c r="D24" s="271">
        <v>2009</v>
      </c>
      <c r="E24" s="11" t="s">
        <v>38</v>
      </c>
      <c r="F24" s="4">
        <v>-0.10100000000000001</v>
      </c>
      <c r="G24" s="274" t="s">
        <v>39</v>
      </c>
    </row>
    <row r="25" spans="3:7" x14ac:dyDescent="0.35">
      <c r="C25" s="269"/>
      <c r="D25" s="272"/>
      <c r="E25" s="5" t="s">
        <v>40</v>
      </c>
      <c r="F25" s="4">
        <v>-4.1000000000000002E-2</v>
      </c>
      <c r="G25" s="274"/>
    </row>
    <row r="26" spans="3:7" x14ac:dyDescent="0.35">
      <c r="C26" s="269"/>
      <c r="D26" s="272"/>
      <c r="E26" s="5" t="s">
        <v>41</v>
      </c>
      <c r="F26" s="4">
        <v>-6.8000000000000005E-2</v>
      </c>
      <c r="G26" s="274"/>
    </row>
    <row r="27" spans="3:7" x14ac:dyDescent="0.35">
      <c r="C27" s="270"/>
      <c r="D27" s="273"/>
      <c r="E27" s="5" t="s">
        <v>42</v>
      </c>
      <c r="F27" s="4">
        <v>-6.5000000000000002E-2</v>
      </c>
      <c r="G27" s="274"/>
    </row>
    <row r="28" spans="3:7" x14ac:dyDescent="0.35">
      <c r="C28" s="266" t="s">
        <v>43</v>
      </c>
      <c r="D28" s="267">
        <v>1992</v>
      </c>
      <c r="E28" s="5" t="s">
        <v>44</v>
      </c>
      <c r="F28" s="12">
        <v>-0.27</v>
      </c>
      <c r="G28" s="266" t="s">
        <v>45</v>
      </c>
    </row>
    <row r="29" spans="3:7" x14ac:dyDescent="0.35">
      <c r="C29" s="266"/>
      <c r="D29" s="267"/>
      <c r="E29" s="5" t="s">
        <v>46</v>
      </c>
      <c r="F29" s="7">
        <v>-0.71</v>
      </c>
      <c r="G29" s="266"/>
    </row>
    <row r="30" spans="3:7" x14ac:dyDescent="0.35">
      <c r="C30" s="266"/>
      <c r="D30" s="267"/>
      <c r="E30" s="5" t="s">
        <v>47</v>
      </c>
      <c r="F30" s="4">
        <v>-0.28000000000000003</v>
      </c>
      <c r="G30" s="266"/>
    </row>
    <row r="31" spans="3:7" x14ac:dyDescent="0.35">
      <c r="C31" s="266"/>
      <c r="D31" s="267"/>
      <c r="E31" s="5" t="s">
        <v>48</v>
      </c>
      <c r="F31" s="7">
        <v>-0.84</v>
      </c>
      <c r="G31" s="266"/>
    </row>
    <row r="32" spans="3:7" x14ac:dyDescent="0.35">
      <c r="C32" s="266" t="s">
        <v>49</v>
      </c>
      <c r="D32" s="267">
        <v>2004</v>
      </c>
      <c r="E32" s="5" t="s">
        <v>50</v>
      </c>
      <c r="F32" s="4">
        <v>-0.25</v>
      </c>
      <c r="G32" s="266" t="s">
        <v>51</v>
      </c>
    </row>
    <row r="33" spans="3:7" x14ac:dyDescent="0.35">
      <c r="C33" s="266"/>
      <c r="D33" s="267"/>
      <c r="E33" s="5" t="s">
        <v>52</v>
      </c>
      <c r="F33" s="7">
        <v>-0.64</v>
      </c>
      <c r="G33" s="266"/>
    </row>
    <row r="34" spans="3:7" x14ac:dyDescent="0.35">
      <c r="F34" s="13"/>
    </row>
    <row r="35" spans="3:7" x14ac:dyDescent="0.35">
      <c r="F35" s="13"/>
    </row>
    <row r="36" spans="3:7" x14ac:dyDescent="0.35">
      <c r="E36" s="14"/>
      <c r="F36" s="15"/>
    </row>
    <row r="37" spans="3:7" x14ac:dyDescent="0.35">
      <c r="C37" t="s">
        <v>144</v>
      </c>
      <c r="D37" s="16">
        <f>AVERAGE(F4:F33)</f>
        <v>-0.48155172413793107</v>
      </c>
      <c r="F37" s="13"/>
    </row>
    <row r="38" spans="3:7" x14ac:dyDescent="0.35">
      <c r="C38" t="s">
        <v>151</v>
      </c>
      <c r="D38" s="16">
        <f>AVERAGE(F4:F7,F11:F33)</f>
        <v>-0.41673076923076918</v>
      </c>
      <c r="F38" s="13"/>
    </row>
    <row r="39" spans="3:7" x14ac:dyDescent="0.35">
      <c r="C39" t="s">
        <v>152</v>
      </c>
      <c r="D39" s="16">
        <f>AVERAGE(F4:F7,F11:F12,F14,F16:F28,F30,F32)</f>
        <v>-0.33023809523809522</v>
      </c>
      <c r="F39" s="13"/>
    </row>
    <row r="40" spans="3:7" x14ac:dyDescent="0.35">
      <c r="F40" s="13"/>
    </row>
  </sheetData>
  <mergeCells count="24">
    <mergeCell ref="C28:C31"/>
    <mergeCell ref="D28:D31"/>
    <mergeCell ref="G28:G31"/>
    <mergeCell ref="C32:C33"/>
    <mergeCell ref="D32:D33"/>
    <mergeCell ref="G32:G33"/>
    <mergeCell ref="C16:C23"/>
    <mergeCell ref="D16:D23"/>
    <mergeCell ref="G16:G23"/>
    <mergeCell ref="C24:C27"/>
    <mergeCell ref="D24:D27"/>
    <mergeCell ref="G24:G27"/>
    <mergeCell ref="C12:C13"/>
    <mergeCell ref="D12:D13"/>
    <mergeCell ref="G12:G13"/>
    <mergeCell ref="C14:C15"/>
    <mergeCell ref="D14:D15"/>
    <mergeCell ref="G14:G15"/>
    <mergeCell ref="C5:C7"/>
    <mergeCell ref="D5:D7"/>
    <mergeCell ref="G5:G7"/>
    <mergeCell ref="C8:C10"/>
    <mergeCell ref="D8:D10"/>
    <mergeCell ref="G8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8D3B-2869-44AA-9471-084F35676E3E}">
  <dimension ref="A1:V61"/>
  <sheetViews>
    <sheetView zoomScale="73" zoomScaleNormal="40" workbookViewId="0"/>
  </sheetViews>
  <sheetFormatPr baseColWidth="10" defaultColWidth="10.81640625" defaultRowHeight="14.5" x14ac:dyDescent="0.35"/>
  <cols>
    <col min="1" max="1" width="10.81640625" style="31"/>
    <col min="2" max="2" width="36.7265625" style="31" customWidth="1"/>
    <col min="3" max="3" width="22.81640625" style="64" customWidth="1"/>
    <col min="4" max="4" width="21.1796875" style="64" customWidth="1"/>
    <col min="5" max="7" width="15.453125" style="64" bestFit="1" customWidth="1"/>
    <col min="8" max="8" width="14.7265625" style="64" customWidth="1"/>
    <col min="9" max="12" width="15.453125" style="64" bestFit="1" customWidth="1"/>
    <col min="13" max="13" width="15.453125" style="81" customWidth="1"/>
    <col min="14" max="19" width="15.453125" style="31" customWidth="1"/>
    <col min="20" max="20" width="18.54296875" style="31" customWidth="1"/>
    <col min="21" max="21" width="15.453125" style="31" customWidth="1"/>
    <col min="22" max="22" width="15.54296875" style="31" customWidth="1"/>
    <col min="23" max="16384" width="10.81640625" style="31"/>
  </cols>
  <sheetData>
    <row r="1" spans="2:22" x14ac:dyDescent="0.35">
      <c r="B1" s="31" t="s">
        <v>116</v>
      </c>
      <c r="D1" s="64" t="s">
        <v>79</v>
      </c>
    </row>
    <row r="2" spans="2:22" x14ac:dyDescent="0.35">
      <c r="B2" s="3"/>
      <c r="C2" s="89"/>
      <c r="D2" s="89">
        <v>2013</v>
      </c>
      <c r="E2" s="89">
        <v>2014</v>
      </c>
      <c r="F2" s="89">
        <v>2015</v>
      </c>
      <c r="G2" s="89">
        <v>2016</v>
      </c>
      <c r="H2" s="89">
        <v>2017</v>
      </c>
      <c r="I2" s="89">
        <v>2018</v>
      </c>
      <c r="J2" s="89">
        <v>2019</v>
      </c>
      <c r="K2" s="89">
        <v>2020</v>
      </c>
      <c r="L2" s="89">
        <v>2021</v>
      </c>
      <c r="M2" s="89">
        <v>2022</v>
      </c>
      <c r="N2" s="89">
        <v>2023</v>
      </c>
      <c r="O2" s="89">
        <v>2024</v>
      </c>
      <c r="P2" s="89">
        <v>2025</v>
      </c>
      <c r="Q2" s="89">
        <v>2026</v>
      </c>
      <c r="R2" s="89">
        <v>2027</v>
      </c>
      <c r="S2" s="89">
        <v>2028</v>
      </c>
      <c r="T2" s="89">
        <v>2029</v>
      </c>
      <c r="U2" s="89">
        <v>2030</v>
      </c>
    </row>
    <row r="3" spans="2:22" x14ac:dyDescent="0.35">
      <c r="B3" s="285" t="s">
        <v>77</v>
      </c>
      <c r="C3" s="102" t="s">
        <v>63</v>
      </c>
      <c r="D3" s="49">
        <v>53894995</v>
      </c>
      <c r="E3" s="50">
        <v>54394368</v>
      </c>
      <c r="F3" s="49">
        <v>109099690</v>
      </c>
      <c r="G3" s="50">
        <v>102510328</v>
      </c>
      <c r="H3" s="50">
        <v>95647186</v>
      </c>
      <c r="I3" s="50">
        <v>85546798</v>
      </c>
      <c r="J3" s="50">
        <v>86101402</v>
      </c>
      <c r="K3" s="50">
        <v>100165369</v>
      </c>
      <c r="L3" s="50">
        <v>90950050</v>
      </c>
      <c r="M3" s="184">
        <v>71165667</v>
      </c>
      <c r="N3" s="99"/>
      <c r="O3" s="99"/>
      <c r="P3" s="99"/>
      <c r="Q3" s="99"/>
      <c r="R3" s="99"/>
      <c r="S3" s="99"/>
      <c r="T3" s="99"/>
      <c r="U3" s="99"/>
    </row>
    <row r="4" spans="2:22" x14ac:dyDescent="0.35">
      <c r="B4" s="285"/>
      <c r="C4" s="12" t="s">
        <v>75</v>
      </c>
      <c r="D4" s="51">
        <v>18916605</v>
      </c>
      <c r="E4" s="51">
        <v>18602110</v>
      </c>
      <c r="F4" s="51">
        <v>18743474</v>
      </c>
      <c r="G4" s="51">
        <v>18406196</v>
      </c>
      <c r="H4" s="51">
        <v>18774484</v>
      </c>
      <c r="I4" s="51">
        <v>17661166</v>
      </c>
      <c r="J4" s="51">
        <v>18951411</v>
      </c>
      <c r="K4" s="51">
        <v>18231662</v>
      </c>
      <c r="L4" s="51" cm="1">
        <f t="array" ref="L4">TREND(D4:K4,D2:K2,L2)</f>
        <v>18218385</v>
      </c>
      <c r="M4" s="180">
        <v>13796392</v>
      </c>
      <c r="N4" s="98"/>
      <c r="O4" s="98"/>
      <c r="P4" s="98"/>
      <c r="Q4" s="98"/>
      <c r="R4" s="98"/>
      <c r="S4" s="98"/>
      <c r="T4" s="98"/>
      <c r="U4" s="98"/>
    </row>
    <row r="5" spans="2:22" s="16" customFormat="1" x14ac:dyDescent="0.35">
      <c r="B5" s="286"/>
      <c r="C5" s="82" t="s">
        <v>67</v>
      </c>
      <c r="D5" s="52">
        <f>D3+D4</f>
        <v>72811600</v>
      </c>
      <c r="E5" s="52">
        <f t="shared" ref="E5:L5" si="0">E3+E4</f>
        <v>72996478</v>
      </c>
      <c r="F5" s="52">
        <f t="shared" si="0"/>
        <v>127843164</v>
      </c>
      <c r="G5" s="52">
        <f t="shared" si="0"/>
        <v>120916524</v>
      </c>
      <c r="H5" s="52">
        <f t="shared" si="0"/>
        <v>114421670</v>
      </c>
      <c r="I5" s="52">
        <f t="shared" si="0"/>
        <v>103207964</v>
      </c>
      <c r="J5" s="52">
        <f t="shared" si="0"/>
        <v>105052813</v>
      </c>
      <c r="K5" s="52">
        <f t="shared" si="0"/>
        <v>118397031</v>
      </c>
      <c r="L5" s="52">
        <f t="shared" si="0"/>
        <v>109168435</v>
      </c>
      <c r="M5" s="111">
        <f>+SUM(M3:M4)</f>
        <v>84962059</v>
      </c>
      <c r="N5" s="113"/>
      <c r="O5" s="113"/>
      <c r="P5" s="113"/>
      <c r="Q5" s="113"/>
      <c r="R5" s="113"/>
      <c r="S5" s="113"/>
      <c r="T5" s="113"/>
      <c r="U5" s="113"/>
    </row>
    <row r="6" spans="2:22" s="16" customFormat="1" ht="21.5" customHeight="1" x14ac:dyDescent="0.35">
      <c r="B6" s="287" t="s">
        <v>105</v>
      </c>
      <c r="C6" s="91" t="s">
        <v>67</v>
      </c>
      <c r="D6" s="79">
        <f>SUM(D7:D10)</f>
        <v>82077928</v>
      </c>
      <c r="E6" s="79">
        <f>SUM(E7:E10)</f>
        <v>84807916</v>
      </c>
      <c r="F6" s="79">
        <f>SUM(F7:F10)</f>
        <v>299084523</v>
      </c>
      <c r="G6" s="79">
        <f t="shared" ref="G6:L6" si="1">SUM(G7:G10)</f>
        <v>182267000</v>
      </c>
      <c r="H6" s="79">
        <f t="shared" si="1"/>
        <v>230421079</v>
      </c>
      <c r="I6" s="79">
        <f t="shared" si="1"/>
        <v>347050640</v>
      </c>
      <c r="J6" s="79">
        <f t="shared" si="1"/>
        <v>280893702</v>
      </c>
      <c r="K6" s="79">
        <f t="shared" si="1"/>
        <v>187244509</v>
      </c>
      <c r="L6" s="80">
        <f t="shared" si="1"/>
        <v>266280498</v>
      </c>
      <c r="M6" s="112">
        <f>SUM(M7:M10)</f>
        <v>231835936</v>
      </c>
      <c r="N6" s="114"/>
      <c r="O6" s="114"/>
      <c r="P6" s="114"/>
      <c r="Q6" s="114"/>
      <c r="R6" s="114"/>
      <c r="S6" s="114"/>
      <c r="T6" s="114"/>
      <c r="U6" s="114"/>
      <c r="V6" s="107"/>
    </row>
    <row r="7" spans="2:22" s="16" customFormat="1" x14ac:dyDescent="0.35">
      <c r="B7" s="288"/>
      <c r="C7" s="102" t="s">
        <v>71</v>
      </c>
      <c r="D7" s="50">
        <v>36050932</v>
      </c>
      <c r="E7" s="50">
        <v>20573695</v>
      </c>
      <c r="F7" s="93">
        <v>73610528</v>
      </c>
      <c r="G7" s="50">
        <v>68026000</v>
      </c>
      <c r="H7" s="50">
        <v>11673000</v>
      </c>
      <c r="I7" s="50">
        <v>98215920</v>
      </c>
      <c r="J7" s="50">
        <v>80847404</v>
      </c>
      <c r="K7" s="53">
        <v>57090077</v>
      </c>
      <c r="L7" s="50">
        <v>54773607</v>
      </c>
      <c r="M7" s="94">
        <v>58527697</v>
      </c>
      <c r="N7" s="113"/>
      <c r="O7" s="113"/>
      <c r="P7" s="113"/>
      <c r="Q7" s="113"/>
      <c r="R7" s="113"/>
      <c r="S7" s="113"/>
      <c r="T7" s="113"/>
      <c r="U7" s="113"/>
    </row>
    <row r="8" spans="2:22" s="16" customFormat="1" x14ac:dyDescent="0.35">
      <c r="B8" s="288"/>
      <c r="C8" s="104" t="s">
        <v>72</v>
      </c>
      <c r="D8" s="51">
        <v>14522048</v>
      </c>
      <c r="E8" s="51">
        <v>17996191</v>
      </c>
      <c r="F8" s="51">
        <v>76931627</v>
      </c>
      <c r="G8" s="51">
        <v>7260000</v>
      </c>
      <c r="H8" s="51">
        <v>75311960</v>
      </c>
      <c r="I8" s="51">
        <v>90587738</v>
      </c>
      <c r="J8" s="51">
        <v>66321122</v>
      </c>
      <c r="K8" s="54">
        <v>21161000</v>
      </c>
      <c r="L8" s="51">
        <v>71647138</v>
      </c>
      <c r="M8" s="180">
        <v>58331300</v>
      </c>
      <c r="N8" s="109"/>
      <c r="O8" s="109"/>
      <c r="P8" s="109"/>
      <c r="Q8" s="109"/>
      <c r="R8" s="109"/>
      <c r="S8" s="109"/>
      <c r="T8" s="109"/>
      <c r="U8" s="109"/>
    </row>
    <row r="9" spans="2:22" s="16" customFormat="1" x14ac:dyDescent="0.35">
      <c r="B9" s="288"/>
      <c r="C9" s="103" t="s">
        <v>73</v>
      </c>
      <c r="D9" s="50">
        <v>13865422</v>
      </c>
      <c r="E9" s="50">
        <v>23167043</v>
      </c>
      <c r="F9" s="93">
        <v>73429360</v>
      </c>
      <c r="G9" s="50">
        <v>30021000</v>
      </c>
      <c r="H9" s="50">
        <v>63887833</v>
      </c>
      <c r="I9" s="50">
        <v>79421265</v>
      </c>
      <c r="J9" s="50">
        <v>66289515</v>
      </c>
      <c r="K9" s="53">
        <v>52627000</v>
      </c>
      <c r="L9" s="50">
        <v>71261536</v>
      </c>
      <c r="M9" s="184">
        <v>56956085</v>
      </c>
      <c r="N9" s="113"/>
      <c r="O9" s="113"/>
      <c r="P9" s="113"/>
      <c r="Q9" s="113"/>
      <c r="R9" s="113"/>
      <c r="S9" s="113"/>
      <c r="T9" s="113"/>
      <c r="U9" s="113"/>
    </row>
    <row r="10" spans="2:22" s="16" customFormat="1" x14ac:dyDescent="0.35">
      <c r="B10" s="289"/>
      <c r="C10" s="104" t="s">
        <v>74</v>
      </c>
      <c r="D10" s="51">
        <v>17639526</v>
      </c>
      <c r="E10" s="138">
        <v>23070987</v>
      </c>
      <c r="F10" s="51">
        <v>75113008</v>
      </c>
      <c r="G10" s="51">
        <v>76960000</v>
      </c>
      <c r="H10" s="51">
        <v>79548286</v>
      </c>
      <c r="I10" s="51">
        <v>78825717</v>
      </c>
      <c r="J10" s="51">
        <v>67435661</v>
      </c>
      <c r="K10" s="54">
        <v>56366432</v>
      </c>
      <c r="L10" s="51">
        <v>68598217</v>
      </c>
      <c r="M10" s="180">
        <v>58020854</v>
      </c>
      <c r="N10" s="109"/>
      <c r="O10" s="109"/>
      <c r="P10" s="109"/>
      <c r="Q10" s="109"/>
      <c r="R10" s="109"/>
      <c r="S10" s="109"/>
      <c r="T10" s="109"/>
      <c r="U10" s="109"/>
    </row>
    <row r="11" spans="2:22" s="16" customFormat="1" ht="14.5" customHeight="1" x14ac:dyDescent="0.35">
      <c r="B11" s="282" t="s">
        <v>106</v>
      </c>
      <c r="C11" s="95" t="s">
        <v>67</v>
      </c>
      <c r="D11" s="96">
        <f>SUM(D12:D15)</f>
        <v>0</v>
      </c>
      <c r="E11" s="96">
        <f t="shared" ref="E11:O11" si="2">SUM(E12:E15)</f>
        <v>0</v>
      </c>
      <c r="F11" s="96">
        <f>SUM(F12:F15)</f>
        <v>5576000</v>
      </c>
      <c r="G11" s="96">
        <f t="shared" si="2"/>
        <v>32783000</v>
      </c>
      <c r="H11" s="96">
        <f t="shared" si="2"/>
        <v>34595000</v>
      </c>
      <c r="I11" s="96">
        <f>SUM(I12:I15)</f>
        <v>33436000</v>
      </c>
      <c r="J11" s="96">
        <f t="shared" si="2"/>
        <v>12064000</v>
      </c>
      <c r="K11" s="96">
        <f t="shared" si="2"/>
        <v>22265000</v>
      </c>
      <c r="L11" s="96">
        <f t="shared" si="2"/>
        <v>33436000</v>
      </c>
      <c r="M11" s="96">
        <f>SUM(M12:M15)</f>
        <v>33097000</v>
      </c>
      <c r="N11" s="96">
        <f t="shared" si="2"/>
        <v>27779750</v>
      </c>
      <c r="O11" s="96">
        <f t="shared" si="2"/>
        <v>33225000</v>
      </c>
      <c r="P11" s="96"/>
      <c r="Q11" s="96"/>
      <c r="R11" s="96"/>
      <c r="S11" s="96"/>
      <c r="T11" s="96"/>
      <c r="U11" s="96"/>
      <c r="V11" s="81"/>
    </row>
    <row r="12" spans="2:22" s="16" customFormat="1" x14ac:dyDescent="0.35">
      <c r="B12" s="283"/>
      <c r="C12" s="46" t="s">
        <v>71</v>
      </c>
      <c r="D12" s="105"/>
      <c r="E12" s="51"/>
      <c r="F12" s="51"/>
      <c r="G12" s="51">
        <v>4440000</v>
      </c>
      <c r="H12" s="51">
        <v>10545000</v>
      </c>
      <c r="I12" s="110">
        <v>8576000</v>
      </c>
      <c r="J12" s="51">
        <v>9361000</v>
      </c>
      <c r="K12" s="51">
        <v>701000</v>
      </c>
      <c r="L12" s="51">
        <v>8576000</v>
      </c>
      <c r="M12" s="51">
        <v>5983000</v>
      </c>
      <c r="N12" s="54">
        <v>8672250</v>
      </c>
      <c r="O12" s="51">
        <v>8306250</v>
      </c>
      <c r="P12" s="51"/>
      <c r="Q12" s="51"/>
      <c r="R12" s="51"/>
      <c r="S12" s="51"/>
      <c r="T12" s="51"/>
      <c r="U12" s="51"/>
      <c r="V12" s="81"/>
    </row>
    <row r="13" spans="2:22" s="16" customFormat="1" x14ac:dyDescent="0.35">
      <c r="B13" s="283"/>
      <c r="C13" s="92" t="s">
        <v>72</v>
      </c>
      <c r="D13" s="93"/>
      <c r="E13" s="93"/>
      <c r="F13" s="93"/>
      <c r="G13" s="93">
        <v>7515000</v>
      </c>
      <c r="H13" s="93">
        <v>5338000</v>
      </c>
      <c r="I13" s="94">
        <v>6057000</v>
      </c>
      <c r="J13" s="93">
        <v>914000</v>
      </c>
      <c r="K13" s="93">
        <v>2117000</v>
      </c>
      <c r="L13" s="93">
        <v>6057000</v>
      </c>
      <c r="M13" s="93">
        <v>9038000</v>
      </c>
      <c r="N13" s="94">
        <v>1763000</v>
      </c>
      <c r="O13" s="93">
        <v>8306250</v>
      </c>
      <c r="P13" s="93"/>
      <c r="Q13" s="93"/>
      <c r="R13" s="93"/>
      <c r="S13" s="93"/>
      <c r="T13" s="93"/>
      <c r="U13" s="93"/>
      <c r="V13" s="81"/>
    </row>
    <row r="14" spans="2:22" s="16" customFormat="1" x14ac:dyDescent="0.35">
      <c r="B14" s="283"/>
      <c r="C14" s="46" t="s">
        <v>73</v>
      </c>
      <c r="D14" s="51"/>
      <c r="E14" s="51"/>
      <c r="F14" s="51"/>
      <c r="G14" s="51">
        <v>9560000</v>
      </c>
      <c r="H14" s="51">
        <v>7925000</v>
      </c>
      <c r="I14" s="54">
        <v>9401500</v>
      </c>
      <c r="J14" s="51">
        <v>769000</v>
      </c>
      <c r="K14" s="51">
        <v>9723500</v>
      </c>
      <c r="L14" s="51">
        <v>9401500</v>
      </c>
      <c r="M14" s="51">
        <v>9038000</v>
      </c>
      <c r="N14" s="54">
        <v>8672250</v>
      </c>
      <c r="O14" s="51">
        <v>8306250</v>
      </c>
      <c r="P14" s="51"/>
      <c r="Q14" s="51"/>
      <c r="R14" s="51"/>
      <c r="S14" s="51"/>
      <c r="T14" s="51"/>
      <c r="U14" s="51"/>
      <c r="V14" s="81"/>
    </row>
    <row r="15" spans="2:22" s="16" customFormat="1" x14ac:dyDescent="0.35">
      <c r="B15" s="284"/>
      <c r="C15" s="92" t="s">
        <v>74</v>
      </c>
      <c r="D15" s="93"/>
      <c r="E15" s="93"/>
      <c r="F15" s="93">
        <v>5576000</v>
      </c>
      <c r="G15" s="93">
        <v>11268000</v>
      </c>
      <c r="H15" s="108">
        <v>10787000</v>
      </c>
      <c r="I15" s="94">
        <v>9401500</v>
      </c>
      <c r="J15" s="93">
        <v>1020000</v>
      </c>
      <c r="K15" s="93">
        <v>9723500</v>
      </c>
      <c r="L15" s="93">
        <v>9401500</v>
      </c>
      <c r="M15" s="93">
        <v>9038000</v>
      </c>
      <c r="N15" s="94">
        <v>8672250</v>
      </c>
      <c r="O15" s="93">
        <v>8306250</v>
      </c>
      <c r="P15" s="93"/>
      <c r="Q15" s="93"/>
      <c r="R15" s="93"/>
      <c r="S15" s="93"/>
      <c r="T15" s="93"/>
      <c r="U15" s="93"/>
      <c r="V15" s="81"/>
    </row>
    <row r="16" spans="2:22" s="16" customFormat="1" ht="22" customHeight="1" x14ac:dyDescent="0.35">
      <c r="B16" s="83" t="s">
        <v>121</v>
      </c>
      <c r="C16" s="85" t="s">
        <v>67</v>
      </c>
      <c r="D16" s="80">
        <f>D5+D6+D11</f>
        <v>154889528</v>
      </c>
      <c r="E16" s="80">
        <f>E5+E6+E11</f>
        <v>157804394</v>
      </c>
      <c r="F16" s="80">
        <f t="shared" ref="F16:L16" si="3">F5+F6+F11</f>
        <v>432503687</v>
      </c>
      <c r="G16" s="80">
        <f t="shared" si="3"/>
        <v>335966524</v>
      </c>
      <c r="H16" s="80">
        <f t="shared" si="3"/>
        <v>379437749</v>
      </c>
      <c r="I16" s="80">
        <f t="shared" si="3"/>
        <v>483694604</v>
      </c>
      <c r="J16" s="80">
        <f t="shared" si="3"/>
        <v>398010515</v>
      </c>
      <c r="K16" s="80">
        <f t="shared" si="3"/>
        <v>327906540</v>
      </c>
      <c r="L16" s="80">
        <f t="shared" si="3"/>
        <v>408884933</v>
      </c>
      <c r="M16" s="80">
        <f>M5+M6+M11</f>
        <v>349894995</v>
      </c>
      <c r="N16" s="209">
        <f>'Instruments supply'!M16*$C$52</f>
        <v>322370276.95673424</v>
      </c>
      <c r="O16" s="209">
        <f>'Instruments supply'!N16*$C$52</f>
        <v>308794678.61669177</v>
      </c>
      <c r="P16" s="209">
        <f>'Instruments supply'!O16*$C$52</f>
        <v>295219080.2766493</v>
      </c>
      <c r="Q16" s="209">
        <f>'Instruments supply'!P16*$C$52</f>
        <v>281652775.19943541</v>
      </c>
      <c r="R16" s="209">
        <f>'Instruments supply'!Q16*$C$52</f>
        <v>268077176.85939303</v>
      </c>
      <c r="S16" s="209">
        <f>'Instruments supply'!R16*$C$52</f>
        <v>254510871.78217915</v>
      </c>
      <c r="T16" s="209">
        <f>'Instruments supply'!S16*$C$52</f>
        <v>240935273.44213665</v>
      </c>
      <c r="U16" s="209">
        <f>'Instruments supply'!T16*$C$52</f>
        <v>227368968.36492273</v>
      </c>
      <c r="V16" s="81"/>
    </row>
    <row r="17" spans="2:22" s="16" customFormat="1" x14ac:dyDescent="0.35">
      <c r="B17" s="151" t="s">
        <v>98</v>
      </c>
      <c r="C17" s="95" t="s">
        <v>64</v>
      </c>
      <c r="D17" s="96">
        <v>2040026</v>
      </c>
      <c r="E17" s="93"/>
      <c r="F17" s="113"/>
      <c r="G17" s="93"/>
      <c r="H17" s="93"/>
      <c r="I17" s="93"/>
      <c r="J17" s="93"/>
      <c r="K17" s="94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81"/>
    </row>
    <row r="18" spans="2:22" s="16" customFormat="1" x14ac:dyDescent="0.35">
      <c r="B18" s="278" t="s">
        <v>78</v>
      </c>
      <c r="C18" s="104" t="s">
        <v>63</v>
      </c>
      <c r="D18" s="51">
        <v>28256451</v>
      </c>
      <c r="E18" s="51">
        <v>14753967</v>
      </c>
      <c r="F18" s="51">
        <v>18899246</v>
      </c>
      <c r="G18" s="51">
        <v>53349753</v>
      </c>
      <c r="H18" s="51">
        <v>40001930</v>
      </c>
      <c r="I18" s="51">
        <v>30530161</v>
      </c>
      <c r="J18" s="51">
        <v>30421642</v>
      </c>
      <c r="K18" s="54">
        <v>11738412</v>
      </c>
      <c r="L18" s="51">
        <v>3183092</v>
      </c>
      <c r="M18" s="180">
        <v>11565096</v>
      </c>
      <c r="N18" s="109"/>
      <c r="O18" s="109"/>
      <c r="P18" s="109"/>
      <c r="Q18" s="109"/>
      <c r="R18" s="109"/>
      <c r="S18" s="109"/>
      <c r="T18" s="109"/>
      <c r="U18" s="109"/>
    </row>
    <row r="19" spans="2:22" s="16" customFormat="1" x14ac:dyDescent="0.35">
      <c r="B19" s="279"/>
      <c r="C19" s="150" t="s">
        <v>64</v>
      </c>
      <c r="D19" s="93">
        <v>0</v>
      </c>
      <c r="E19" s="93">
        <v>177661</v>
      </c>
      <c r="F19" s="93">
        <v>327947</v>
      </c>
      <c r="G19" s="93">
        <v>58385</v>
      </c>
      <c r="H19" s="93">
        <v>48850</v>
      </c>
      <c r="I19" s="93">
        <v>114190</v>
      </c>
      <c r="J19" s="93">
        <v>85234</v>
      </c>
      <c r="K19" s="94">
        <v>145212</v>
      </c>
      <c r="L19" s="93">
        <v>143771</v>
      </c>
      <c r="M19" s="94">
        <v>251534</v>
      </c>
      <c r="N19" s="113"/>
      <c r="O19" s="113"/>
      <c r="P19" s="113"/>
      <c r="Q19" s="113"/>
      <c r="R19" s="113"/>
      <c r="S19" s="113"/>
      <c r="T19" s="113"/>
      <c r="U19" s="113"/>
    </row>
    <row r="20" spans="2:22" s="16" customFormat="1" x14ac:dyDescent="0.35">
      <c r="B20" s="280"/>
      <c r="C20" s="85" t="s">
        <v>67</v>
      </c>
      <c r="D20" s="80">
        <f>SUM(D18:D19)</f>
        <v>28256451</v>
      </c>
      <c r="E20" s="80">
        <f t="shared" ref="E20:L20" si="4">SUM(E18:E19)</f>
        <v>14931628</v>
      </c>
      <c r="F20" s="80">
        <f t="shared" si="4"/>
        <v>19227193</v>
      </c>
      <c r="G20" s="80">
        <f t="shared" si="4"/>
        <v>53408138</v>
      </c>
      <c r="H20" s="80">
        <f t="shared" si="4"/>
        <v>40050780</v>
      </c>
      <c r="I20" s="80">
        <f t="shared" si="4"/>
        <v>30644351</v>
      </c>
      <c r="J20" s="80">
        <f t="shared" si="4"/>
        <v>30506876</v>
      </c>
      <c r="K20" s="80">
        <f t="shared" si="4"/>
        <v>11883624</v>
      </c>
      <c r="L20" s="80">
        <f t="shared" si="4"/>
        <v>3326863</v>
      </c>
      <c r="M20" s="80">
        <f t="shared" ref="M20" si="5">SUM(M18:M19)</f>
        <v>11816630</v>
      </c>
      <c r="N20" s="210">
        <f>'Supply levels'!H13*1000000</f>
        <v>16620159.999999998</v>
      </c>
      <c r="O20" s="210">
        <f>'Supply levels'!H14*1000000</f>
        <v>15987040</v>
      </c>
      <c r="P20" s="210">
        <f>'Supply levels'!H15*1000000</f>
        <v>15353120</v>
      </c>
      <c r="Q20" s="210">
        <f>'Supply levels'!H16*1000000</f>
        <v>14719200</v>
      </c>
      <c r="R20" s="210">
        <f>'Supply levels'!H17*1000000</f>
        <v>19165920</v>
      </c>
      <c r="S20" s="210">
        <f>'Supply levels'!H18*1000000</f>
        <v>18264640</v>
      </c>
      <c r="T20" s="210">
        <f>'Supply levels'!H19*1000000</f>
        <v>17364160</v>
      </c>
      <c r="U20" s="210">
        <f>'Supply levels'!H20*1000000</f>
        <v>16462880.000000002</v>
      </c>
    </row>
    <row r="21" spans="2:22" s="37" customFormat="1" ht="37" customHeight="1" x14ac:dyDescent="0.35">
      <c r="B21" s="40" t="s">
        <v>123</v>
      </c>
      <c r="C21" s="41" t="s">
        <v>67</v>
      </c>
      <c r="D21" s="55">
        <f>D16+D17+D20</f>
        <v>185186005</v>
      </c>
      <c r="E21" s="55">
        <f>E16+E17+E20</f>
        <v>172736022</v>
      </c>
      <c r="F21" s="55">
        <f t="shared" ref="F21:U21" si="6">F16+F17+F20</f>
        <v>451730880</v>
      </c>
      <c r="G21" s="55">
        <f t="shared" si="6"/>
        <v>389374662</v>
      </c>
      <c r="H21" s="55">
        <f t="shared" si="6"/>
        <v>419488529</v>
      </c>
      <c r="I21" s="55">
        <f t="shared" si="6"/>
        <v>514338955</v>
      </c>
      <c r="J21" s="55">
        <f t="shared" si="6"/>
        <v>428517391</v>
      </c>
      <c r="K21" s="55">
        <f t="shared" si="6"/>
        <v>339790164</v>
      </c>
      <c r="L21" s="55">
        <f t="shared" si="6"/>
        <v>412211796</v>
      </c>
      <c r="M21" s="259">
        <f t="shared" si="6"/>
        <v>361711625</v>
      </c>
      <c r="N21" s="211">
        <f t="shared" si="6"/>
        <v>338990436.95673424</v>
      </c>
      <c r="O21" s="211">
        <f t="shared" si="6"/>
        <v>324781718.61669177</v>
      </c>
      <c r="P21" s="211">
        <f t="shared" si="6"/>
        <v>310572200.2766493</v>
      </c>
      <c r="Q21" s="211">
        <f t="shared" si="6"/>
        <v>296371975.19943541</v>
      </c>
      <c r="R21" s="211">
        <f t="shared" si="6"/>
        <v>287243096.859393</v>
      </c>
      <c r="S21" s="211">
        <f t="shared" si="6"/>
        <v>272775511.78217912</v>
      </c>
      <c r="T21" s="211">
        <f t="shared" si="6"/>
        <v>258299433.44213665</v>
      </c>
      <c r="U21" s="211">
        <f t="shared" si="6"/>
        <v>243831848.36492273</v>
      </c>
    </row>
    <row r="22" spans="2:22" x14ac:dyDescent="0.35">
      <c r="B22" s="281" t="s">
        <v>146</v>
      </c>
      <c r="C22" s="123" t="s">
        <v>63</v>
      </c>
      <c r="D22" s="93"/>
      <c r="E22" s="93">
        <v>278408105</v>
      </c>
      <c r="F22" s="93"/>
      <c r="G22" s="93"/>
      <c r="H22" s="93">
        <v>919915731</v>
      </c>
      <c r="I22" s="93"/>
      <c r="J22" s="93"/>
      <c r="K22" s="93">
        <v>848887125</v>
      </c>
      <c r="L22" s="93"/>
      <c r="M22" s="111"/>
      <c r="N22" s="99"/>
      <c r="O22" s="94"/>
      <c r="P22" s="94"/>
      <c r="Q22" s="94"/>
      <c r="R22" s="94"/>
      <c r="S22" s="94"/>
      <c r="T22" s="94"/>
      <c r="U22" s="94"/>
    </row>
    <row r="23" spans="2:22" x14ac:dyDescent="0.35">
      <c r="B23" s="281"/>
      <c r="C23" s="12" t="s">
        <v>64</v>
      </c>
      <c r="D23" s="51"/>
      <c r="E23" s="51">
        <v>36365891</v>
      </c>
      <c r="F23" s="51"/>
      <c r="G23" s="51">
        <v>0</v>
      </c>
      <c r="H23" s="51">
        <v>170057363</v>
      </c>
      <c r="I23" s="51"/>
      <c r="J23" s="51"/>
      <c r="K23" s="51">
        <v>164647233</v>
      </c>
      <c r="L23" s="51"/>
      <c r="M23" s="112"/>
      <c r="N23" s="98"/>
      <c r="O23" s="98"/>
      <c r="P23" s="98"/>
      <c r="Q23" s="98"/>
      <c r="R23" s="98"/>
      <c r="S23" s="98"/>
      <c r="T23" s="98"/>
      <c r="U23" s="98"/>
    </row>
    <row r="24" spans="2:22" s="16" customFormat="1" ht="14" customHeight="1" x14ac:dyDescent="0.35">
      <c r="B24" s="281"/>
      <c r="C24" s="124" t="s">
        <v>67</v>
      </c>
      <c r="D24" s="96">
        <f>D22+D23</f>
        <v>0</v>
      </c>
      <c r="E24" s="96">
        <f t="shared" ref="E24:L24" si="7">E22+E23</f>
        <v>314773996</v>
      </c>
      <c r="F24" s="96">
        <f t="shared" si="7"/>
        <v>0</v>
      </c>
      <c r="G24" s="96">
        <f t="shared" si="7"/>
        <v>0</v>
      </c>
      <c r="H24" s="96">
        <f t="shared" si="7"/>
        <v>1089973094</v>
      </c>
      <c r="I24" s="96">
        <f t="shared" si="7"/>
        <v>0</v>
      </c>
      <c r="J24" s="96">
        <f t="shared" si="7"/>
        <v>0</v>
      </c>
      <c r="K24" s="96">
        <f t="shared" si="7"/>
        <v>1013534358</v>
      </c>
      <c r="L24" s="96">
        <f t="shared" si="7"/>
        <v>0</v>
      </c>
      <c r="M24" s="111"/>
      <c r="N24" s="208"/>
      <c r="O24" s="113"/>
      <c r="P24" s="113"/>
      <c r="Q24" s="208"/>
      <c r="R24" s="113"/>
      <c r="S24" s="113"/>
      <c r="T24" s="208"/>
      <c r="U24" s="113"/>
    </row>
    <row r="25" spans="2:22" s="16" customFormat="1" ht="14" customHeight="1" x14ac:dyDescent="0.35">
      <c r="B25" s="275" t="s">
        <v>147</v>
      </c>
      <c r="C25" s="38" t="s">
        <v>63</v>
      </c>
      <c r="D25" s="179"/>
      <c r="E25" s="179">
        <v>12773097</v>
      </c>
      <c r="F25" s="179"/>
      <c r="G25" s="179"/>
      <c r="H25" s="179">
        <v>62717868</v>
      </c>
      <c r="I25" s="179"/>
      <c r="J25" s="179"/>
      <c r="K25" s="179">
        <v>63354849</v>
      </c>
      <c r="L25" s="179"/>
      <c r="M25" s="180"/>
      <c r="N25" s="181"/>
      <c r="O25" s="182"/>
      <c r="P25" s="182"/>
      <c r="Q25" s="183"/>
      <c r="R25" s="182"/>
      <c r="S25" s="182"/>
      <c r="T25" s="183"/>
      <c r="U25" s="182"/>
    </row>
    <row r="26" spans="2:22" s="16" customFormat="1" ht="14" customHeight="1" x14ac:dyDescent="0.35">
      <c r="B26" s="276"/>
      <c r="C26" s="177" t="s">
        <v>64</v>
      </c>
      <c r="D26" s="178"/>
      <c r="E26" s="178">
        <v>298812</v>
      </c>
      <c r="F26" s="178"/>
      <c r="G26" s="178"/>
      <c r="H26" s="178">
        <v>6088155</v>
      </c>
      <c r="I26" s="178"/>
      <c r="J26" s="178"/>
      <c r="K26" s="178">
        <v>13531354</v>
      </c>
      <c r="L26" s="178"/>
      <c r="M26" s="184"/>
      <c r="N26" s="185"/>
      <c r="O26" s="108"/>
      <c r="P26" s="108"/>
      <c r="Q26" s="186"/>
      <c r="R26" s="108"/>
      <c r="S26" s="108"/>
      <c r="T26" s="186"/>
      <c r="U26" s="108"/>
    </row>
    <row r="27" spans="2:22" s="16" customFormat="1" ht="14" customHeight="1" x14ac:dyDescent="0.35">
      <c r="B27" s="277"/>
      <c r="C27" s="91" t="s">
        <v>67</v>
      </c>
      <c r="D27" s="80"/>
      <c r="E27" s="80">
        <f>SUM(E25:E26)</f>
        <v>13071909</v>
      </c>
      <c r="F27" s="80">
        <f t="shared" ref="F27:K27" si="8">SUM(F25:F26)</f>
        <v>0</v>
      </c>
      <c r="G27" s="80">
        <f t="shared" si="8"/>
        <v>0</v>
      </c>
      <c r="H27" s="80">
        <f t="shared" si="8"/>
        <v>68806023</v>
      </c>
      <c r="I27" s="80">
        <f t="shared" si="8"/>
        <v>0</v>
      </c>
      <c r="J27" s="80">
        <f t="shared" si="8"/>
        <v>0</v>
      </c>
      <c r="K27" s="80">
        <f t="shared" si="8"/>
        <v>76886203</v>
      </c>
      <c r="L27" s="80"/>
      <c r="M27" s="80"/>
      <c r="N27" s="209"/>
      <c r="O27" s="209"/>
      <c r="P27" s="209"/>
      <c r="Q27" s="209"/>
      <c r="R27" s="209"/>
      <c r="S27" s="209"/>
      <c r="T27" s="209"/>
      <c r="U27" s="209"/>
    </row>
    <row r="28" spans="2:22" s="16" customFormat="1" ht="21.5" customHeight="1" x14ac:dyDescent="0.35">
      <c r="B28" s="215" t="s">
        <v>117</v>
      </c>
      <c r="C28" s="216" t="s">
        <v>67</v>
      </c>
      <c r="D28" s="217"/>
      <c r="E28" s="217">
        <f>E24+E27</f>
        <v>327845905</v>
      </c>
      <c r="F28" s="217">
        <f t="shared" ref="F28:U28" si="9">F24+F27</f>
        <v>0</v>
      </c>
      <c r="G28" s="217">
        <f t="shared" si="9"/>
        <v>0</v>
      </c>
      <c r="H28" s="217">
        <f t="shared" si="9"/>
        <v>1158779117</v>
      </c>
      <c r="I28" s="217">
        <f t="shared" si="9"/>
        <v>0</v>
      </c>
      <c r="J28" s="217">
        <f t="shared" si="9"/>
        <v>0</v>
      </c>
      <c r="K28" s="217">
        <f t="shared" si="9"/>
        <v>1090420561</v>
      </c>
      <c r="L28" s="217">
        <f t="shared" si="9"/>
        <v>0</v>
      </c>
      <c r="M28" s="217">
        <f t="shared" si="9"/>
        <v>0</v>
      </c>
      <c r="N28" s="218">
        <f>'Emissions '!E8</f>
        <v>1042151618.0145781</v>
      </c>
      <c r="O28" s="219">
        <f t="shared" si="9"/>
        <v>0</v>
      </c>
      <c r="P28" s="219">
        <f t="shared" si="9"/>
        <v>0</v>
      </c>
      <c r="Q28" s="220">
        <f>'Emissions '!E9</f>
        <v>964929757.37353003</v>
      </c>
      <c r="R28" s="219">
        <f t="shared" si="9"/>
        <v>0</v>
      </c>
      <c r="S28" s="219">
        <f t="shared" si="9"/>
        <v>0</v>
      </c>
      <c r="T28" s="220">
        <f>'Emissions '!E10</f>
        <v>887707896.73248398</v>
      </c>
      <c r="U28" s="219">
        <f t="shared" si="9"/>
        <v>0</v>
      </c>
    </row>
    <row r="29" spans="2:22" s="37" customFormat="1" ht="37.5" customHeight="1" x14ac:dyDescent="0.35">
      <c r="B29" s="221" t="s">
        <v>116</v>
      </c>
      <c r="C29" s="91" t="s">
        <v>67</v>
      </c>
      <c r="D29" s="80">
        <f t="shared" ref="D29:U29" si="10">D21-D28</f>
        <v>185186005</v>
      </c>
      <c r="E29" s="80">
        <f t="shared" si="10"/>
        <v>-155109883</v>
      </c>
      <c r="F29" s="80">
        <f t="shared" si="10"/>
        <v>451730880</v>
      </c>
      <c r="G29" s="80">
        <f t="shared" si="10"/>
        <v>389374662</v>
      </c>
      <c r="H29" s="80">
        <f t="shared" si="10"/>
        <v>-739290588</v>
      </c>
      <c r="I29" s="80">
        <f t="shared" si="10"/>
        <v>514338955</v>
      </c>
      <c r="J29" s="80">
        <f t="shared" si="10"/>
        <v>428517391</v>
      </c>
      <c r="K29" s="80">
        <f t="shared" si="10"/>
        <v>-750630397</v>
      </c>
      <c r="L29" s="214">
        <f t="shared" si="10"/>
        <v>412211796</v>
      </c>
      <c r="M29" s="214">
        <v>361711625</v>
      </c>
      <c r="N29" s="209">
        <f t="shared" si="10"/>
        <v>-703161181.05784392</v>
      </c>
      <c r="O29" s="209">
        <f t="shared" si="10"/>
        <v>324781718.61669177</v>
      </c>
      <c r="P29" s="209">
        <f t="shared" si="10"/>
        <v>310572200.2766493</v>
      </c>
      <c r="Q29" s="209">
        <f t="shared" si="10"/>
        <v>-668557782.17409468</v>
      </c>
      <c r="R29" s="209">
        <f t="shared" si="10"/>
        <v>287243096.859393</v>
      </c>
      <c r="S29" s="209">
        <f t="shared" si="10"/>
        <v>272775511.78217912</v>
      </c>
      <c r="T29" s="209">
        <f t="shared" si="10"/>
        <v>-629408463.29034734</v>
      </c>
      <c r="U29" s="222">
        <f t="shared" si="10"/>
        <v>243831848.36492273</v>
      </c>
    </row>
    <row r="30" spans="2:22" ht="37" customHeight="1" thickBot="1" x14ac:dyDescent="0.4">
      <c r="B30" s="223" t="s">
        <v>107</v>
      </c>
      <c r="C30" s="224" t="s">
        <v>67</v>
      </c>
      <c r="D30" s="225"/>
      <c r="E30" s="226">
        <f>D29+E29</f>
        <v>30076122</v>
      </c>
      <c r="F30" s="225"/>
      <c r="G30" s="225"/>
      <c r="H30" s="226">
        <f>SUM(D29:H29)</f>
        <v>131891076</v>
      </c>
      <c r="I30" s="225"/>
      <c r="J30" s="225"/>
      <c r="K30" s="226">
        <f>SUM(D29:K29)</f>
        <v>324117025</v>
      </c>
      <c r="L30" s="225"/>
      <c r="M30" s="260"/>
      <c r="N30" s="227">
        <f>SUM(D29:N29)</f>
        <v>394879264.94215608</v>
      </c>
      <c r="O30" s="228"/>
      <c r="P30" s="228"/>
      <c r="Q30" s="227">
        <f>SUM(D29:Q29)</f>
        <v>361675401.66140246</v>
      </c>
      <c r="R30" s="228"/>
      <c r="S30" s="228"/>
      <c r="T30" s="227">
        <f>SUM(D29:T29)</f>
        <v>292285547.01262724</v>
      </c>
      <c r="U30" s="229"/>
    </row>
    <row r="32" spans="2:22" x14ac:dyDescent="0.35"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</row>
    <row r="33" spans="1:21" x14ac:dyDescent="0.35"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1:21" x14ac:dyDescent="0.35"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</row>
    <row r="35" spans="1:21" x14ac:dyDescent="0.35"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</row>
    <row r="36" spans="1:21" x14ac:dyDescent="0.35"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</row>
    <row r="39" spans="1:21" x14ac:dyDescent="0.35">
      <c r="B39" s="64"/>
      <c r="H39" s="48"/>
      <c r="L39" s="81"/>
      <c r="M39" s="31"/>
    </row>
    <row r="40" spans="1:21" x14ac:dyDescent="0.35">
      <c r="B40" s="64"/>
      <c r="L40" s="81"/>
      <c r="M40" s="31"/>
    </row>
    <row r="41" spans="1:21" ht="14.5" customHeight="1" x14ac:dyDescent="0.35">
      <c r="B41" s="64"/>
      <c r="L41" s="81"/>
      <c r="M41" s="31"/>
    </row>
    <row r="42" spans="1:21" x14ac:dyDescent="0.35">
      <c r="A42" s="57"/>
      <c r="B42" s="64"/>
      <c r="L42" s="81"/>
      <c r="M42" s="31"/>
    </row>
    <row r="43" spans="1:21" x14ac:dyDescent="0.35">
      <c r="A43" s="57"/>
      <c r="B43" s="64"/>
      <c r="L43" s="81"/>
      <c r="M43" s="31"/>
    </row>
    <row r="44" spans="1:21" x14ac:dyDescent="0.35">
      <c r="B44" s="64"/>
      <c r="L44" s="81"/>
      <c r="M44" s="31"/>
    </row>
    <row r="45" spans="1:21" x14ac:dyDescent="0.35">
      <c r="B45" s="64"/>
      <c r="L45" s="81"/>
      <c r="M45" s="31"/>
    </row>
    <row r="46" spans="1:21" ht="15" thickBot="1" x14ac:dyDescent="0.4">
      <c r="B46" s="64"/>
      <c r="M46" s="64"/>
      <c r="N46" s="64"/>
      <c r="O46" s="64"/>
      <c r="P46" s="64"/>
      <c r="Q46" s="64"/>
      <c r="R46" s="64"/>
      <c r="S46" s="64"/>
      <c r="T46" s="64"/>
      <c r="U46" s="64"/>
    </row>
    <row r="47" spans="1:21" x14ac:dyDescent="0.35">
      <c r="A47" s="192"/>
      <c r="B47" s="193"/>
      <c r="C47" s="194"/>
      <c r="D47" s="194"/>
      <c r="E47" s="194"/>
      <c r="F47" s="194"/>
      <c r="G47" s="194"/>
      <c r="H47" s="194"/>
      <c r="I47" s="194"/>
      <c r="J47" s="194"/>
      <c r="K47" s="194"/>
      <c r="L47" s="195"/>
      <c r="M47" s="196"/>
      <c r="N47" s="196"/>
      <c r="O47" s="196"/>
      <c r="P47" s="196"/>
      <c r="Q47" s="196"/>
      <c r="R47" s="196"/>
      <c r="S47" s="196"/>
      <c r="T47" s="196"/>
      <c r="U47" s="197"/>
    </row>
    <row r="48" spans="1:21" ht="29" x14ac:dyDescent="0.35">
      <c r="A48" s="198" t="s">
        <v>101</v>
      </c>
      <c r="B48" s="189" t="s">
        <v>67</v>
      </c>
      <c r="C48" s="190">
        <v>156836204</v>
      </c>
      <c r="D48" s="190">
        <v>158173616</v>
      </c>
      <c r="E48" s="190">
        <v>464431011</v>
      </c>
      <c r="F48" s="190">
        <v>470322514</v>
      </c>
      <c r="G48" s="190">
        <v>425503064</v>
      </c>
      <c r="H48" s="190">
        <v>432069280</v>
      </c>
      <c r="I48" s="190">
        <v>403559957</v>
      </c>
      <c r="J48" s="190">
        <v>383630018</v>
      </c>
      <c r="K48" s="190">
        <v>375656982</v>
      </c>
      <c r="L48" s="191">
        <v>352705516.68283749</v>
      </c>
      <c r="M48" s="191">
        <v>338462022.82823801</v>
      </c>
      <c r="N48" s="191">
        <v>324208771.81933331</v>
      </c>
      <c r="O48" s="191">
        <v>309955520.81042868</v>
      </c>
      <c r="P48" s="191">
        <v>295712026.95582914</v>
      </c>
      <c r="Q48" s="191">
        <v>281458775.94692451</v>
      </c>
      <c r="R48" s="191">
        <v>267215282.09232497</v>
      </c>
      <c r="S48" s="191">
        <v>252962031.08342031</v>
      </c>
      <c r="T48" s="191">
        <v>238718537.22882068</v>
      </c>
      <c r="U48" s="199"/>
    </row>
    <row r="49" spans="1:21" x14ac:dyDescent="0.35">
      <c r="A49" s="200"/>
      <c r="B49" s="201"/>
      <c r="C49" s="201"/>
      <c r="D49" s="201"/>
      <c r="E49" s="201"/>
      <c r="F49" s="201"/>
      <c r="G49" s="201"/>
      <c r="H49" s="201"/>
      <c r="I49" s="201"/>
      <c r="J49" s="201"/>
      <c r="K49" s="201"/>
      <c r="L49" s="187"/>
      <c r="M49" s="202"/>
      <c r="N49" s="202"/>
      <c r="O49" s="202"/>
      <c r="P49" s="202"/>
      <c r="Q49" s="202"/>
      <c r="R49" s="202"/>
      <c r="S49" s="202"/>
      <c r="T49" s="202"/>
      <c r="U49" s="199"/>
    </row>
    <row r="50" spans="1:21" x14ac:dyDescent="0.35">
      <c r="A50" s="200" t="s">
        <v>124</v>
      </c>
      <c r="B50" s="201"/>
      <c r="C50" s="201">
        <f t="shared" ref="C50:K50" si="11">D16/C48</f>
        <v>0.98758784036879643</v>
      </c>
      <c r="D50" s="201">
        <f t="shared" si="11"/>
        <v>0.99766571689174766</v>
      </c>
      <c r="E50" s="201">
        <f t="shared" si="11"/>
        <v>0.93125496953518461</v>
      </c>
      <c r="F50" s="201">
        <f t="shared" si="11"/>
        <v>0.71433221672224689</v>
      </c>
      <c r="G50" s="201">
        <f t="shared" si="11"/>
        <v>0.89173916970901057</v>
      </c>
      <c r="H50" s="201">
        <f t="shared" si="11"/>
        <v>1.1194839031370154</v>
      </c>
      <c r="I50" s="201">
        <f t="shared" si="11"/>
        <v>0.98624877938521538</v>
      </c>
      <c r="J50" s="201">
        <f t="shared" si="11"/>
        <v>0.85474682536443225</v>
      </c>
      <c r="K50" s="201">
        <f t="shared" si="11"/>
        <v>1.0884529040911051</v>
      </c>
      <c r="L50" s="187"/>
      <c r="M50" s="202"/>
      <c r="N50" s="202"/>
      <c r="O50" s="202"/>
      <c r="P50" s="202"/>
      <c r="Q50" s="202"/>
      <c r="R50" s="202"/>
      <c r="S50" s="202"/>
      <c r="T50" s="202"/>
      <c r="U50" s="199"/>
    </row>
    <row r="51" spans="1:21" x14ac:dyDescent="0.35">
      <c r="A51" s="200"/>
      <c r="B51" s="201"/>
      <c r="C51" s="201"/>
      <c r="D51" s="201"/>
      <c r="E51" s="201"/>
      <c r="F51" s="201"/>
      <c r="G51" s="201"/>
      <c r="H51" s="201"/>
      <c r="I51" s="201"/>
      <c r="J51" s="201"/>
      <c r="K51" s="201"/>
      <c r="L51" s="187"/>
      <c r="M51" s="202"/>
      <c r="N51" s="202"/>
      <c r="O51" s="202"/>
      <c r="P51" s="202"/>
      <c r="Q51" s="202"/>
      <c r="R51" s="202"/>
      <c r="S51" s="202"/>
      <c r="T51" s="202"/>
      <c r="U51" s="199"/>
    </row>
    <row r="52" spans="1:21" x14ac:dyDescent="0.35">
      <c r="A52" s="200"/>
      <c r="B52" s="201" t="s">
        <v>125</v>
      </c>
      <c r="C52" s="201">
        <f>AVERAGE(C50:K50)</f>
        <v>0.95239025835608382</v>
      </c>
      <c r="D52" s="201"/>
      <c r="E52" s="201"/>
      <c r="F52" s="201"/>
      <c r="G52" s="201"/>
      <c r="H52" s="201"/>
      <c r="I52" s="201"/>
      <c r="J52" s="201"/>
      <c r="K52" s="201"/>
      <c r="L52" s="187"/>
      <c r="M52" s="202"/>
      <c r="N52" s="202"/>
      <c r="O52" s="202"/>
      <c r="P52" s="202"/>
      <c r="Q52" s="202"/>
      <c r="R52" s="202"/>
      <c r="S52" s="202"/>
      <c r="T52" s="202"/>
      <c r="U52" s="199"/>
    </row>
    <row r="53" spans="1:21" ht="15" thickBot="1" x14ac:dyDescent="0.4">
      <c r="A53" s="203"/>
      <c r="B53" s="204"/>
      <c r="C53" s="204"/>
      <c r="D53" s="204"/>
      <c r="E53" s="204"/>
      <c r="F53" s="204"/>
      <c r="G53" s="204"/>
      <c r="H53" s="204"/>
      <c r="I53" s="204"/>
      <c r="J53" s="204"/>
      <c r="K53" s="204"/>
      <c r="L53" s="205"/>
      <c r="M53" s="206"/>
      <c r="N53" s="206"/>
      <c r="O53" s="206"/>
      <c r="P53" s="206"/>
      <c r="Q53" s="206"/>
      <c r="R53" s="206"/>
      <c r="S53" s="206"/>
      <c r="T53" s="206"/>
      <c r="U53" s="207"/>
    </row>
    <row r="54" spans="1:21" x14ac:dyDescent="0.35">
      <c r="A54" s="25"/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7"/>
      <c r="M54" s="25"/>
      <c r="N54" s="25"/>
      <c r="O54" s="25"/>
      <c r="P54" s="25"/>
      <c r="Q54" s="25"/>
      <c r="R54" s="25"/>
      <c r="S54" s="25"/>
      <c r="T54" s="25"/>
    </row>
    <row r="55" spans="1:21" x14ac:dyDescent="0.35">
      <c r="A55" s="25"/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7"/>
      <c r="M55" s="25"/>
      <c r="N55" s="25"/>
      <c r="O55" s="25"/>
      <c r="P55" s="25"/>
      <c r="Q55" s="25"/>
      <c r="R55" s="25"/>
      <c r="S55" s="25"/>
      <c r="T55" s="25"/>
    </row>
    <row r="56" spans="1:21" x14ac:dyDescent="0.35">
      <c r="B56" s="64"/>
      <c r="L56" s="81"/>
      <c r="M56" s="31"/>
    </row>
    <row r="57" spans="1:21" x14ac:dyDescent="0.35">
      <c r="B57" s="64"/>
      <c r="L57" s="81"/>
      <c r="M57" s="31"/>
    </row>
    <row r="58" spans="1:21" x14ac:dyDescent="0.35">
      <c r="B58" s="64"/>
      <c r="L58" s="81"/>
      <c r="M58" s="31"/>
    </row>
    <row r="59" spans="1:21" x14ac:dyDescent="0.35">
      <c r="B59" s="64"/>
      <c r="L59" s="81"/>
      <c r="M59" s="31"/>
    </row>
    <row r="60" spans="1:21" x14ac:dyDescent="0.35">
      <c r="B60" s="64"/>
      <c r="L60" s="81"/>
      <c r="M60" s="31"/>
    </row>
    <row r="61" spans="1:21" x14ac:dyDescent="0.35">
      <c r="B61" s="64"/>
      <c r="L61" s="81"/>
      <c r="M61" s="31"/>
    </row>
  </sheetData>
  <mergeCells count="6">
    <mergeCell ref="B25:B27"/>
    <mergeCell ref="B18:B20"/>
    <mergeCell ref="B22:B24"/>
    <mergeCell ref="B11:B15"/>
    <mergeCell ref="B3:B5"/>
    <mergeCell ref="B6:B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AF25-771A-4CBC-B434-E739FA1BB31F}">
  <dimension ref="B2:P43"/>
  <sheetViews>
    <sheetView workbookViewId="0"/>
  </sheetViews>
  <sheetFormatPr baseColWidth="10" defaultRowHeight="14.5" x14ac:dyDescent="0.35"/>
  <cols>
    <col min="2" max="2" width="16.54296875" customWidth="1"/>
    <col min="4" max="4" width="17.26953125" customWidth="1"/>
    <col min="7" max="7" width="15.6328125" customWidth="1"/>
    <col min="9" max="9" width="18.54296875" customWidth="1"/>
    <col min="12" max="12" width="15.6328125" customWidth="1"/>
    <col min="13" max="13" width="15.90625" customWidth="1"/>
    <col min="14" max="14" width="16.6328125" customWidth="1"/>
  </cols>
  <sheetData>
    <row r="2" spans="2:16" x14ac:dyDescent="0.35">
      <c r="B2" t="s">
        <v>153</v>
      </c>
      <c r="C2" t="s">
        <v>110</v>
      </c>
      <c r="D2" t="s">
        <v>154</v>
      </c>
      <c r="E2" s="31" t="s">
        <v>155</v>
      </c>
      <c r="G2" t="s">
        <v>154</v>
      </c>
      <c r="H2" t="s">
        <v>112</v>
      </c>
      <c r="I2" t="s">
        <v>113</v>
      </c>
      <c r="L2" s="31" t="s">
        <v>154</v>
      </c>
      <c r="M2" s="31" t="s">
        <v>156</v>
      </c>
      <c r="N2" s="31" t="s">
        <v>157</v>
      </c>
      <c r="O2" s="31"/>
      <c r="P2" t="s">
        <v>149</v>
      </c>
    </row>
    <row r="3" spans="2:16" x14ac:dyDescent="0.35">
      <c r="B3" s="116">
        <v>37</v>
      </c>
      <c r="C3" s="117">
        <v>10.09</v>
      </c>
      <c r="D3" s="117">
        <v>2012</v>
      </c>
      <c r="E3">
        <v>4</v>
      </c>
      <c r="G3">
        <v>2013</v>
      </c>
      <c r="H3">
        <f>AVERAGE(C3:C7)</f>
        <v>12.282</v>
      </c>
      <c r="I3" s="290">
        <f>AVERAGE(H3:H4)</f>
        <v>12.718083333333334</v>
      </c>
      <c r="L3" s="31">
        <v>2013</v>
      </c>
      <c r="M3" s="31">
        <v>10.71</v>
      </c>
      <c r="N3" s="31">
        <f>AVERAGE(M3:M4)</f>
        <v>11.025</v>
      </c>
      <c r="O3" s="31"/>
    </row>
    <row r="4" spans="2:16" x14ac:dyDescent="0.35">
      <c r="B4" s="116">
        <v>36</v>
      </c>
      <c r="C4" s="117">
        <v>13.62</v>
      </c>
      <c r="D4" s="117">
        <v>2013</v>
      </c>
      <c r="E4">
        <v>1</v>
      </c>
      <c r="G4">
        <v>2014</v>
      </c>
      <c r="H4">
        <f>AVERAGE(H5:H7)</f>
        <v>13.154166666666669</v>
      </c>
      <c r="I4" s="290"/>
      <c r="L4" s="31">
        <v>2014</v>
      </c>
      <c r="M4" s="31">
        <v>11.34</v>
      </c>
      <c r="N4" s="31"/>
      <c r="O4" s="31"/>
    </row>
    <row r="5" spans="2:16" x14ac:dyDescent="0.35">
      <c r="B5" s="116">
        <v>35</v>
      </c>
      <c r="C5" s="117">
        <v>14</v>
      </c>
      <c r="D5" s="117">
        <v>2013</v>
      </c>
      <c r="E5">
        <v>2</v>
      </c>
      <c r="G5" s="31">
        <v>2015</v>
      </c>
      <c r="H5">
        <f>AVERAGE(C12:C15)</f>
        <v>12.4375</v>
      </c>
      <c r="I5" s="290">
        <f>AVERAGE(H5:H7)</f>
        <v>13.154166666666669</v>
      </c>
      <c r="L5" s="31">
        <v>2015</v>
      </c>
      <c r="M5" s="31">
        <v>12.1</v>
      </c>
      <c r="N5" s="31">
        <f>AVERAGE(M5:M7)</f>
        <v>12.799999999999999</v>
      </c>
      <c r="O5" s="31"/>
    </row>
    <row r="6" spans="2:16" x14ac:dyDescent="0.35">
      <c r="B6" s="116">
        <v>34</v>
      </c>
      <c r="C6" s="117">
        <v>12.22</v>
      </c>
      <c r="D6" s="117">
        <v>2013</v>
      </c>
      <c r="E6">
        <v>3</v>
      </c>
      <c r="G6" s="31">
        <v>2016</v>
      </c>
      <c r="H6">
        <f>AVERAGE(C16:C19)</f>
        <v>12.73</v>
      </c>
      <c r="I6" s="290"/>
      <c r="L6" s="31">
        <v>2016</v>
      </c>
      <c r="M6" s="31">
        <v>12.73</v>
      </c>
      <c r="N6" s="31"/>
      <c r="O6" s="31"/>
    </row>
    <row r="7" spans="2:16" x14ac:dyDescent="0.35">
      <c r="B7" s="116">
        <v>33</v>
      </c>
      <c r="C7" s="117">
        <v>11.48</v>
      </c>
      <c r="D7" s="117">
        <v>2013</v>
      </c>
      <c r="E7">
        <v>4</v>
      </c>
      <c r="G7" s="31">
        <v>2017</v>
      </c>
      <c r="H7">
        <f>AVERAGE(C20:C23)</f>
        <v>14.295000000000002</v>
      </c>
      <c r="I7" s="290"/>
      <c r="L7" s="31">
        <v>2017</v>
      </c>
      <c r="M7" s="31">
        <v>13.57</v>
      </c>
      <c r="N7" s="31"/>
      <c r="O7" s="31"/>
    </row>
    <row r="8" spans="2:16" x14ac:dyDescent="0.35">
      <c r="B8" s="116">
        <v>32</v>
      </c>
      <c r="C8" s="117">
        <v>11.48</v>
      </c>
      <c r="D8" s="117">
        <v>2014</v>
      </c>
      <c r="E8" s="31">
        <v>1</v>
      </c>
      <c r="G8" s="31">
        <v>2018</v>
      </c>
      <c r="H8">
        <f>AVERAGE(C24:C27)</f>
        <v>14.905000000000001</v>
      </c>
      <c r="I8" s="290">
        <f>AVERAGE(H8:H10)</f>
        <v>16.260000000000002</v>
      </c>
      <c r="L8" s="31">
        <v>2018</v>
      </c>
      <c r="M8" s="31">
        <v>14.35</v>
      </c>
      <c r="N8" s="31">
        <f>AVERAGE(M8:M10)</f>
        <v>15.549999999999999</v>
      </c>
      <c r="O8" s="31"/>
    </row>
    <row r="9" spans="2:16" x14ac:dyDescent="0.35">
      <c r="B9" s="116">
        <v>31</v>
      </c>
      <c r="C9" s="117">
        <v>11.5</v>
      </c>
      <c r="D9" s="117">
        <v>2014</v>
      </c>
      <c r="E9" s="31">
        <v>2</v>
      </c>
      <c r="G9" s="31">
        <v>2019</v>
      </c>
      <c r="H9">
        <f>AVERAGE(C28:C31)</f>
        <v>16.835000000000001</v>
      </c>
      <c r="I9" s="290"/>
      <c r="L9" s="31">
        <v>2019</v>
      </c>
      <c r="M9" s="31">
        <v>15.62</v>
      </c>
      <c r="N9" s="31"/>
      <c r="O9" s="31"/>
    </row>
    <row r="10" spans="2:16" x14ac:dyDescent="0.35">
      <c r="B10" s="116">
        <v>30</v>
      </c>
      <c r="C10" s="117">
        <v>11.5</v>
      </c>
      <c r="D10" s="117">
        <v>2014</v>
      </c>
      <c r="E10" s="31">
        <v>3</v>
      </c>
      <c r="G10" s="31">
        <v>2020</v>
      </c>
      <c r="H10">
        <f>AVERAGE(C32:C35)</f>
        <v>17.04</v>
      </c>
      <c r="I10" s="290"/>
      <c r="L10" s="31">
        <v>2020</v>
      </c>
      <c r="M10" s="31">
        <v>16.68</v>
      </c>
      <c r="N10" s="31"/>
      <c r="O10" s="31"/>
    </row>
    <row r="11" spans="2:16" x14ac:dyDescent="0.35">
      <c r="B11" s="116">
        <v>29</v>
      </c>
      <c r="C11" s="117">
        <v>12.1</v>
      </c>
      <c r="D11" s="117">
        <v>2014</v>
      </c>
      <c r="E11" s="31">
        <v>4</v>
      </c>
      <c r="G11" s="31">
        <v>2021</v>
      </c>
      <c r="H11">
        <f>AVERAGE(C36:C39)</f>
        <v>22.040000000000003</v>
      </c>
      <c r="I11">
        <f>AVERAGE(H11:H13)</f>
        <v>25.009514814814718</v>
      </c>
      <c r="L11" s="31">
        <v>2021</v>
      </c>
      <c r="M11" s="31">
        <v>17.71</v>
      </c>
      <c r="N11" s="23">
        <f>AVERAGE(M11:M13)</f>
        <v>19.873333333333331</v>
      </c>
      <c r="O11" s="31"/>
    </row>
    <row r="12" spans="2:16" x14ac:dyDescent="0.35">
      <c r="B12" s="116">
        <v>28</v>
      </c>
      <c r="C12" s="117">
        <v>12.21</v>
      </c>
      <c r="D12" s="117">
        <v>2015</v>
      </c>
      <c r="E12" s="31">
        <v>1</v>
      </c>
      <c r="G12">
        <v>2022</v>
      </c>
      <c r="H12" s="31">
        <f>AVERAGE(C40:C43)</f>
        <v>28.45</v>
      </c>
      <c r="L12" s="31">
        <v>2022</v>
      </c>
      <c r="M12" s="31">
        <v>19.7</v>
      </c>
      <c r="N12" s="31"/>
      <c r="O12" s="261">
        <f t="shared" ref="O12" si="0">(M12-M11)/M11</f>
        <v>0.11236589497459053</v>
      </c>
      <c r="P12" s="31"/>
    </row>
    <row r="13" spans="2:16" x14ac:dyDescent="0.35">
      <c r="B13" s="116">
        <v>27</v>
      </c>
      <c r="C13" s="117">
        <v>12.29</v>
      </c>
      <c r="D13" s="117">
        <v>2015</v>
      </c>
      <c r="E13" s="31">
        <v>2</v>
      </c>
      <c r="G13" s="31">
        <v>2023</v>
      </c>
      <c r="H13" cm="1">
        <f t="array" ref="H13">TREND($H$3:H12,$G$3:G12,G13)</f>
        <v>24.538544444444142</v>
      </c>
      <c r="L13" s="78">
        <v>2023</v>
      </c>
      <c r="M13" s="252">
        <v>22.21</v>
      </c>
      <c r="N13" s="78"/>
      <c r="O13" s="261">
        <f>(M13-M12)/M12</f>
        <v>0.12741116751269044</v>
      </c>
      <c r="P13" s="31"/>
    </row>
    <row r="14" spans="2:16" x14ac:dyDescent="0.35">
      <c r="B14" s="116">
        <v>26</v>
      </c>
      <c r="C14" s="117">
        <v>12.52</v>
      </c>
      <c r="D14" s="117">
        <v>2015</v>
      </c>
      <c r="E14" s="31">
        <v>3</v>
      </c>
      <c r="G14" s="31">
        <v>2024</v>
      </c>
      <c r="H14" s="31" cm="1">
        <f t="array" ref="H14">TREND($H$3:H13,$G$3:G13,G14)</f>
        <v>26.015213131312521</v>
      </c>
      <c r="I14">
        <f>AVERAGE(H14:H16)</f>
        <v>27.491881818181355</v>
      </c>
      <c r="L14" s="78">
        <v>2024</v>
      </c>
      <c r="M14" s="252">
        <f>M13*P14</f>
        <v>23.942380000000004</v>
      </c>
      <c r="N14" s="252">
        <f>AVERAGE(M14:M16)</f>
        <v>25.905256120333338</v>
      </c>
      <c r="O14" s="31"/>
      <c r="P14" s="31">
        <v>1.0780000000000001</v>
      </c>
    </row>
    <row r="15" spans="2:16" x14ac:dyDescent="0.35">
      <c r="B15" s="116">
        <v>25</v>
      </c>
      <c r="C15" s="117">
        <v>12.73</v>
      </c>
      <c r="D15" s="117">
        <v>2015</v>
      </c>
      <c r="E15" s="31">
        <v>4</v>
      </c>
      <c r="G15" s="31">
        <v>2025</v>
      </c>
      <c r="H15" s="31" cm="1">
        <f t="array" ref="H15">TREND($H$3:H14,$G$3:G14,G15)</f>
        <v>27.491881818181355</v>
      </c>
      <c r="L15" s="78">
        <v>2025</v>
      </c>
      <c r="M15" s="252">
        <f t="shared" ref="M15:M20" si="1">M14*P15</f>
        <v>25.977482300000002</v>
      </c>
      <c r="N15" s="78"/>
      <c r="O15" s="31"/>
      <c r="P15" s="31">
        <v>1.085</v>
      </c>
    </row>
    <row r="16" spans="2:16" x14ac:dyDescent="0.35">
      <c r="B16" s="116">
        <v>24</v>
      </c>
      <c r="C16" s="117">
        <v>12.73</v>
      </c>
      <c r="D16" s="117">
        <v>2016</v>
      </c>
      <c r="E16" s="31">
        <v>1</v>
      </c>
      <c r="G16" s="31">
        <v>2026</v>
      </c>
      <c r="H16" s="31" cm="1">
        <f t="array" ref="H16">TREND($H$3:H15,$G$3:G15,G16)</f>
        <v>28.968550505050189</v>
      </c>
      <c r="L16" s="78">
        <v>2026</v>
      </c>
      <c r="M16" s="252">
        <f t="shared" si="1"/>
        <v>27.795906061000004</v>
      </c>
      <c r="N16" s="78"/>
      <c r="O16" s="31"/>
      <c r="P16" s="31">
        <v>1.07</v>
      </c>
    </row>
    <row r="17" spans="2:16" x14ac:dyDescent="0.35">
      <c r="B17" s="116">
        <v>23</v>
      </c>
      <c r="C17" s="117">
        <v>12.73</v>
      </c>
      <c r="D17" s="117">
        <v>2016</v>
      </c>
      <c r="E17" s="31">
        <v>2</v>
      </c>
      <c r="G17" s="31">
        <v>2027</v>
      </c>
      <c r="H17" s="31" cm="1">
        <f t="array" ref="H17">TREND($H$3:H16,$G$3:G16,G17)</f>
        <v>30.445219191918568</v>
      </c>
      <c r="I17">
        <f>AVERAGE(H17:H19)</f>
        <v>31.9218878787871</v>
      </c>
      <c r="L17" s="78">
        <v>2027</v>
      </c>
      <c r="M17" s="252">
        <f t="shared" si="1"/>
        <v>29.741619485270007</v>
      </c>
      <c r="N17" s="252">
        <f>AVERAGE(M17:M19)</f>
        <v>31.872110827731518</v>
      </c>
      <c r="O17" s="31"/>
      <c r="P17" s="31">
        <v>1.07</v>
      </c>
    </row>
    <row r="18" spans="2:16" x14ac:dyDescent="0.35">
      <c r="B18" s="116">
        <v>22</v>
      </c>
      <c r="C18" s="117">
        <v>12.73</v>
      </c>
      <c r="D18" s="117">
        <v>2016</v>
      </c>
      <c r="E18" s="31">
        <v>3</v>
      </c>
      <c r="G18" s="31">
        <v>2028</v>
      </c>
      <c r="H18" s="31" cm="1">
        <f t="array" ref="H18">TREND($H$3:H17,$G$3:G17,G18)</f>
        <v>31.921887878786947</v>
      </c>
      <c r="L18" s="78">
        <v>2028</v>
      </c>
      <c r="M18" s="252">
        <f t="shared" si="1"/>
        <v>31.823532849238909</v>
      </c>
      <c r="N18" s="78"/>
      <c r="O18" s="31"/>
      <c r="P18" s="31">
        <v>1.07</v>
      </c>
    </row>
    <row r="19" spans="2:16" x14ac:dyDescent="0.35">
      <c r="B19" s="116">
        <v>21</v>
      </c>
      <c r="C19" s="117">
        <v>12.73</v>
      </c>
      <c r="D19" s="117">
        <v>2016</v>
      </c>
      <c r="E19" s="31">
        <v>4</v>
      </c>
      <c r="G19" s="31">
        <v>2029</v>
      </c>
      <c r="H19" s="31" cm="1">
        <f t="array" ref="H19">TREND($H$3:H18,$G$3:G18,G19)</f>
        <v>33.398556565655781</v>
      </c>
      <c r="L19" s="78">
        <v>2029</v>
      </c>
      <c r="M19" s="252">
        <f t="shared" si="1"/>
        <v>34.051180148685631</v>
      </c>
      <c r="N19" s="78"/>
      <c r="O19" s="31"/>
      <c r="P19" s="31">
        <v>1.07</v>
      </c>
    </row>
    <row r="20" spans="2:16" x14ac:dyDescent="0.35">
      <c r="B20" s="116">
        <v>20</v>
      </c>
      <c r="C20" s="117">
        <v>13.57</v>
      </c>
      <c r="D20" s="117">
        <v>2017</v>
      </c>
      <c r="E20" s="31">
        <v>1</v>
      </c>
      <c r="G20" s="31">
        <v>2030</v>
      </c>
      <c r="H20" s="31" cm="1">
        <f t="array" ref="H20">TREND($H$3:H19,$G$3:G19,G20)</f>
        <v>34.875225252524615</v>
      </c>
      <c r="L20" s="78">
        <v>2030</v>
      </c>
      <c r="M20" s="252">
        <f t="shared" si="1"/>
        <v>36.43476275909363</v>
      </c>
      <c r="N20" s="78"/>
      <c r="O20" s="31"/>
      <c r="P20" s="31">
        <v>1.07</v>
      </c>
    </row>
    <row r="21" spans="2:16" x14ac:dyDescent="0.35">
      <c r="B21" s="116">
        <v>19</v>
      </c>
      <c r="C21" s="117">
        <v>13.8</v>
      </c>
      <c r="D21" s="117">
        <v>2017</v>
      </c>
      <c r="E21" s="31">
        <v>2</v>
      </c>
      <c r="L21" s="31"/>
      <c r="M21" s="31"/>
      <c r="N21" s="31"/>
      <c r="O21" s="31"/>
    </row>
    <row r="22" spans="2:16" x14ac:dyDescent="0.35">
      <c r="B22" s="116">
        <v>18</v>
      </c>
      <c r="C22" s="117">
        <v>14.75</v>
      </c>
      <c r="D22" s="117">
        <v>2017</v>
      </c>
      <c r="E22" s="31">
        <v>3</v>
      </c>
      <c r="L22" s="31"/>
      <c r="M22" s="31"/>
      <c r="N22" s="31"/>
      <c r="O22" s="31">
        <v>1.07</v>
      </c>
    </row>
    <row r="23" spans="2:16" x14ac:dyDescent="0.35">
      <c r="B23" s="116">
        <v>17</v>
      </c>
      <c r="C23" s="117">
        <v>15.06</v>
      </c>
      <c r="D23" s="117">
        <v>2017</v>
      </c>
      <c r="E23" s="31">
        <v>4</v>
      </c>
    </row>
    <row r="24" spans="2:16" x14ac:dyDescent="0.35">
      <c r="B24" s="116">
        <v>16</v>
      </c>
      <c r="C24" s="117">
        <v>14.61</v>
      </c>
      <c r="D24" s="117">
        <v>2018</v>
      </c>
      <c r="E24" s="31">
        <v>1</v>
      </c>
    </row>
    <row r="25" spans="2:16" x14ac:dyDescent="0.35">
      <c r="B25" s="116">
        <v>15</v>
      </c>
      <c r="C25" s="117">
        <v>14.65</v>
      </c>
      <c r="D25" s="117">
        <v>2018</v>
      </c>
      <c r="E25" s="31">
        <v>2</v>
      </c>
    </row>
    <row r="26" spans="2:16" x14ac:dyDescent="0.35">
      <c r="B26" s="116">
        <v>14</v>
      </c>
      <c r="C26" s="117">
        <v>15.05</v>
      </c>
      <c r="D26" s="117">
        <v>2018</v>
      </c>
      <c r="E26" s="31">
        <v>3</v>
      </c>
    </row>
    <row r="27" spans="2:16" x14ac:dyDescent="0.35">
      <c r="B27" s="116">
        <v>13</v>
      </c>
      <c r="C27" s="117">
        <v>15.31</v>
      </c>
      <c r="D27" s="117">
        <v>2018</v>
      </c>
      <c r="E27" s="31">
        <v>4</v>
      </c>
    </row>
    <row r="28" spans="2:16" x14ac:dyDescent="0.35">
      <c r="B28" s="116">
        <v>12</v>
      </c>
      <c r="C28" s="117">
        <v>15.73</v>
      </c>
      <c r="D28" s="117">
        <v>2019</v>
      </c>
      <c r="E28" s="31">
        <v>1</v>
      </c>
    </row>
    <row r="29" spans="2:16" x14ac:dyDescent="0.35">
      <c r="B29" s="116">
        <v>11</v>
      </c>
      <c r="C29" s="117">
        <v>17.45</v>
      </c>
      <c r="D29" s="117">
        <v>2019</v>
      </c>
      <c r="E29" s="31">
        <v>2</v>
      </c>
    </row>
    <row r="30" spans="2:16" x14ac:dyDescent="0.35">
      <c r="B30" s="116">
        <v>10</v>
      </c>
      <c r="C30" s="117">
        <v>17.16</v>
      </c>
      <c r="D30" s="117">
        <v>2019</v>
      </c>
      <c r="E30" s="31">
        <v>3</v>
      </c>
    </row>
    <row r="31" spans="2:16" x14ac:dyDescent="0.35">
      <c r="B31" s="116">
        <v>9</v>
      </c>
      <c r="C31" s="117">
        <v>17</v>
      </c>
      <c r="D31" s="117">
        <v>2019</v>
      </c>
      <c r="E31" s="31">
        <v>4</v>
      </c>
    </row>
    <row r="32" spans="2:16" x14ac:dyDescent="0.35">
      <c r="B32" s="116">
        <v>8</v>
      </c>
      <c r="C32" s="117">
        <v>17.87</v>
      </c>
      <c r="D32" s="117">
        <v>2020</v>
      </c>
      <c r="E32" s="31">
        <v>1</v>
      </c>
    </row>
    <row r="33" spans="2:5" x14ac:dyDescent="0.35">
      <c r="B33" s="116">
        <v>7</v>
      </c>
      <c r="C33" s="117">
        <v>16.68</v>
      </c>
      <c r="D33" s="117">
        <v>2020</v>
      </c>
      <c r="E33" s="31">
        <v>2</v>
      </c>
    </row>
    <row r="34" spans="2:5" x14ac:dyDescent="0.35">
      <c r="B34" s="116">
        <v>6</v>
      </c>
      <c r="C34" s="117">
        <v>16.68</v>
      </c>
      <c r="D34" s="117">
        <v>2020</v>
      </c>
      <c r="E34" s="31">
        <v>3</v>
      </c>
    </row>
    <row r="35" spans="2:5" x14ac:dyDescent="0.35">
      <c r="B35" s="116">
        <v>5</v>
      </c>
      <c r="C35" s="117">
        <v>16.93</v>
      </c>
      <c r="D35" s="117">
        <v>2020</v>
      </c>
      <c r="E35" s="31">
        <v>4</v>
      </c>
    </row>
    <row r="36" spans="2:5" x14ac:dyDescent="0.35">
      <c r="B36" s="116">
        <v>4</v>
      </c>
      <c r="C36" s="117">
        <v>17.8</v>
      </c>
      <c r="D36" s="117">
        <v>2021</v>
      </c>
      <c r="E36" s="31">
        <v>1</v>
      </c>
    </row>
    <row r="37" spans="2:5" x14ac:dyDescent="0.35">
      <c r="B37" s="116">
        <v>3</v>
      </c>
      <c r="C37" s="117">
        <v>18.8</v>
      </c>
      <c r="D37" s="117">
        <v>2021</v>
      </c>
      <c r="E37" s="31">
        <v>2</v>
      </c>
    </row>
    <row r="38" spans="2:5" x14ac:dyDescent="0.35">
      <c r="B38" s="116">
        <v>2</v>
      </c>
      <c r="C38" s="117">
        <v>23.3</v>
      </c>
      <c r="D38" s="117">
        <v>2021</v>
      </c>
      <c r="E38" s="31">
        <v>3</v>
      </c>
    </row>
    <row r="39" spans="2:5" x14ac:dyDescent="0.35">
      <c r="B39" s="116">
        <v>1</v>
      </c>
      <c r="C39" s="117">
        <v>28.26</v>
      </c>
      <c r="D39" s="117">
        <v>2021</v>
      </c>
      <c r="E39" s="31">
        <v>4</v>
      </c>
    </row>
    <row r="40" spans="2:5" x14ac:dyDescent="0.35">
      <c r="C40" s="258">
        <v>29.15</v>
      </c>
      <c r="D40" s="117">
        <v>2022</v>
      </c>
      <c r="E40" s="31">
        <v>1</v>
      </c>
    </row>
    <row r="41" spans="2:5" x14ac:dyDescent="0.35">
      <c r="C41" s="258">
        <v>30.85</v>
      </c>
      <c r="D41" s="117">
        <v>2022</v>
      </c>
      <c r="E41" s="31">
        <v>2</v>
      </c>
    </row>
    <row r="42" spans="2:5" x14ac:dyDescent="0.35">
      <c r="C42" s="258">
        <v>27</v>
      </c>
      <c r="D42" s="117">
        <v>2022</v>
      </c>
      <c r="E42" s="31">
        <v>3</v>
      </c>
    </row>
    <row r="43" spans="2:5" x14ac:dyDescent="0.35">
      <c r="C43" s="258">
        <v>26.8</v>
      </c>
      <c r="D43" s="117">
        <v>2022</v>
      </c>
      <c r="E43" s="31">
        <v>4</v>
      </c>
    </row>
  </sheetData>
  <autoFilter ref="B2:D39" xr:uid="{80E2AF25-771A-4CBC-B434-E739FA1BB31F}">
    <sortState xmlns:xlrd2="http://schemas.microsoft.com/office/spreadsheetml/2017/richdata2" ref="B3:D39">
      <sortCondition descending="1" ref="B2:B39"/>
    </sortState>
  </autoFilter>
  <mergeCells count="3">
    <mergeCell ref="I3:I4"/>
    <mergeCell ref="I5:I7"/>
    <mergeCell ref="I8:I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C35E-DFE2-48C9-912E-FF0028171819}">
  <dimension ref="A1:X73"/>
  <sheetViews>
    <sheetView zoomScale="55" zoomScaleNormal="55" workbookViewId="0"/>
  </sheetViews>
  <sheetFormatPr baseColWidth="10" defaultRowHeight="14.5" x14ac:dyDescent="0.35"/>
  <cols>
    <col min="1" max="1" width="36.7265625" customWidth="1"/>
    <col min="2" max="2" width="22.81640625" style="43" customWidth="1"/>
    <col min="3" max="3" width="21.1796875" style="43" customWidth="1"/>
    <col min="4" max="6" width="15.453125" style="43" bestFit="1" customWidth="1"/>
    <col min="7" max="7" width="14.7265625" style="43" customWidth="1"/>
    <col min="8" max="11" width="15.453125" style="43" bestFit="1" customWidth="1"/>
    <col min="12" max="20" width="15.453125" style="64" customWidth="1"/>
    <col min="21" max="21" width="22.81640625" style="59" customWidth="1"/>
    <col min="22" max="22" width="24.7265625" customWidth="1"/>
    <col min="23" max="23" width="27.1796875" customWidth="1"/>
  </cols>
  <sheetData>
    <row r="1" spans="1:21" x14ac:dyDescent="0.35">
      <c r="A1" t="s">
        <v>84</v>
      </c>
      <c r="C1" s="43" t="s">
        <v>79</v>
      </c>
    </row>
    <row r="2" spans="1:21" x14ac:dyDescent="0.35">
      <c r="A2" s="3"/>
      <c r="B2" s="44"/>
      <c r="C2" s="44">
        <v>2013</v>
      </c>
      <c r="D2" s="44">
        <v>2014</v>
      </c>
      <c r="E2" s="44">
        <v>2015</v>
      </c>
      <c r="F2" s="44">
        <v>2016</v>
      </c>
      <c r="G2" s="44">
        <v>2017</v>
      </c>
      <c r="H2" s="44">
        <v>2018</v>
      </c>
      <c r="I2" s="44">
        <v>2019</v>
      </c>
      <c r="J2" s="44">
        <v>2020</v>
      </c>
      <c r="K2" s="44">
        <v>2021</v>
      </c>
      <c r="L2" s="89">
        <v>2022</v>
      </c>
      <c r="M2" s="89">
        <v>2023</v>
      </c>
      <c r="N2" s="89">
        <v>2024</v>
      </c>
      <c r="O2" s="89">
        <v>2025</v>
      </c>
      <c r="P2" s="89">
        <v>2026</v>
      </c>
      <c r="Q2" s="89">
        <v>2027</v>
      </c>
      <c r="R2" s="89">
        <v>2028</v>
      </c>
      <c r="S2" s="89">
        <v>2029</v>
      </c>
      <c r="T2" s="89">
        <v>2030</v>
      </c>
      <c r="U2" s="58"/>
    </row>
    <row r="3" spans="1:21" s="36" customFormat="1" x14ac:dyDescent="0.35">
      <c r="A3" s="285" t="s">
        <v>77</v>
      </c>
      <c r="B3" s="39" t="s">
        <v>63</v>
      </c>
      <c r="C3" s="49">
        <v>53894995</v>
      </c>
      <c r="D3" s="50">
        <v>54394368</v>
      </c>
      <c r="E3" s="49">
        <v>109099690</v>
      </c>
      <c r="F3" s="50">
        <v>102510328</v>
      </c>
      <c r="G3" s="50">
        <v>95647186</v>
      </c>
      <c r="H3" s="50">
        <v>85546798</v>
      </c>
      <c r="I3" s="50">
        <v>86101402</v>
      </c>
      <c r="J3" s="50">
        <v>100165369</v>
      </c>
      <c r="K3" s="50">
        <v>90950050</v>
      </c>
      <c r="L3" s="50">
        <v>71165667</v>
      </c>
      <c r="M3" s="50"/>
      <c r="N3" s="50"/>
      <c r="O3" s="50"/>
      <c r="P3" s="50"/>
      <c r="Q3" s="50"/>
      <c r="R3" s="50"/>
      <c r="S3" s="50"/>
      <c r="T3" s="50"/>
      <c r="U3" s="59"/>
    </row>
    <row r="4" spans="1:21" s="31" customFormat="1" x14ac:dyDescent="0.35">
      <c r="A4" s="285"/>
      <c r="B4" s="38" t="s">
        <v>75</v>
      </c>
      <c r="C4" s="51">
        <v>18916605</v>
      </c>
      <c r="D4" s="51">
        <v>18602110</v>
      </c>
      <c r="E4" s="51">
        <v>18743474</v>
      </c>
      <c r="F4" s="51">
        <v>18406196</v>
      </c>
      <c r="G4" s="51">
        <v>18774484</v>
      </c>
      <c r="H4" s="51">
        <v>17661166</v>
      </c>
      <c r="I4" s="51">
        <v>18951411</v>
      </c>
      <c r="J4" s="51">
        <v>18231662</v>
      </c>
      <c r="K4" s="51">
        <v>13814248</v>
      </c>
      <c r="L4" s="51">
        <v>13796392</v>
      </c>
      <c r="M4" s="51"/>
      <c r="N4" s="51"/>
      <c r="O4" s="51"/>
      <c r="P4" s="51"/>
      <c r="Q4" s="51"/>
      <c r="R4" s="51"/>
      <c r="S4" s="51"/>
      <c r="T4" s="51"/>
      <c r="U4" s="59"/>
    </row>
    <row r="5" spans="1:21" s="16" customFormat="1" x14ac:dyDescent="0.35">
      <c r="A5" s="286"/>
      <c r="B5" s="45" t="s">
        <v>67</v>
      </c>
      <c r="C5" s="52">
        <f>C3+C4</f>
        <v>72811600</v>
      </c>
      <c r="D5" s="52">
        <f t="shared" ref="D5:L5" si="0">D3+D4</f>
        <v>72996478</v>
      </c>
      <c r="E5" s="52">
        <f t="shared" si="0"/>
        <v>127843164</v>
      </c>
      <c r="F5" s="52">
        <f t="shared" si="0"/>
        <v>120916524</v>
      </c>
      <c r="G5" s="52">
        <f t="shared" si="0"/>
        <v>114421670</v>
      </c>
      <c r="H5" s="52">
        <f t="shared" si="0"/>
        <v>103207964</v>
      </c>
      <c r="I5" s="52">
        <f t="shared" si="0"/>
        <v>105052813</v>
      </c>
      <c r="J5" s="52">
        <f t="shared" si="0"/>
        <v>118397031</v>
      </c>
      <c r="K5" s="52">
        <f t="shared" si="0"/>
        <v>104764298</v>
      </c>
      <c r="L5" s="52">
        <f t="shared" si="0"/>
        <v>84962059</v>
      </c>
      <c r="M5" s="52"/>
      <c r="N5" s="52"/>
      <c r="O5" s="52"/>
      <c r="P5" s="52"/>
      <c r="Q5" s="52"/>
      <c r="R5" s="52"/>
      <c r="S5" s="52"/>
      <c r="T5" s="52"/>
      <c r="U5" s="59"/>
    </row>
    <row r="6" spans="1:21" s="16" customFormat="1" ht="42.65" customHeight="1" x14ac:dyDescent="0.35">
      <c r="A6" s="287" t="s">
        <v>99</v>
      </c>
      <c r="B6" s="91" t="s">
        <v>67</v>
      </c>
      <c r="C6" s="79">
        <f t="shared" ref="C6:K6" si="1">SUM(C7:C10)</f>
        <v>84024604</v>
      </c>
      <c r="D6" s="79">
        <f t="shared" si="1"/>
        <v>85177138</v>
      </c>
      <c r="E6" s="79">
        <f t="shared" si="1"/>
        <v>297137847</v>
      </c>
      <c r="F6" s="79">
        <f t="shared" si="1"/>
        <v>310140990</v>
      </c>
      <c r="G6" s="79">
        <f t="shared" si="1"/>
        <v>267933394</v>
      </c>
      <c r="H6" s="79">
        <f t="shared" si="1"/>
        <v>287135316</v>
      </c>
      <c r="I6" s="79">
        <f t="shared" si="1"/>
        <v>258192144</v>
      </c>
      <c r="J6" s="79">
        <f t="shared" si="1"/>
        <v>226338987</v>
      </c>
      <c r="K6" s="80">
        <f t="shared" si="1"/>
        <v>227233784</v>
      </c>
      <c r="L6" s="80">
        <f>SUM(L7:L10)</f>
        <v>231835936</v>
      </c>
      <c r="M6" s="80"/>
      <c r="N6" s="80"/>
      <c r="O6" s="80"/>
      <c r="P6" s="80"/>
      <c r="Q6" s="80"/>
      <c r="R6" s="80"/>
      <c r="S6" s="80"/>
      <c r="T6" s="80"/>
      <c r="U6" s="81"/>
    </row>
    <row r="7" spans="1:21" s="16" customFormat="1" x14ac:dyDescent="0.35">
      <c r="A7" s="288"/>
      <c r="B7" s="39" t="s">
        <v>71</v>
      </c>
      <c r="C7" s="94">
        <v>36050932</v>
      </c>
      <c r="D7" s="50">
        <v>20587806</v>
      </c>
      <c r="E7" s="50">
        <v>73610528</v>
      </c>
      <c r="F7" s="50">
        <v>69944509</v>
      </c>
      <c r="G7" s="50">
        <v>65094972</v>
      </c>
      <c r="H7" s="50">
        <v>83321400</v>
      </c>
      <c r="I7" s="50">
        <v>64677924</v>
      </c>
      <c r="J7" s="53">
        <v>55276296</v>
      </c>
      <c r="K7" s="50">
        <v>54773607</v>
      </c>
      <c r="L7" s="262">
        <v>58527697</v>
      </c>
      <c r="M7" s="50"/>
      <c r="N7" s="50"/>
      <c r="O7" s="50"/>
      <c r="P7" s="50"/>
      <c r="Q7" s="50"/>
      <c r="R7" s="50"/>
      <c r="S7" s="50"/>
      <c r="T7" s="50"/>
      <c r="U7" s="59"/>
    </row>
    <row r="8" spans="1:21" s="16" customFormat="1" x14ac:dyDescent="0.35">
      <c r="A8" s="288"/>
      <c r="B8" s="46" t="s">
        <v>72</v>
      </c>
      <c r="C8" s="51">
        <v>14522048</v>
      </c>
      <c r="D8" s="51">
        <v>17996191</v>
      </c>
      <c r="E8" s="51">
        <v>74984951</v>
      </c>
      <c r="F8" s="51">
        <v>67675951</v>
      </c>
      <c r="G8" s="51">
        <v>75311960</v>
      </c>
      <c r="H8" s="51">
        <v>77218854</v>
      </c>
      <c r="I8" s="51">
        <v>64406127</v>
      </c>
      <c r="J8" s="54">
        <v>55726950</v>
      </c>
      <c r="K8" s="51">
        <v>56659080</v>
      </c>
      <c r="L8" s="263">
        <v>58331300</v>
      </c>
      <c r="M8" s="51"/>
      <c r="N8" s="51"/>
      <c r="O8" s="51"/>
      <c r="P8" s="51"/>
      <c r="Q8" s="51"/>
      <c r="R8" s="51"/>
      <c r="S8" s="51"/>
      <c r="T8" s="51"/>
      <c r="U8" s="59"/>
    </row>
    <row r="9" spans="1:21" s="16" customFormat="1" x14ac:dyDescent="0.35">
      <c r="A9" s="288"/>
      <c r="B9" s="47" t="s">
        <v>73</v>
      </c>
      <c r="C9" s="50">
        <v>13865422</v>
      </c>
      <c r="D9" s="50">
        <v>23522154</v>
      </c>
      <c r="E9" s="50">
        <v>73429360</v>
      </c>
      <c r="F9" s="50">
        <v>86278410</v>
      </c>
      <c r="G9" s="50">
        <v>63887833</v>
      </c>
      <c r="H9" s="50">
        <v>63537013</v>
      </c>
      <c r="I9" s="50">
        <v>64374460</v>
      </c>
      <c r="J9" s="53">
        <v>59250484</v>
      </c>
      <c r="K9" s="50">
        <v>57009230</v>
      </c>
      <c r="L9" s="262">
        <v>56956085</v>
      </c>
      <c r="M9" s="50"/>
      <c r="N9" s="50"/>
      <c r="O9" s="50"/>
      <c r="P9" s="50"/>
      <c r="Q9" s="50"/>
      <c r="R9" s="50"/>
      <c r="S9" s="50"/>
      <c r="T9" s="50"/>
      <c r="U9" s="59"/>
    </row>
    <row r="10" spans="1:21" s="16" customFormat="1" x14ac:dyDescent="0.35">
      <c r="A10" s="289"/>
      <c r="B10" s="46" t="s">
        <v>74</v>
      </c>
      <c r="C10" s="51">
        <v>19586202</v>
      </c>
      <c r="D10" s="51">
        <v>23070987</v>
      </c>
      <c r="E10" s="51">
        <v>75113008</v>
      </c>
      <c r="F10" s="51">
        <v>86242120</v>
      </c>
      <c r="G10" s="51">
        <v>63638629</v>
      </c>
      <c r="H10" s="51">
        <v>63058049</v>
      </c>
      <c r="I10" s="51">
        <v>64733633</v>
      </c>
      <c r="J10" s="54">
        <v>56085257</v>
      </c>
      <c r="K10" s="51">
        <v>58791867</v>
      </c>
      <c r="L10" s="263">
        <v>58020854</v>
      </c>
      <c r="M10" s="51"/>
      <c r="N10" s="51"/>
      <c r="O10" s="51"/>
      <c r="P10" s="51"/>
      <c r="Q10" s="51"/>
      <c r="R10" s="51"/>
      <c r="S10" s="51"/>
      <c r="T10" s="51"/>
      <c r="U10" s="59"/>
    </row>
    <row r="11" spans="1:21" s="16" customFormat="1" ht="43.5" customHeight="1" x14ac:dyDescent="0.35">
      <c r="A11" s="282" t="s">
        <v>100</v>
      </c>
      <c r="B11" s="95" t="s">
        <v>67</v>
      </c>
      <c r="C11" s="96">
        <f t="shared" ref="C11:D11" si="2">SUM(C12:C15)</f>
        <v>0</v>
      </c>
      <c r="D11" s="96">
        <f t="shared" si="2"/>
        <v>0</v>
      </c>
      <c r="E11" s="96">
        <f t="shared" ref="E11:N11" si="3">SUM(E12:E15)</f>
        <v>39450000</v>
      </c>
      <c r="F11" s="96">
        <f t="shared" si="3"/>
        <v>39265000</v>
      </c>
      <c r="G11" s="96">
        <f t="shared" si="3"/>
        <v>43148000</v>
      </c>
      <c r="H11" s="96">
        <f t="shared" si="3"/>
        <v>41726000</v>
      </c>
      <c r="I11" s="96">
        <f t="shared" si="3"/>
        <v>40315000</v>
      </c>
      <c r="J11" s="96">
        <f t="shared" si="3"/>
        <v>38894000</v>
      </c>
      <c r="K11" s="96">
        <f t="shared" si="3"/>
        <v>43658900</v>
      </c>
      <c r="L11" s="96">
        <f t="shared" si="3"/>
        <v>36152000</v>
      </c>
      <c r="M11" s="96">
        <f t="shared" si="3"/>
        <v>34689000</v>
      </c>
      <c r="N11" s="96">
        <f t="shared" si="3"/>
        <v>33225000</v>
      </c>
      <c r="O11" s="96">
        <v>30308000</v>
      </c>
      <c r="P11" s="96"/>
      <c r="Q11" s="96"/>
      <c r="R11" s="96"/>
      <c r="S11" s="96"/>
      <c r="T11" s="96"/>
      <c r="U11" s="81"/>
    </row>
    <row r="12" spans="1:21" s="16" customFormat="1" x14ac:dyDescent="0.35">
      <c r="A12" s="283"/>
      <c r="B12" s="46" t="s">
        <v>71</v>
      </c>
      <c r="C12" s="51"/>
      <c r="D12" s="51"/>
      <c r="E12" s="51"/>
      <c r="F12" s="51">
        <v>9560000</v>
      </c>
      <c r="G12" s="51">
        <v>10787000</v>
      </c>
      <c r="H12" s="51">
        <v>10431500</v>
      </c>
      <c r="I12" s="51">
        <v>10078750</v>
      </c>
      <c r="J12" s="51">
        <v>9723500</v>
      </c>
      <c r="K12" s="51">
        <v>12427950</v>
      </c>
      <c r="L12" s="51">
        <v>9038000</v>
      </c>
      <c r="M12" s="54">
        <v>8672250</v>
      </c>
      <c r="N12" s="51">
        <v>8306250</v>
      </c>
      <c r="O12" s="51"/>
      <c r="P12" s="51"/>
      <c r="Q12" s="51"/>
      <c r="R12" s="51"/>
      <c r="S12" s="51"/>
      <c r="T12" s="51"/>
      <c r="U12" s="81"/>
    </row>
    <row r="13" spans="1:21" s="16" customFormat="1" x14ac:dyDescent="0.35">
      <c r="A13" s="283"/>
      <c r="B13" s="92" t="s">
        <v>72</v>
      </c>
      <c r="C13" s="93"/>
      <c r="D13" s="93"/>
      <c r="E13" s="93"/>
      <c r="F13" s="93">
        <v>9560000</v>
      </c>
      <c r="G13" s="93">
        <v>10787000</v>
      </c>
      <c r="H13" s="93">
        <v>10431500</v>
      </c>
      <c r="I13" s="93">
        <v>10078750</v>
      </c>
      <c r="J13" s="93">
        <v>9723500</v>
      </c>
      <c r="K13" s="93">
        <v>12427950</v>
      </c>
      <c r="L13" s="93">
        <v>9038000</v>
      </c>
      <c r="M13" s="94">
        <v>8672250</v>
      </c>
      <c r="N13" s="93">
        <v>8306250</v>
      </c>
      <c r="O13" s="93"/>
      <c r="P13" s="93"/>
      <c r="Q13" s="93"/>
      <c r="R13" s="93"/>
      <c r="S13" s="93"/>
      <c r="T13" s="93"/>
      <c r="U13" s="81"/>
    </row>
    <row r="14" spans="1:21" s="16" customFormat="1" x14ac:dyDescent="0.35">
      <c r="A14" s="283"/>
      <c r="B14" s="46" t="s">
        <v>73</v>
      </c>
      <c r="C14" s="51"/>
      <c r="D14" s="51"/>
      <c r="E14" s="51"/>
      <c r="F14" s="51">
        <v>9560000</v>
      </c>
      <c r="G14" s="51">
        <v>10787000</v>
      </c>
      <c r="H14" s="51">
        <v>10431500</v>
      </c>
      <c r="I14" s="51">
        <v>10078750</v>
      </c>
      <c r="J14" s="51">
        <v>9723500</v>
      </c>
      <c r="K14" s="51">
        <v>9401500</v>
      </c>
      <c r="L14" s="51">
        <v>9038000</v>
      </c>
      <c r="M14" s="54">
        <v>8672250</v>
      </c>
      <c r="N14" s="51">
        <v>8306250</v>
      </c>
      <c r="O14" s="51"/>
      <c r="P14" s="51"/>
      <c r="Q14" s="51"/>
      <c r="R14" s="51"/>
      <c r="S14" s="51"/>
      <c r="T14" s="51"/>
      <c r="U14" s="81"/>
    </row>
    <row r="15" spans="1:21" s="16" customFormat="1" x14ac:dyDescent="0.35">
      <c r="A15" s="284"/>
      <c r="B15" s="92" t="s">
        <v>74</v>
      </c>
      <c r="C15" s="93"/>
      <c r="D15" s="93"/>
      <c r="E15" s="93">
        <v>39450000</v>
      </c>
      <c r="F15" s="93">
        <v>10585000</v>
      </c>
      <c r="G15" s="93">
        <v>10787000</v>
      </c>
      <c r="H15" s="93">
        <v>10431500</v>
      </c>
      <c r="I15" s="93">
        <v>10078750</v>
      </c>
      <c r="J15" s="93">
        <v>9723500</v>
      </c>
      <c r="K15" s="93">
        <v>9401500</v>
      </c>
      <c r="L15" s="93">
        <v>9038000</v>
      </c>
      <c r="M15" s="94">
        <v>8672250</v>
      </c>
      <c r="N15" s="93">
        <v>8306250</v>
      </c>
      <c r="O15" s="93"/>
      <c r="P15" s="93"/>
      <c r="Q15" s="93"/>
      <c r="R15" s="93"/>
      <c r="S15" s="93"/>
      <c r="T15" s="93"/>
      <c r="U15" s="81"/>
    </row>
    <row r="16" spans="1:21" s="16" customFormat="1" ht="43.5" customHeight="1" x14ac:dyDescent="0.35">
      <c r="A16" s="84" t="s">
        <v>101</v>
      </c>
      <c r="B16" s="85" t="s">
        <v>67</v>
      </c>
      <c r="C16" s="80">
        <f>C5+C6+C11</f>
        <v>156836204</v>
      </c>
      <c r="D16" s="80">
        <f t="shared" ref="D16:K16" si="4">D5+D6+D11</f>
        <v>158173616</v>
      </c>
      <c r="E16" s="80">
        <f t="shared" si="4"/>
        <v>464431011</v>
      </c>
      <c r="F16" s="80">
        <f t="shared" si="4"/>
        <v>470322514</v>
      </c>
      <c r="G16" s="80">
        <f t="shared" si="4"/>
        <v>425503064</v>
      </c>
      <c r="H16" s="80">
        <f t="shared" si="4"/>
        <v>432069280</v>
      </c>
      <c r="I16" s="80">
        <f t="shared" si="4"/>
        <v>403559957</v>
      </c>
      <c r="J16" s="80">
        <f t="shared" si="4"/>
        <v>383630018</v>
      </c>
      <c r="K16" s="80">
        <f t="shared" si="4"/>
        <v>375656982</v>
      </c>
      <c r="L16" s="80">
        <f>L5+L6+L11</f>
        <v>352949995</v>
      </c>
      <c r="M16" s="213">
        <f>'Supply levels'!K14*1000000</f>
        <v>338485483.37020582</v>
      </c>
      <c r="N16" s="213">
        <f>'Supply levels'!K15*1000000</f>
        <v>324231244.39523435</v>
      </c>
      <c r="O16" s="213">
        <f>'Supply levels'!K16*1000000</f>
        <v>309977005.42026281</v>
      </c>
      <c r="P16" s="213">
        <f>'Supply levels'!K17*1000000</f>
        <v>295732524.27591491</v>
      </c>
      <c r="Q16" s="213">
        <f>'Supply levels'!K18*1000000</f>
        <v>281478285.30094349</v>
      </c>
      <c r="R16" s="213">
        <f>'Supply levels'!K19*1000000</f>
        <v>267233804.15659556</v>
      </c>
      <c r="S16" s="213">
        <f>'Supply levels'!K20*1000000</f>
        <v>252979565.18162403</v>
      </c>
      <c r="T16" s="213">
        <f>'Supply levels'!K21*1000000</f>
        <v>238735084.03727606</v>
      </c>
      <c r="U16" s="81"/>
    </row>
    <row r="17" spans="1:24" s="16" customFormat="1" x14ac:dyDescent="0.35">
      <c r="A17" s="149" t="s">
        <v>98</v>
      </c>
      <c r="B17" s="95" t="s">
        <v>64</v>
      </c>
      <c r="C17" s="96">
        <v>2040026</v>
      </c>
      <c r="D17" s="93"/>
      <c r="E17" s="93"/>
      <c r="F17" s="93"/>
      <c r="G17" s="93"/>
      <c r="H17" s="93"/>
      <c r="I17" s="93"/>
      <c r="J17" s="94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81"/>
    </row>
    <row r="18" spans="1:24" s="16" customFormat="1" x14ac:dyDescent="0.35">
      <c r="A18" s="287" t="s">
        <v>78</v>
      </c>
      <c r="B18" s="104" t="s">
        <v>63</v>
      </c>
      <c r="C18" s="51">
        <v>28256451</v>
      </c>
      <c r="D18" s="51">
        <v>14753967</v>
      </c>
      <c r="E18" s="51">
        <v>18899246</v>
      </c>
      <c r="F18" s="51">
        <v>53349753</v>
      </c>
      <c r="G18" s="51">
        <v>40001930</v>
      </c>
      <c r="H18" s="51">
        <v>30530161</v>
      </c>
      <c r="I18" s="51">
        <v>30421642</v>
      </c>
      <c r="J18" s="54">
        <v>11738412</v>
      </c>
      <c r="K18" s="51">
        <v>3183092</v>
      </c>
      <c r="L18" s="180">
        <v>11565096</v>
      </c>
      <c r="M18" s="109"/>
      <c r="N18" s="109"/>
      <c r="O18" s="109"/>
      <c r="P18" s="109"/>
      <c r="Q18" s="109"/>
      <c r="R18" s="109"/>
      <c r="S18" s="109"/>
      <c r="T18" s="109"/>
    </row>
    <row r="19" spans="1:24" s="16" customFormat="1" x14ac:dyDescent="0.35">
      <c r="A19" s="288"/>
      <c r="B19" s="150" t="s">
        <v>64</v>
      </c>
      <c r="C19" s="93">
        <v>0</v>
      </c>
      <c r="D19" s="93">
        <v>177661</v>
      </c>
      <c r="E19" s="93">
        <v>327947</v>
      </c>
      <c r="F19" s="93">
        <v>58385</v>
      </c>
      <c r="G19" s="93">
        <v>48850</v>
      </c>
      <c r="H19" s="93">
        <v>114190</v>
      </c>
      <c r="I19" s="93">
        <v>85234</v>
      </c>
      <c r="J19" s="94">
        <v>145212</v>
      </c>
      <c r="K19" s="93">
        <v>143771</v>
      </c>
      <c r="L19" s="94">
        <v>251534</v>
      </c>
      <c r="M19" s="113"/>
      <c r="N19" s="113"/>
      <c r="O19" s="113"/>
      <c r="P19" s="113"/>
      <c r="Q19" s="113"/>
      <c r="R19" s="113"/>
      <c r="S19" s="113"/>
      <c r="T19" s="113"/>
    </row>
    <row r="20" spans="1:24" s="16" customFormat="1" x14ac:dyDescent="0.35">
      <c r="A20" s="288"/>
      <c r="B20" s="85" t="s">
        <v>67</v>
      </c>
      <c r="C20" s="80">
        <f>SUM(C18:C19)</f>
        <v>28256451</v>
      </c>
      <c r="D20" s="80">
        <f t="shared" ref="D20:L20" si="5">SUM(D18:D19)</f>
        <v>14931628</v>
      </c>
      <c r="E20" s="80">
        <f t="shared" si="5"/>
        <v>19227193</v>
      </c>
      <c r="F20" s="80">
        <f t="shared" si="5"/>
        <v>53408138</v>
      </c>
      <c r="G20" s="80">
        <f t="shared" si="5"/>
        <v>40050780</v>
      </c>
      <c r="H20" s="80">
        <f t="shared" si="5"/>
        <v>30644351</v>
      </c>
      <c r="I20" s="80">
        <f t="shared" si="5"/>
        <v>30506876</v>
      </c>
      <c r="J20" s="80">
        <f t="shared" si="5"/>
        <v>11883624</v>
      </c>
      <c r="K20" s="80">
        <f t="shared" si="5"/>
        <v>3326863</v>
      </c>
      <c r="L20" s="80">
        <f t="shared" si="5"/>
        <v>11816630</v>
      </c>
      <c r="M20" s="210">
        <f>'Supply levels'!M14*1000000</f>
        <v>15987040</v>
      </c>
      <c r="N20" s="210">
        <f>'Supply levels'!M15*1000000</f>
        <v>15353120</v>
      </c>
      <c r="O20" s="210">
        <f>'Supply levels'!M16*1000000</f>
        <v>14719200</v>
      </c>
      <c r="P20" s="210">
        <f>'Supply levels'!M17*1000000</f>
        <v>19165920</v>
      </c>
      <c r="Q20" s="210">
        <f>'Supply levels'!M18*1000000</f>
        <v>18264640</v>
      </c>
      <c r="R20" s="210">
        <f>'Supply levels'!M19*1000000</f>
        <v>17364160</v>
      </c>
      <c r="S20" s="210">
        <f>'Supply levels'!M20*1000000</f>
        <v>16462880.000000002</v>
      </c>
      <c r="T20" s="210">
        <f>'Supply levels'!M21*1000000</f>
        <v>15562399.999999998</v>
      </c>
    </row>
    <row r="21" spans="1:24" s="37" customFormat="1" ht="29.15" customHeight="1" x14ac:dyDescent="0.35">
      <c r="A21" s="42" t="s">
        <v>122</v>
      </c>
      <c r="B21" s="42" t="s">
        <v>67</v>
      </c>
      <c r="C21" s="56">
        <f>C16+C17+C20</f>
        <v>187132681</v>
      </c>
      <c r="D21" s="56">
        <f>D16+D17+D20</f>
        <v>173105244</v>
      </c>
      <c r="E21" s="56">
        <f t="shared" ref="E21:T21" si="6">E16+E17+E20</f>
        <v>483658204</v>
      </c>
      <c r="F21" s="56">
        <f t="shared" si="6"/>
        <v>523730652</v>
      </c>
      <c r="G21" s="56">
        <f t="shared" si="6"/>
        <v>465553844</v>
      </c>
      <c r="H21" s="56">
        <f t="shared" si="6"/>
        <v>462713631</v>
      </c>
      <c r="I21" s="56">
        <f t="shared" si="6"/>
        <v>434066833</v>
      </c>
      <c r="J21" s="56">
        <f t="shared" si="6"/>
        <v>395513642</v>
      </c>
      <c r="K21" s="56">
        <f t="shared" si="6"/>
        <v>378983845</v>
      </c>
      <c r="L21" s="56">
        <f t="shared" si="6"/>
        <v>364766625</v>
      </c>
      <c r="M21" s="212">
        <f t="shared" si="6"/>
        <v>354472523.37020582</v>
      </c>
      <c r="N21" s="212">
        <f t="shared" si="6"/>
        <v>339584364.39523435</v>
      </c>
      <c r="O21" s="212">
        <f t="shared" si="6"/>
        <v>324696205.42026281</v>
      </c>
      <c r="P21" s="212">
        <f t="shared" si="6"/>
        <v>314898444.27591491</v>
      </c>
      <c r="Q21" s="212">
        <f t="shared" si="6"/>
        <v>299742925.30094349</v>
      </c>
      <c r="R21" s="212">
        <f t="shared" si="6"/>
        <v>284597964.15659559</v>
      </c>
      <c r="S21" s="212">
        <f t="shared" si="6"/>
        <v>269442445.18162405</v>
      </c>
      <c r="T21" s="212">
        <f t="shared" si="6"/>
        <v>254297484.03727606</v>
      </c>
      <c r="U21" s="59"/>
    </row>
    <row r="22" spans="1:24" ht="43" customHeight="1" x14ac:dyDescent="0.35">
      <c r="A22" s="101" t="s">
        <v>108</v>
      </c>
      <c r="B22" s="101" t="s">
        <v>67</v>
      </c>
      <c r="C22" s="291">
        <f>C21+D21</f>
        <v>360237925</v>
      </c>
      <c r="D22" s="292"/>
      <c r="E22" s="291">
        <f>SUM(E21:G21)</f>
        <v>1472942700</v>
      </c>
      <c r="F22" s="296"/>
      <c r="G22" s="292"/>
      <c r="H22" s="291">
        <f>SUM(H21:J21)</f>
        <v>1292294106</v>
      </c>
      <c r="I22" s="296"/>
      <c r="J22" s="292"/>
      <c r="K22" s="293">
        <f>SUM(K21:M21)</f>
        <v>1098222993.3702059</v>
      </c>
      <c r="L22" s="294"/>
      <c r="M22" s="295"/>
      <c r="N22" s="293">
        <f>SUM(N21:P21)</f>
        <v>979179014.09141207</v>
      </c>
      <c r="O22" s="294"/>
      <c r="P22" s="295"/>
      <c r="Q22" s="293">
        <f>SUM(Q21:S21)</f>
        <v>853783334.63916314</v>
      </c>
      <c r="R22" s="294"/>
      <c r="S22" s="295"/>
      <c r="T22" s="100"/>
    </row>
    <row r="24" spans="1:24" x14ac:dyDescent="0.35">
      <c r="H24" s="48"/>
    </row>
    <row r="25" spans="1:24" x14ac:dyDescent="0.35">
      <c r="A25" s="31"/>
    </row>
    <row r="26" spans="1:24" x14ac:dyDescent="0.35">
      <c r="A26" s="31"/>
    </row>
    <row r="27" spans="1:24" x14ac:dyDescent="0.35">
      <c r="A27" s="57"/>
    </row>
    <row r="28" spans="1:24" x14ac:dyDescent="0.35">
      <c r="A28" s="57"/>
    </row>
    <row r="31" spans="1:24" x14ac:dyDescent="0.35">
      <c r="A31" s="77"/>
      <c r="G31" s="64"/>
      <c r="H31" s="64"/>
      <c r="I31" s="64"/>
      <c r="J31" s="64"/>
      <c r="K31" s="64"/>
      <c r="U31" s="64"/>
      <c r="V31" s="64"/>
      <c r="W31" s="64"/>
      <c r="X31" s="64"/>
    </row>
    <row r="32" spans="1:24" x14ac:dyDescent="0.35">
      <c r="A32" s="43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</row>
    <row r="39" spans="3:5" x14ac:dyDescent="0.35">
      <c r="E39" s="97"/>
    </row>
    <row r="40" spans="3:5" x14ac:dyDescent="0.35">
      <c r="E40" s="97"/>
    </row>
    <row r="41" spans="3:5" x14ac:dyDescent="0.35">
      <c r="D41" s="64"/>
      <c r="E41" s="97"/>
    </row>
    <row r="42" spans="3:5" x14ac:dyDescent="0.35">
      <c r="D42" s="64"/>
      <c r="E42" s="97"/>
    </row>
    <row r="43" spans="3:5" x14ac:dyDescent="0.35">
      <c r="D43" s="64"/>
      <c r="E43" s="97"/>
    </row>
    <row r="44" spans="3:5" x14ac:dyDescent="0.35">
      <c r="D44" s="64"/>
      <c r="E44" s="97"/>
    </row>
    <row r="45" spans="3:5" x14ac:dyDescent="0.35">
      <c r="D45" s="64"/>
      <c r="E45" s="97"/>
    </row>
    <row r="46" spans="3:5" x14ac:dyDescent="0.35">
      <c r="D46" s="64"/>
      <c r="E46" s="97"/>
    </row>
    <row r="47" spans="3:5" x14ac:dyDescent="0.35">
      <c r="C47" s="64"/>
      <c r="D47" s="64"/>
      <c r="E47" s="97"/>
    </row>
    <row r="48" spans="3:5" x14ac:dyDescent="0.35">
      <c r="C48" s="64"/>
      <c r="D48" s="64"/>
      <c r="E48" s="97"/>
    </row>
    <row r="49" spans="3:5" x14ac:dyDescent="0.35">
      <c r="C49" s="64"/>
      <c r="D49" s="64"/>
      <c r="E49" s="97"/>
    </row>
    <row r="50" spans="3:5" x14ac:dyDescent="0.35">
      <c r="C50" s="64"/>
      <c r="D50" s="64"/>
      <c r="E50" s="97"/>
    </row>
    <row r="51" spans="3:5" x14ac:dyDescent="0.35">
      <c r="C51" s="64"/>
      <c r="D51" s="64"/>
      <c r="E51" s="97"/>
    </row>
    <row r="52" spans="3:5" x14ac:dyDescent="0.35">
      <c r="C52" s="64"/>
      <c r="D52" s="64"/>
      <c r="E52" s="97"/>
    </row>
    <row r="53" spans="3:5" x14ac:dyDescent="0.35">
      <c r="C53" s="64"/>
    </row>
    <row r="54" spans="3:5" x14ac:dyDescent="0.35">
      <c r="C54" s="64"/>
    </row>
    <row r="55" spans="3:5" x14ac:dyDescent="0.35">
      <c r="C55" s="64"/>
    </row>
    <row r="56" spans="3:5" x14ac:dyDescent="0.35">
      <c r="C56" s="64"/>
    </row>
    <row r="57" spans="3:5" x14ac:dyDescent="0.35">
      <c r="C57" s="64"/>
    </row>
    <row r="58" spans="3:5" x14ac:dyDescent="0.35">
      <c r="C58" s="64"/>
    </row>
    <row r="59" spans="3:5" x14ac:dyDescent="0.35">
      <c r="C59" s="64"/>
      <c r="D59" s="106"/>
    </row>
    <row r="60" spans="3:5" x14ac:dyDescent="0.35">
      <c r="C60" s="64"/>
      <c r="D60" s="106"/>
    </row>
    <row r="61" spans="3:5" x14ac:dyDescent="0.35">
      <c r="C61" s="64"/>
    </row>
    <row r="62" spans="3:5" x14ac:dyDescent="0.35">
      <c r="C62" s="64"/>
    </row>
    <row r="63" spans="3:5" x14ac:dyDescent="0.35">
      <c r="C63" s="64"/>
    </row>
    <row r="64" spans="3:5" x14ac:dyDescent="0.35">
      <c r="C64" s="64"/>
    </row>
    <row r="65" spans="3:3" x14ac:dyDescent="0.35">
      <c r="C65" s="64"/>
    </row>
    <row r="66" spans="3:3" x14ac:dyDescent="0.35">
      <c r="C66" s="64"/>
    </row>
    <row r="67" spans="3:3" x14ac:dyDescent="0.35">
      <c r="C67" s="64"/>
    </row>
    <row r="68" spans="3:3" x14ac:dyDescent="0.35">
      <c r="C68" s="64"/>
    </row>
    <row r="69" spans="3:3" x14ac:dyDescent="0.35">
      <c r="C69" s="64"/>
    </row>
    <row r="70" spans="3:3" x14ac:dyDescent="0.35">
      <c r="C70" s="64"/>
    </row>
    <row r="71" spans="3:3" x14ac:dyDescent="0.35">
      <c r="C71" s="64"/>
    </row>
    <row r="72" spans="3:3" x14ac:dyDescent="0.35">
      <c r="C72" s="64"/>
    </row>
    <row r="73" spans="3:3" x14ac:dyDescent="0.35">
      <c r="C73" s="64"/>
    </row>
  </sheetData>
  <mergeCells count="10">
    <mergeCell ref="K22:M22"/>
    <mergeCell ref="N22:P22"/>
    <mergeCell ref="Q22:S22"/>
    <mergeCell ref="E22:G22"/>
    <mergeCell ref="H22:J22"/>
    <mergeCell ref="A18:A20"/>
    <mergeCell ref="A3:A5"/>
    <mergeCell ref="A6:A10"/>
    <mergeCell ref="A11:A15"/>
    <mergeCell ref="C22:D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7DA5-272B-4725-8DA0-2A4EB5044BF7}">
  <dimension ref="B2:R5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4.5" x14ac:dyDescent="0.35"/>
  <cols>
    <col min="1" max="2" width="10.90625" style="31"/>
    <col min="3" max="3" width="14.81640625" style="31" customWidth="1"/>
    <col min="4" max="4" width="10.7265625" style="31" customWidth="1"/>
    <col min="5" max="5" width="14.54296875" style="154" customWidth="1"/>
    <col min="6" max="6" width="12.7265625" style="31" customWidth="1"/>
    <col min="7" max="7" width="14.26953125" style="31" customWidth="1"/>
    <col min="8" max="8" width="10.90625" style="31"/>
    <col min="9" max="9" width="13.453125" style="154" bestFit="1" customWidth="1"/>
    <col min="10" max="10" width="10.90625" style="31"/>
    <col min="11" max="11" width="14.54296875" style="31" customWidth="1"/>
    <col min="12" max="16" width="10.90625" style="31"/>
    <col min="17" max="17" width="18.6328125" style="31" customWidth="1"/>
    <col min="18" max="16384" width="10.90625" style="31"/>
  </cols>
  <sheetData>
    <row r="2" spans="2:18" ht="15" thickBot="1" x14ac:dyDescent="0.4"/>
    <row r="3" spans="2:18" x14ac:dyDescent="0.35">
      <c r="B3" s="159" t="s">
        <v>111</v>
      </c>
      <c r="C3" s="232" t="s">
        <v>130</v>
      </c>
      <c r="D3" s="233" t="s">
        <v>131</v>
      </c>
      <c r="E3" s="234"/>
      <c r="F3" s="235"/>
      <c r="G3" s="232" t="s">
        <v>132</v>
      </c>
      <c r="H3" s="233" t="s">
        <v>133</v>
      </c>
      <c r="I3" s="234"/>
      <c r="J3" s="235"/>
      <c r="K3" s="232" t="s">
        <v>134</v>
      </c>
      <c r="L3" s="233" t="s">
        <v>135</v>
      </c>
      <c r="M3" s="233"/>
      <c r="N3" s="233"/>
      <c r="O3" s="159" t="s">
        <v>142</v>
      </c>
      <c r="P3" s="159"/>
      <c r="Q3" s="31" t="s">
        <v>143</v>
      </c>
      <c r="R3" s="31" t="s">
        <v>150</v>
      </c>
    </row>
    <row r="4" spans="2:18" x14ac:dyDescent="0.35">
      <c r="B4" s="31">
        <v>2013</v>
      </c>
      <c r="C4" s="236">
        <v>40611000</v>
      </c>
      <c r="D4" s="237">
        <v>40</v>
      </c>
      <c r="E4" s="238">
        <f>AVERAGE(C4:C5)</f>
        <v>40611000</v>
      </c>
      <c r="F4" s="239">
        <f>AVERAGE(D4:D5)</f>
        <v>41.239999999999995</v>
      </c>
      <c r="G4" s="236">
        <v>40611000</v>
      </c>
      <c r="H4" s="23">
        <v>45</v>
      </c>
      <c r="I4" s="238">
        <f>AVERAGE(G4:G5)</f>
        <v>40611000</v>
      </c>
      <c r="J4" s="240">
        <f>AVERAGE(H4:H5)</f>
        <v>46.34</v>
      </c>
      <c r="K4" s="236">
        <v>40611000</v>
      </c>
      <c r="L4" s="23">
        <v>50</v>
      </c>
      <c r="M4" s="241">
        <f>AVERAGE(K4:K5)</f>
        <v>40611000</v>
      </c>
      <c r="N4" s="23">
        <f>AVERAGE(L4:L5)</f>
        <v>51.489999999999995</v>
      </c>
    </row>
    <row r="5" spans="2:18" x14ac:dyDescent="0.35">
      <c r="B5" s="31">
        <v>2014</v>
      </c>
      <c r="C5" s="236">
        <v>40611000</v>
      </c>
      <c r="D5" s="237">
        <v>42.48</v>
      </c>
      <c r="E5" s="238"/>
      <c r="F5" s="239"/>
      <c r="G5" s="236">
        <v>40611000</v>
      </c>
      <c r="H5" s="23">
        <v>47.68</v>
      </c>
      <c r="I5" s="238"/>
      <c r="J5" s="240"/>
      <c r="K5" s="236">
        <v>40611000</v>
      </c>
      <c r="L5" s="23">
        <v>52.98</v>
      </c>
      <c r="Q5" s="31">
        <f t="shared" ref="Q5:Q13" si="0">(D5-D4)/D4</f>
        <v>6.1999999999999923E-2</v>
      </c>
    </row>
    <row r="6" spans="2:18" x14ac:dyDescent="0.35">
      <c r="B6" s="31">
        <v>2015</v>
      </c>
      <c r="C6" s="236">
        <v>40611000</v>
      </c>
      <c r="D6" s="237">
        <v>45.2</v>
      </c>
      <c r="E6" s="238">
        <f>AVERAGE(C6:C8)</f>
        <v>40611000</v>
      </c>
      <c r="F6" s="239">
        <f>AVERAGE(D6:D8)</f>
        <v>47.81</v>
      </c>
      <c r="G6" s="236">
        <v>40611000</v>
      </c>
      <c r="H6" s="23">
        <v>50.86</v>
      </c>
      <c r="I6" s="238">
        <f>AVERAGE(G6:G8)</f>
        <v>40611000</v>
      </c>
      <c r="J6" s="240">
        <f>AVERAGE(H6:H8)</f>
        <v>53.79666666666666</v>
      </c>
      <c r="K6" s="236">
        <v>40611000</v>
      </c>
      <c r="L6" s="23">
        <v>56.51</v>
      </c>
      <c r="M6" s="241">
        <f>AVERAGE(K6:K8)</f>
        <v>40611000</v>
      </c>
      <c r="N6" s="23">
        <f>AVERAGE(L6:L8)</f>
        <v>59.77</v>
      </c>
      <c r="Q6" s="31">
        <f t="shared" si="0"/>
        <v>6.4030131826742137E-2</v>
      </c>
    </row>
    <row r="7" spans="2:18" x14ac:dyDescent="0.35">
      <c r="B7" s="31">
        <v>2016</v>
      </c>
      <c r="C7" s="236">
        <v>40611000</v>
      </c>
      <c r="D7" s="237">
        <v>47.54</v>
      </c>
      <c r="E7" s="238"/>
      <c r="F7" s="239"/>
      <c r="G7" s="236">
        <v>40611000</v>
      </c>
      <c r="H7" s="23">
        <v>53.49</v>
      </c>
      <c r="I7" s="238"/>
      <c r="J7" s="240"/>
      <c r="K7" s="236">
        <v>40611000</v>
      </c>
      <c r="L7" s="23">
        <v>59.43</v>
      </c>
      <c r="Q7" s="31">
        <f t="shared" si="0"/>
        <v>5.1769911504424691E-2</v>
      </c>
    </row>
    <row r="8" spans="2:18" x14ac:dyDescent="0.35">
      <c r="B8" s="31">
        <v>2017</v>
      </c>
      <c r="C8" s="236">
        <v>40611000</v>
      </c>
      <c r="D8" s="237">
        <v>50.69</v>
      </c>
      <c r="E8" s="238"/>
      <c r="F8" s="239"/>
      <c r="G8" s="236">
        <v>40611000</v>
      </c>
      <c r="H8" s="23">
        <v>57.04</v>
      </c>
      <c r="I8" s="238"/>
      <c r="J8" s="240"/>
      <c r="K8" s="236">
        <v>40611000</v>
      </c>
      <c r="L8" s="23">
        <v>63.37</v>
      </c>
      <c r="Q8" s="31">
        <f t="shared" si="0"/>
        <v>6.6259991586032782E-2</v>
      </c>
    </row>
    <row r="9" spans="2:18" x14ac:dyDescent="0.35">
      <c r="B9" s="31">
        <v>2018</v>
      </c>
      <c r="C9" s="236">
        <v>40611000</v>
      </c>
      <c r="D9" s="237">
        <v>54.26</v>
      </c>
      <c r="E9" s="238">
        <f>AVERAGE(C9:C11)</f>
        <v>30800982.666666668</v>
      </c>
      <c r="F9" s="239">
        <f>AVERAGE(D9:D11)</f>
        <v>58.43</v>
      </c>
      <c r="G9" s="236">
        <v>40611000</v>
      </c>
      <c r="H9" s="23">
        <v>61.06</v>
      </c>
      <c r="I9" s="238">
        <f>AVERAGE(G9:G11)</f>
        <v>30800982.666666668</v>
      </c>
      <c r="J9" s="240">
        <f>AVERAGE(H9:H11)</f>
        <v>65.600000000000009</v>
      </c>
      <c r="K9" s="236">
        <v>40611000</v>
      </c>
      <c r="L9" s="23">
        <v>67.83</v>
      </c>
      <c r="M9" s="241">
        <f>AVERAGE(K9:K11)</f>
        <v>30800982.666666668</v>
      </c>
      <c r="N9" s="23">
        <f>AVERAGE(L9:L11)</f>
        <v>72.873333333333335</v>
      </c>
      <c r="Q9" s="31">
        <f t="shared" si="0"/>
        <v>7.0428092325902553E-2</v>
      </c>
    </row>
    <row r="10" spans="2:18" x14ac:dyDescent="0.35">
      <c r="B10" s="31">
        <v>2019</v>
      </c>
      <c r="C10" s="236">
        <v>25895974</v>
      </c>
      <c r="D10" s="237">
        <v>58.34</v>
      </c>
      <c r="E10" s="238"/>
      <c r="F10" s="239"/>
      <c r="G10" s="236">
        <v>25895974</v>
      </c>
      <c r="H10" s="23">
        <v>65.650000000000006</v>
      </c>
      <c r="I10" s="238"/>
      <c r="J10" s="240"/>
      <c r="K10" s="236">
        <v>25895974</v>
      </c>
      <c r="L10" s="23">
        <v>72.930000000000007</v>
      </c>
      <c r="Q10" s="31">
        <f t="shared" si="0"/>
        <v>7.5193512716550046E-2</v>
      </c>
    </row>
    <row r="11" spans="2:18" ht="15" thickBot="1" x14ac:dyDescent="0.4">
      <c r="B11" s="31">
        <v>2020</v>
      </c>
      <c r="C11" s="236">
        <v>25895974</v>
      </c>
      <c r="D11" s="237">
        <v>62.69</v>
      </c>
      <c r="E11" s="238"/>
      <c r="F11" s="239"/>
      <c r="G11" s="236">
        <v>25895974</v>
      </c>
      <c r="H11" s="23">
        <v>70.09</v>
      </c>
      <c r="I11" s="238"/>
      <c r="J11" s="240"/>
      <c r="K11" s="242">
        <v>25895974</v>
      </c>
      <c r="L11" s="243">
        <v>77.86</v>
      </c>
      <c r="M11" s="244"/>
      <c r="N11" s="244"/>
      <c r="Q11" s="31">
        <f t="shared" si="0"/>
        <v>7.4562907096331746E-2</v>
      </c>
    </row>
    <row r="12" spans="2:18" x14ac:dyDescent="0.35">
      <c r="B12" s="31">
        <v>2021</v>
      </c>
      <c r="C12" s="236">
        <v>66811000</v>
      </c>
      <c r="D12" s="237">
        <v>41.4</v>
      </c>
      <c r="E12" s="238">
        <f>AVERAGE(C12:C14)</f>
        <v>66811000</v>
      </c>
      <c r="F12" s="239">
        <f>AVERAGE(D12:D14)</f>
        <v>46.456666666666671</v>
      </c>
      <c r="G12" s="236">
        <v>89537000</v>
      </c>
      <c r="H12" s="23">
        <v>53.2</v>
      </c>
      <c r="I12" s="238">
        <f>G12</f>
        <v>89537000</v>
      </c>
      <c r="J12" s="240">
        <f>AVERAGE(H12:H14)</f>
        <v>59.693333333333328</v>
      </c>
      <c r="K12" s="245"/>
      <c r="L12" s="245"/>
      <c r="M12" s="245"/>
      <c r="N12" s="245"/>
      <c r="O12" s="23">
        <v>65</v>
      </c>
      <c r="P12" s="23">
        <f>AVERAGE(O12:O14)</f>
        <v>77.046146666666672</v>
      </c>
      <c r="Q12" s="31">
        <f t="shared" si="0"/>
        <v>-0.33960759291753073</v>
      </c>
    </row>
    <row r="13" spans="2:18" x14ac:dyDescent="0.35">
      <c r="B13" s="31">
        <v>2022</v>
      </c>
      <c r="C13" s="236">
        <v>66811000</v>
      </c>
      <c r="D13" s="31">
        <v>46.05</v>
      </c>
      <c r="E13" s="238"/>
      <c r="F13" s="246"/>
      <c r="G13" s="236">
        <v>89537000</v>
      </c>
      <c r="H13" s="31">
        <v>59.17</v>
      </c>
      <c r="I13" s="238"/>
      <c r="J13" s="199"/>
      <c r="K13" s="245"/>
      <c r="L13" s="245"/>
      <c r="M13" s="245"/>
      <c r="N13" s="245"/>
      <c r="O13" s="23">
        <f>O12*R13</f>
        <v>73.06</v>
      </c>
      <c r="Q13" s="31">
        <f t="shared" si="0"/>
        <v>0.11231884057971012</v>
      </c>
      <c r="R13" s="31">
        <v>1.1240000000000001</v>
      </c>
    </row>
    <row r="14" spans="2:18" x14ac:dyDescent="0.35">
      <c r="B14" s="31">
        <v>2023</v>
      </c>
      <c r="C14" s="236">
        <v>66811000</v>
      </c>
      <c r="D14" s="237">
        <v>51.92</v>
      </c>
      <c r="E14" s="238"/>
      <c r="F14" s="246"/>
      <c r="G14" s="236">
        <v>89537000</v>
      </c>
      <c r="H14" s="23">
        <v>66.709999999999994</v>
      </c>
      <c r="I14" s="238"/>
      <c r="J14" s="199"/>
      <c r="K14" s="245"/>
      <c r="L14" s="245"/>
      <c r="M14" s="245"/>
      <c r="N14" s="245"/>
      <c r="O14" s="23">
        <f t="shared" ref="O14:O21" si="1">O13*R14</f>
        <v>93.078440000000001</v>
      </c>
      <c r="R14" s="31">
        <v>1.274</v>
      </c>
    </row>
    <row r="15" spans="2:18" x14ac:dyDescent="0.35">
      <c r="B15" s="31">
        <v>2024</v>
      </c>
      <c r="C15" s="236">
        <v>66811000</v>
      </c>
      <c r="D15" s="237">
        <f t="shared" ref="D15:D21" si="2">D14*(1.05+$Q$24)</f>
        <v>52.742751488188937</v>
      </c>
      <c r="E15" s="238">
        <f>AVERAGE(C15:C17)</f>
        <v>66811000</v>
      </c>
      <c r="F15" s="239">
        <f>AVERAGE(D15:D17)</f>
        <v>53.582955511521561</v>
      </c>
      <c r="G15" s="236">
        <v>89537000</v>
      </c>
      <c r="H15" s="23">
        <f t="shared" ref="H15:H21" si="3">H14*(1.05+$Q$24)</f>
        <v>67.767121567355233</v>
      </c>
      <c r="I15" s="238">
        <f>G15</f>
        <v>89537000</v>
      </c>
      <c r="J15" s="240">
        <f>AVERAGE(H15:H17)</f>
        <v>68.846667222141818</v>
      </c>
      <c r="K15" s="245"/>
      <c r="L15" s="245"/>
      <c r="M15" s="245"/>
      <c r="N15" s="245"/>
      <c r="O15" s="23">
        <f t="shared" si="1"/>
        <v>100.33855832</v>
      </c>
      <c r="P15" s="23">
        <f>AVERAGE(O15:O17)</f>
        <v>107.73384453004508</v>
      </c>
      <c r="R15" s="31">
        <v>1.0780000000000001</v>
      </c>
    </row>
    <row r="16" spans="2:18" x14ac:dyDescent="0.35">
      <c r="B16" s="31">
        <v>2025</v>
      </c>
      <c r="C16" s="236">
        <v>66811000</v>
      </c>
      <c r="D16" s="237">
        <f t="shared" si="2"/>
        <v>53.578540726981053</v>
      </c>
      <c r="E16" s="238"/>
      <c r="F16" s="239"/>
      <c r="G16" s="236">
        <v>89537000</v>
      </c>
      <c r="H16" s="23">
        <f t="shared" si="3"/>
        <v>68.840994836226997</v>
      </c>
      <c r="I16" s="238"/>
      <c r="J16" s="199"/>
      <c r="K16" s="245"/>
      <c r="L16" s="245"/>
      <c r="M16" s="245"/>
      <c r="N16" s="245"/>
      <c r="O16" s="23">
        <f t="shared" si="1"/>
        <v>107.66327307736</v>
      </c>
      <c r="R16" s="31">
        <v>1.073</v>
      </c>
    </row>
    <row r="17" spans="2:18" x14ac:dyDescent="0.35">
      <c r="B17" s="31">
        <v>2026</v>
      </c>
      <c r="C17" s="236">
        <v>66811000</v>
      </c>
      <c r="D17" s="237">
        <f t="shared" si="2"/>
        <v>54.427574319394679</v>
      </c>
      <c r="E17" s="238"/>
      <c r="F17" s="239"/>
      <c r="G17" s="236">
        <v>89537000</v>
      </c>
      <c r="H17" s="23">
        <f t="shared" si="3"/>
        <v>69.931885262843196</v>
      </c>
      <c r="I17" s="238"/>
      <c r="J17" s="199"/>
      <c r="K17" s="245"/>
      <c r="L17" s="245"/>
      <c r="M17" s="245"/>
      <c r="N17" s="245"/>
      <c r="O17" s="23">
        <f t="shared" si="1"/>
        <v>115.19970219277521</v>
      </c>
      <c r="R17" s="31">
        <v>1.07</v>
      </c>
    </row>
    <row r="18" spans="2:18" x14ac:dyDescent="0.35">
      <c r="B18" s="31">
        <v>2027</v>
      </c>
      <c r="C18" s="236">
        <v>66811000</v>
      </c>
      <c r="D18" s="237">
        <f t="shared" si="2"/>
        <v>55.290062142387669</v>
      </c>
      <c r="E18" s="238">
        <f>AVERAGE(C18:C20)</f>
        <v>66811000</v>
      </c>
      <c r="F18" s="239">
        <f>AVERAGE(D18:D20)</f>
        <v>56.170845403624007</v>
      </c>
      <c r="G18" s="236">
        <v>89537000</v>
      </c>
      <c r="H18" s="23">
        <f t="shared" si="3"/>
        <v>71.040062509990008</v>
      </c>
      <c r="I18" s="238">
        <f>G18</f>
        <v>89537000</v>
      </c>
      <c r="J18" s="240">
        <f>AVERAGE(H18:H20)</f>
        <v>72.17174685816174</v>
      </c>
      <c r="K18" s="245"/>
      <c r="L18" s="245"/>
      <c r="M18" s="245"/>
      <c r="N18" s="245"/>
      <c r="O18" s="23">
        <f t="shared" si="1"/>
        <v>123.26368134626948</v>
      </c>
      <c r="P18" s="23">
        <f>AVERAGE(O18:O20)</f>
        <v>132.09346972004059</v>
      </c>
      <c r="R18" s="31">
        <v>1.07</v>
      </c>
    </row>
    <row r="19" spans="2:18" x14ac:dyDescent="0.35">
      <c r="B19" s="31">
        <v>2028</v>
      </c>
      <c r="C19" s="236">
        <v>66811000</v>
      </c>
      <c r="D19" s="237">
        <f t="shared" si="2"/>
        <v>56.166217398737984</v>
      </c>
      <c r="E19" s="238"/>
      <c r="F19" s="246"/>
      <c r="G19" s="236">
        <v>89537000</v>
      </c>
      <c r="H19" s="23">
        <f t="shared" si="3"/>
        <v>72.165800513671243</v>
      </c>
      <c r="I19" s="238"/>
      <c r="J19" s="199"/>
      <c r="K19" s="245"/>
      <c r="L19" s="245"/>
      <c r="M19" s="245"/>
      <c r="N19" s="245"/>
      <c r="O19" s="23">
        <f t="shared" si="1"/>
        <v>131.89213904050834</v>
      </c>
      <c r="R19" s="31">
        <v>1.07</v>
      </c>
    </row>
    <row r="20" spans="2:18" x14ac:dyDescent="0.35">
      <c r="B20" s="31">
        <v>2029</v>
      </c>
      <c r="C20" s="236">
        <v>66811000</v>
      </c>
      <c r="D20" s="237">
        <f t="shared" si="2"/>
        <v>57.056256669746368</v>
      </c>
      <c r="E20" s="238"/>
      <c r="F20" s="246"/>
      <c r="G20" s="236">
        <v>89537000</v>
      </c>
      <c r="H20" s="23">
        <f t="shared" si="3"/>
        <v>73.309377550823967</v>
      </c>
      <c r="I20" s="238"/>
      <c r="J20" s="199"/>
      <c r="K20" s="245"/>
      <c r="L20" s="245"/>
      <c r="M20" s="245"/>
      <c r="N20" s="245"/>
      <c r="O20" s="23">
        <f>O19*R20</f>
        <v>141.12458877334393</v>
      </c>
      <c r="R20" s="31">
        <v>1.07</v>
      </c>
    </row>
    <row r="21" spans="2:18" ht="15" thickBot="1" x14ac:dyDescent="0.4">
      <c r="B21" s="31">
        <v>2030</v>
      </c>
      <c r="C21" s="242">
        <v>66811000</v>
      </c>
      <c r="D21" s="247">
        <f t="shared" si="2"/>
        <v>57.960399968774176</v>
      </c>
      <c r="E21" s="248"/>
      <c r="F21" s="249"/>
      <c r="G21" s="242">
        <v>89537000</v>
      </c>
      <c r="H21" s="243">
        <f t="shared" si="3"/>
        <v>74.4710763081072</v>
      </c>
      <c r="I21" s="248"/>
      <c r="J21" s="207"/>
      <c r="K21" s="245"/>
      <c r="L21" s="245"/>
      <c r="M21" s="245"/>
      <c r="N21" s="245"/>
      <c r="O21" s="23">
        <f t="shared" si="1"/>
        <v>151.00330998747802</v>
      </c>
      <c r="R21" s="31">
        <v>1.07</v>
      </c>
    </row>
    <row r="22" spans="2:18" x14ac:dyDescent="0.35">
      <c r="D22" s="154"/>
      <c r="F22" s="154"/>
    </row>
    <row r="23" spans="2:18" x14ac:dyDescent="0.35">
      <c r="D23" s="154"/>
      <c r="F23" s="154"/>
      <c r="O23" s="77" t="s">
        <v>144</v>
      </c>
      <c r="P23" s="77"/>
      <c r="Q23" s="31">
        <f>AVERAGE(Q7:Q13)</f>
        <v>1.5846523270203024E-2</v>
      </c>
    </row>
    <row r="24" spans="2:18" x14ac:dyDescent="0.35">
      <c r="D24" s="154"/>
      <c r="F24" s="154"/>
      <c r="O24" s="31" t="s">
        <v>145</v>
      </c>
      <c r="Q24" s="16">
        <f>Q23-0.05</f>
        <v>-3.4153476729796975E-2</v>
      </c>
    </row>
    <row r="25" spans="2:18" x14ac:dyDescent="0.35">
      <c r="D25" s="154"/>
      <c r="F25" s="154"/>
    </row>
    <row r="26" spans="2:18" x14ac:dyDescent="0.35">
      <c r="D26" s="154"/>
      <c r="F26" s="154"/>
    </row>
    <row r="27" spans="2:18" x14ac:dyDescent="0.35">
      <c r="D27" s="154"/>
      <c r="F27" s="154"/>
    </row>
    <row r="28" spans="2:18" x14ac:dyDescent="0.35">
      <c r="D28" s="154"/>
      <c r="F28" s="154"/>
    </row>
    <row r="29" spans="2:18" x14ac:dyDescent="0.35">
      <c r="D29" s="154"/>
      <c r="F29" s="154"/>
    </row>
    <row r="30" spans="2:18" x14ac:dyDescent="0.35">
      <c r="D30" s="154"/>
      <c r="F30" s="154"/>
    </row>
    <row r="31" spans="2:18" x14ac:dyDescent="0.35">
      <c r="D31" s="154"/>
      <c r="F31" s="154"/>
    </row>
    <row r="32" spans="2:18" x14ac:dyDescent="0.35">
      <c r="D32" s="154"/>
      <c r="F32" s="154"/>
    </row>
    <row r="33" spans="4:6" x14ac:dyDescent="0.35">
      <c r="D33" s="154"/>
      <c r="F33" s="154"/>
    </row>
    <row r="34" spans="4:6" x14ac:dyDescent="0.35">
      <c r="D34" s="154"/>
      <c r="F34" s="154"/>
    </row>
    <row r="35" spans="4:6" x14ac:dyDescent="0.35">
      <c r="D35" s="154"/>
      <c r="F35" s="154"/>
    </row>
    <row r="36" spans="4:6" x14ac:dyDescent="0.35">
      <c r="D36" s="154"/>
      <c r="F36" s="154"/>
    </row>
    <row r="37" spans="4:6" x14ac:dyDescent="0.35">
      <c r="D37" s="154"/>
      <c r="F37" s="154"/>
    </row>
    <row r="38" spans="4:6" x14ac:dyDescent="0.35">
      <c r="D38" s="154"/>
      <c r="F38" s="154"/>
    </row>
    <row r="39" spans="4:6" x14ac:dyDescent="0.35">
      <c r="D39" s="154"/>
      <c r="F39" s="154"/>
    </row>
    <row r="40" spans="4:6" x14ac:dyDescent="0.35">
      <c r="D40" s="154"/>
      <c r="F40" s="154"/>
    </row>
    <row r="41" spans="4:6" x14ac:dyDescent="0.35">
      <c r="D41" s="154"/>
      <c r="F41" s="154"/>
    </row>
    <row r="42" spans="4:6" x14ac:dyDescent="0.35">
      <c r="D42" s="154"/>
      <c r="F42" s="154"/>
    </row>
    <row r="43" spans="4:6" x14ac:dyDescent="0.35">
      <c r="D43" s="154"/>
      <c r="F43" s="154"/>
    </row>
    <row r="44" spans="4:6" x14ac:dyDescent="0.35">
      <c r="D44" s="154"/>
      <c r="F44" s="154"/>
    </row>
    <row r="45" spans="4:6" x14ac:dyDescent="0.35">
      <c r="D45" s="154"/>
      <c r="F45" s="154"/>
    </row>
    <row r="46" spans="4:6" x14ac:dyDescent="0.35">
      <c r="D46" s="154"/>
      <c r="F46" s="154"/>
    </row>
    <row r="47" spans="4:6" x14ac:dyDescent="0.35">
      <c r="D47" s="154"/>
      <c r="F47" s="154"/>
    </row>
    <row r="48" spans="4:6" x14ac:dyDescent="0.35">
      <c r="D48" s="154"/>
      <c r="F48" s="154"/>
    </row>
    <row r="49" spans="4:6" x14ac:dyDescent="0.35">
      <c r="D49" s="154"/>
      <c r="F49" s="154"/>
    </row>
    <row r="50" spans="4:6" x14ac:dyDescent="0.35">
      <c r="D50" s="154"/>
      <c r="F50" s="15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C536-A084-4CFE-9607-F94109DDD056}">
  <dimension ref="B1:V69"/>
  <sheetViews>
    <sheetView zoomScale="85" zoomScaleNormal="85" workbookViewId="0"/>
  </sheetViews>
  <sheetFormatPr baseColWidth="10" defaultRowHeight="14.5" x14ac:dyDescent="0.35"/>
  <cols>
    <col min="4" max="4" width="17.7265625" customWidth="1"/>
    <col min="5" max="5" width="15.54296875" customWidth="1"/>
    <col min="6" max="6" width="15.7265625" customWidth="1"/>
    <col min="7" max="7" width="17.453125" customWidth="1"/>
    <col min="8" max="8" width="21.81640625" customWidth="1"/>
    <col min="9" max="9" width="16.1796875" customWidth="1"/>
    <col min="10" max="10" width="17.1796875" customWidth="1"/>
    <col min="11" max="11" width="21.81640625" customWidth="1"/>
    <col min="12" max="12" width="16.26953125" customWidth="1"/>
    <col min="13" max="13" width="18.81640625" customWidth="1"/>
    <col min="14" max="14" width="13.453125" customWidth="1"/>
    <col min="15" max="15" width="19" style="31" customWidth="1"/>
    <col min="16" max="16" width="19.7265625" style="16" customWidth="1"/>
    <col min="17" max="17" width="25.453125" customWidth="1"/>
    <col min="18" max="19" width="25.453125" style="31" customWidth="1"/>
  </cols>
  <sheetData>
    <row r="1" spans="2:21" x14ac:dyDescent="0.35">
      <c r="D1" t="s">
        <v>56</v>
      </c>
      <c r="L1" s="31"/>
      <c r="N1" s="31"/>
    </row>
    <row r="2" spans="2:21" x14ac:dyDescent="0.35">
      <c r="H2" t="s">
        <v>102</v>
      </c>
      <c r="L2" s="31"/>
      <c r="N2" s="31"/>
      <c r="Q2" s="31"/>
      <c r="T2" s="31"/>
    </row>
    <row r="3" spans="2:21" s="140" customFormat="1" ht="46" customHeight="1" x14ac:dyDescent="0.35">
      <c r="B3" s="140" t="s">
        <v>97</v>
      </c>
      <c r="C3" s="141"/>
      <c r="D3" s="142" t="s">
        <v>53</v>
      </c>
      <c r="E3" s="142" t="s">
        <v>54</v>
      </c>
      <c r="F3" s="142" t="s">
        <v>55</v>
      </c>
      <c r="G3" s="141" t="s">
        <v>126</v>
      </c>
      <c r="H3" s="142" t="s">
        <v>70</v>
      </c>
      <c r="I3" s="142" t="s">
        <v>69</v>
      </c>
      <c r="J3" s="141" t="s">
        <v>127</v>
      </c>
      <c r="K3" s="142" t="s">
        <v>115</v>
      </c>
      <c r="L3" s="142"/>
      <c r="M3" s="143" t="s">
        <v>96</v>
      </c>
      <c r="O3" s="140" t="s">
        <v>109</v>
      </c>
      <c r="P3" s="141" t="s">
        <v>141</v>
      </c>
      <c r="Q3" s="157" t="s">
        <v>128</v>
      </c>
      <c r="R3" s="144" t="s">
        <v>104</v>
      </c>
      <c r="S3" s="144"/>
      <c r="T3" s="140" t="s">
        <v>118</v>
      </c>
      <c r="U3" s="140" t="s">
        <v>120</v>
      </c>
    </row>
    <row r="4" spans="2:21" x14ac:dyDescent="0.35">
      <c r="B4" s="290">
        <v>1</v>
      </c>
      <c r="C4">
        <v>2013</v>
      </c>
      <c r="D4">
        <v>162.80000000000001</v>
      </c>
      <c r="E4">
        <v>23.2</v>
      </c>
      <c r="F4" s="17">
        <f>SUM(D4:E4)</f>
        <v>186</v>
      </c>
      <c r="G4" s="298">
        <f>SUM(F4:F5)</f>
        <v>368.9</v>
      </c>
      <c r="H4" s="70">
        <f>0.08*D4+0.08*E4</f>
        <v>14.88</v>
      </c>
      <c r="I4" s="17">
        <f t="shared" ref="I4:I21" si="0">F4+H4</f>
        <v>200.88</v>
      </c>
      <c r="J4" s="298">
        <f>SUM(I4:I5)</f>
        <v>398.41199999999998</v>
      </c>
      <c r="K4">
        <f>'Instruments supply'!C$16*0.000001</f>
        <v>156.83620399999998</v>
      </c>
      <c r="L4" s="300">
        <f>SUM(K4:K5)</f>
        <v>315.00981999999999</v>
      </c>
      <c r="M4">
        <f>Surplus!D20*0.000001</f>
        <v>28.256450999999998</v>
      </c>
      <c r="N4" s="301">
        <f>SUM(M4:M5)</f>
        <v>43.188079000000002</v>
      </c>
      <c r="O4" s="126">
        <f>'Instruments supply'!C17*0.000001</f>
        <v>2.0400260000000001</v>
      </c>
      <c r="P4" s="304">
        <f>L4+N4+O4</f>
        <v>360.23792500000002</v>
      </c>
      <c r="Q4" s="298">
        <v>0</v>
      </c>
      <c r="R4" s="35">
        <f>P4+Q4</f>
        <v>360.23792500000002</v>
      </c>
      <c r="S4" s="35"/>
      <c r="T4" s="31">
        <f>K4/F4</f>
        <v>0.84320539784946225</v>
      </c>
      <c r="U4">
        <f>M4/F4</f>
        <v>0.15191640322580643</v>
      </c>
    </row>
    <row r="5" spans="2:21" x14ac:dyDescent="0.35">
      <c r="B5" s="290"/>
      <c r="C5">
        <v>2014</v>
      </c>
      <c r="D5">
        <v>159.69999999999999</v>
      </c>
      <c r="E5">
        <v>23.2</v>
      </c>
      <c r="F5" s="17">
        <f t="shared" ref="F5:F21" si="1">SUM(D5:E5)</f>
        <v>182.89999999999998</v>
      </c>
      <c r="G5" s="297"/>
      <c r="H5" s="71">
        <f t="shared" ref="H5:H11" si="2">0.08*D5+0.08*E5</f>
        <v>14.632</v>
      </c>
      <c r="I5" s="17">
        <f t="shared" si="0"/>
        <v>197.53199999999998</v>
      </c>
      <c r="J5" s="298"/>
      <c r="K5" s="31">
        <f>'Instruments supply'!D$16*0.000001</f>
        <v>158.17361599999998</v>
      </c>
      <c r="L5" s="300"/>
      <c r="M5" s="31">
        <f>Surplus!E20*0.000001</f>
        <v>14.931628</v>
      </c>
      <c r="N5" s="301"/>
      <c r="O5" s="88">
        <v>0</v>
      </c>
      <c r="P5" s="304"/>
      <c r="Q5" s="298"/>
      <c r="R5" s="35"/>
      <c r="S5" s="34"/>
      <c r="T5" s="31">
        <f t="shared" ref="T5:T13" si="3">K5/F5</f>
        <v>0.8648092728266813</v>
      </c>
      <c r="U5" s="31">
        <f t="shared" ref="U5:U13" si="4">M5/F5</f>
        <v>8.1638206670311658E-2</v>
      </c>
    </row>
    <row r="6" spans="2:21" x14ac:dyDescent="0.35">
      <c r="B6" s="290">
        <v>2</v>
      </c>
      <c r="C6">
        <v>2015</v>
      </c>
      <c r="D6">
        <v>394.5</v>
      </c>
      <c r="E6">
        <v>65.3</v>
      </c>
      <c r="F6" s="17">
        <f t="shared" si="1"/>
        <v>459.8</v>
      </c>
      <c r="G6" s="298">
        <f>SUM(F6:F8)</f>
        <v>1336.87</v>
      </c>
      <c r="H6" s="71">
        <f t="shared" si="2"/>
        <v>36.784000000000006</v>
      </c>
      <c r="I6" s="17">
        <f t="shared" si="0"/>
        <v>496.584</v>
      </c>
      <c r="J6" s="298">
        <f>SUM(I6:I8)</f>
        <v>1443.8195999999998</v>
      </c>
      <c r="K6" s="31">
        <f>'Instruments supply'!E$16*0.000001</f>
        <v>464.43101099999996</v>
      </c>
      <c r="L6" s="302">
        <f>SUM(K6:K8)</f>
        <v>1360.2565889999998</v>
      </c>
      <c r="M6" s="31">
        <f>Surplus!F20*0.000001</f>
        <v>19.227193</v>
      </c>
      <c r="N6" s="301">
        <f>SUM(M6:M8)</f>
        <v>112.68611100000001</v>
      </c>
      <c r="O6" s="88">
        <v>0</v>
      </c>
      <c r="P6" s="304">
        <f>L6+N6</f>
        <v>1472.9426999999998</v>
      </c>
      <c r="Q6" s="299">
        <f>Surplus!E30*0.000001</f>
        <v>30.076121999999998</v>
      </c>
      <c r="R6" s="35">
        <f>P6+Q6</f>
        <v>1503.0188219999998</v>
      </c>
      <c r="S6" s="35"/>
      <c r="T6" s="31">
        <f t="shared" si="3"/>
        <v>1.010071794258373</v>
      </c>
      <c r="U6" s="31">
        <f t="shared" si="4"/>
        <v>4.1816426707264029E-2</v>
      </c>
    </row>
    <row r="7" spans="2:21" x14ac:dyDescent="0.35">
      <c r="B7" s="290"/>
      <c r="C7">
        <v>2016</v>
      </c>
      <c r="D7">
        <v>382.4</v>
      </c>
      <c r="E7">
        <v>63.19</v>
      </c>
      <c r="F7" s="17">
        <f t="shared" si="1"/>
        <v>445.59</v>
      </c>
      <c r="G7" s="297"/>
      <c r="H7" s="71">
        <f t="shared" si="2"/>
        <v>35.647199999999998</v>
      </c>
      <c r="I7" s="17">
        <f t="shared" si="0"/>
        <v>481.23719999999997</v>
      </c>
      <c r="J7" s="298"/>
      <c r="K7" s="31">
        <f>'Instruments supply'!F$16*0.000001</f>
        <v>470.32251399999996</v>
      </c>
      <c r="L7" s="302"/>
      <c r="M7" s="31">
        <f>Surplus!G20*0.000001</f>
        <v>53.408138000000001</v>
      </c>
      <c r="N7" s="301"/>
      <c r="O7" s="88">
        <v>0</v>
      </c>
      <c r="P7" s="304"/>
      <c r="Q7" s="299"/>
      <c r="R7" s="35"/>
      <c r="S7" s="34"/>
      <c r="T7" s="31">
        <f t="shared" si="3"/>
        <v>1.0555050921250477</v>
      </c>
      <c r="U7" s="31">
        <f t="shared" si="4"/>
        <v>0.11985937296617968</v>
      </c>
    </row>
    <row r="8" spans="2:21" x14ac:dyDescent="0.35">
      <c r="B8" s="290"/>
      <c r="C8">
        <v>2017</v>
      </c>
      <c r="D8">
        <v>370.4</v>
      </c>
      <c r="E8">
        <v>61.08</v>
      </c>
      <c r="F8" s="17">
        <f>SUM(D8:E8)</f>
        <v>431.47999999999996</v>
      </c>
      <c r="G8" s="297"/>
      <c r="H8" s="71">
        <f t="shared" si="2"/>
        <v>34.5184</v>
      </c>
      <c r="I8" s="17">
        <f t="shared" si="0"/>
        <v>465.99839999999995</v>
      </c>
      <c r="J8" s="298"/>
      <c r="K8" s="31">
        <f>'Instruments supply'!G$16*0.000001</f>
        <v>425.50306399999999</v>
      </c>
      <c r="L8" s="302"/>
      <c r="M8" s="31">
        <f>Surplus!H20*0.000001</f>
        <v>40.050779999999996</v>
      </c>
      <c r="N8" s="301"/>
      <c r="O8" s="88">
        <v>0</v>
      </c>
      <c r="P8" s="304"/>
      <c r="Q8" s="299"/>
      <c r="R8" s="35"/>
      <c r="S8" s="34"/>
      <c r="T8" s="31">
        <f t="shared" si="3"/>
        <v>0.98614782608695661</v>
      </c>
      <c r="U8" s="31">
        <f t="shared" si="4"/>
        <v>9.2821868916288131E-2</v>
      </c>
    </row>
    <row r="9" spans="2:21" x14ac:dyDescent="0.35">
      <c r="B9" s="290">
        <v>3</v>
      </c>
      <c r="C9">
        <v>2018</v>
      </c>
      <c r="D9">
        <v>358.3</v>
      </c>
      <c r="E9">
        <v>58.96</v>
      </c>
      <c r="F9" s="17">
        <f t="shared" si="1"/>
        <v>417.26</v>
      </c>
      <c r="G9" s="298">
        <f>SUM(F9:F11)</f>
        <v>1209.3500000000001</v>
      </c>
      <c r="H9" s="71">
        <f t="shared" si="2"/>
        <v>33.380800000000001</v>
      </c>
      <c r="I9" s="17">
        <f t="shared" si="0"/>
        <v>450.64080000000001</v>
      </c>
      <c r="J9" s="298">
        <f>SUM(I9:I11)</f>
        <v>1306.098</v>
      </c>
      <c r="K9" s="31">
        <f>'Instruments supply'!H$16*0.000001</f>
        <v>432.06927999999999</v>
      </c>
      <c r="L9" s="303">
        <f>SUM(K9:K11)</f>
        <v>1219.2592549999999</v>
      </c>
      <c r="M9" s="31">
        <f>Surplus!I20*0.000001</f>
        <v>30.644351</v>
      </c>
      <c r="N9" s="301">
        <f>SUM(M9:M11)</f>
        <v>73.034851000000003</v>
      </c>
      <c r="O9" s="88">
        <v>0</v>
      </c>
      <c r="P9" s="304">
        <f>L9+N9</f>
        <v>1292.2941059999998</v>
      </c>
      <c r="Q9" s="299">
        <f>Surplus!H30*0.000001</f>
        <v>131.891076</v>
      </c>
      <c r="R9" s="35">
        <f>P9+Q9</f>
        <v>1424.1851819999997</v>
      </c>
      <c r="S9" s="35"/>
      <c r="T9" s="31">
        <f t="shared" si="3"/>
        <v>1.0354917317739538</v>
      </c>
      <c r="U9" s="31">
        <f t="shared" si="4"/>
        <v>7.3441861189665919E-2</v>
      </c>
    </row>
    <row r="10" spans="2:21" x14ac:dyDescent="0.35">
      <c r="B10" s="290"/>
      <c r="C10">
        <v>2019</v>
      </c>
      <c r="D10">
        <v>346.3</v>
      </c>
      <c r="E10">
        <v>56.85</v>
      </c>
      <c r="F10" s="17">
        <f t="shared" si="1"/>
        <v>403.15000000000003</v>
      </c>
      <c r="G10" s="297"/>
      <c r="H10" s="71">
        <f t="shared" si="2"/>
        <v>32.252000000000002</v>
      </c>
      <c r="I10" s="17">
        <f t="shared" si="0"/>
        <v>435.40200000000004</v>
      </c>
      <c r="J10" s="298"/>
      <c r="K10" s="31">
        <f>'Instruments supply'!I$16*0.000001</f>
        <v>403.559957</v>
      </c>
      <c r="L10" s="303"/>
      <c r="M10" s="31">
        <f>Surplus!J20*0.000001</f>
        <v>30.506875999999998</v>
      </c>
      <c r="N10" s="301"/>
      <c r="O10" s="88">
        <v>0</v>
      </c>
      <c r="P10" s="304"/>
      <c r="Q10" s="299"/>
      <c r="R10" s="35"/>
      <c r="S10" s="34"/>
      <c r="T10" s="31">
        <f t="shared" si="3"/>
        <v>1.0010168845342924</v>
      </c>
      <c r="U10" s="31">
        <f t="shared" si="4"/>
        <v>7.5671278680391904E-2</v>
      </c>
    </row>
    <row r="11" spans="2:21" x14ac:dyDescent="0.35">
      <c r="B11" s="290"/>
      <c r="C11">
        <v>2020</v>
      </c>
      <c r="D11">
        <v>334.2</v>
      </c>
      <c r="E11">
        <v>54.74</v>
      </c>
      <c r="F11" s="17">
        <f t="shared" si="1"/>
        <v>388.94</v>
      </c>
      <c r="G11" s="297"/>
      <c r="H11" s="115">
        <f t="shared" si="2"/>
        <v>31.115200000000002</v>
      </c>
      <c r="I11" s="17">
        <f t="shared" si="0"/>
        <v>420.05520000000001</v>
      </c>
      <c r="J11" s="298"/>
      <c r="K11" s="31">
        <f>'Instruments supply'!J$16*0.000001</f>
        <v>383.63001800000001</v>
      </c>
      <c r="L11" s="303"/>
      <c r="M11" s="31">
        <f>Surplus!K20*0.000001</f>
        <v>11.883623999999999</v>
      </c>
      <c r="N11" s="301"/>
      <c r="O11" s="88">
        <v>0</v>
      </c>
      <c r="P11" s="304"/>
      <c r="Q11" s="299"/>
      <c r="R11" s="35"/>
      <c r="S11" s="34"/>
      <c r="T11" s="31">
        <f t="shared" si="3"/>
        <v>0.98634755489278558</v>
      </c>
      <c r="U11" s="31">
        <f t="shared" si="4"/>
        <v>3.0553874633619579E-2</v>
      </c>
    </row>
    <row r="12" spans="2:21" x14ac:dyDescent="0.35">
      <c r="B12" s="290">
        <v>4</v>
      </c>
      <c r="C12">
        <v>2021</v>
      </c>
      <c r="D12" s="18">
        <v>320.83199999999999</v>
      </c>
      <c r="E12" s="18">
        <v>55.26</v>
      </c>
      <c r="F12" s="17">
        <f t="shared" si="1"/>
        <v>376.09199999999998</v>
      </c>
      <c r="G12" s="298">
        <f>SUM(F12:F14)</f>
        <v>1084.462</v>
      </c>
      <c r="H12" s="72">
        <f>0.04*D12+0.08*E12</f>
        <v>17.254080000000002</v>
      </c>
      <c r="I12" s="17">
        <f t="shared" si="0"/>
        <v>393.34607999999997</v>
      </c>
      <c r="J12" s="298">
        <f>SUM(I12:I14)</f>
        <v>1134.3232799999998</v>
      </c>
      <c r="K12" s="31">
        <f>'Instruments supply'!K$16*0.000001</f>
        <v>375.65698199999997</v>
      </c>
      <c r="L12" s="303">
        <f>SUM(K12:K14)</f>
        <v>1067.0924603702058</v>
      </c>
      <c r="M12" s="31">
        <f>Surplus!L20*0.000001</f>
        <v>3.3268629999999999</v>
      </c>
      <c r="N12" s="290">
        <f>SUM(M12:M14)</f>
        <v>31.130533</v>
      </c>
      <c r="O12" s="88">
        <v>0</v>
      </c>
      <c r="P12" s="304">
        <f>SUM(N12+L12)</f>
        <v>1098.2229933702058</v>
      </c>
      <c r="Q12" s="297">
        <f>Surplus!K30*0.000001</f>
        <v>324.11702500000001</v>
      </c>
      <c r="R12" s="35">
        <f t="shared" ref="R12" si="5">P12+Q12</f>
        <v>1422.3400183702058</v>
      </c>
      <c r="T12" s="31">
        <f t="shared" si="3"/>
        <v>0.99884332025142786</v>
      </c>
      <c r="U12" s="31">
        <f t="shared" si="4"/>
        <v>8.8458754772768374E-3</v>
      </c>
    </row>
    <row r="13" spans="2:21" x14ac:dyDescent="0.35">
      <c r="B13" s="290"/>
      <c r="C13">
        <v>2022</v>
      </c>
      <c r="D13" s="18">
        <v>307.464</v>
      </c>
      <c r="E13" s="18">
        <v>54.02</v>
      </c>
      <c r="F13" s="17">
        <f t="shared" si="1"/>
        <v>361.48399999999998</v>
      </c>
      <c r="G13" s="298"/>
      <c r="H13" s="72">
        <f t="shared" ref="H13:H16" si="6">0.04*D13+0.08*E13</f>
        <v>16.620159999999998</v>
      </c>
      <c r="I13" s="17">
        <f t="shared" si="0"/>
        <v>378.10415999999998</v>
      </c>
      <c r="J13" s="298"/>
      <c r="K13" s="264">
        <f>'Instruments supply'!L16*0.000001</f>
        <v>352.949995</v>
      </c>
      <c r="L13" s="303"/>
      <c r="M13" s="264">
        <f>'Instruments supply'!L20*0.000001</f>
        <v>11.81663</v>
      </c>
      <c r="N13" s="290"/>
      <c r="O13" s="88">
        <v>0</v>
      </c>
      <c r="P13" s="304"/>
      <c r="Q13" s="297"/>
      <c r="R13" s="35"/>
      <c r="T13" s="31">
        <f t="shared" si="3"/>
        <v>0.97639174901240444</v>
      </c>
      <c r="U13" s="31">
        <f t="shared" si="4"/>
        <v>3.2689219993139396E-2</v>
      </c>
    </row>
    <row r="14" spans="2:21" x14ac:dyDescent="0.35">
      <c r="B14" s="290"/>
      <c r="C14">
        <v>2023</v>
      </c>
      <c r="D14" s="18">
        <v>294.096</v>
      </c>
      <c r="E14" s="18">
        <v>52.79</v>
      </c>
      <c r="F14" s="17">
        <f t="shared" si="1"/>
        <v>346.88600000000002</v>
      </c>
      <c r="G14" s="298"/>
      <c r="H14" s="72">
        <f t="shared" si="6"/>
        <v>15.98704</v>
      </c>
      <c r="I14" s="17">
        <f t="shared" si="0"/>
        <v>362.87304</v>
      </c>
      <c r="J14" s="298"/>
      <c r="K14" s="78">
        <f t="shared" ref="K14:K21" si="7">$T$21*F14</f>
        <v>338.48548337020583</v>
      </c>
      <c r="L14" s="303"/>
      <c r="M14" s="78">
        <v>15.98704</v>
      </c>
      <c r="N14" s="290"/>
      <c r="O14" s="88">
        <v>0</v>
      </c>
      <c r="P14" s="304"/>
      <c r="Q14" s="297"/>
      <c r="R14" s="35"/>
      <c r="T14" s="31"/>
    </row>
    <row r="15" spans="2:21" x14ac:dyDescent="0.35">
      <c r="B15" s="290">
        <v>5</v>
      </c>
      <c r="C15">
        <v>2024</v>
      </c>
      <c r="D15" s="18">
        <v>280.72800000000001</v>
      </c>
      <c r="E15" s="18">
        <v>51.55</v>
      </c>
      <c r="F15" s="17">
        <f t="shared" si="1"/>
        <v>332.27800000000002</v>
      </c>
      <c r="G15" s="298">
        <f>SUM(F15:F17)</f>
        <v>953.0200000000001</v>
      </c>
      <c r="H15" s="72">
        <f t="shared" si="6"/>
        <v>15.353120000000001</v>
      </c>
      <c r="I15" s="17">
        <f t="shared" si="0"/>
        <v>347.63112000000001</v>
      </c>
      <c r="J15" s="298">
        <f>SUM(I15:I17)</f>
        <v>1002.2582400000001</v>
      </c>
      <c r="K15" s="78">
        <f t="shared" si="7"/>
        <v>324.23124439523434</v>
      </c>
      <c r="L15" s="303">
        <f>SUM(K15:K17)</f>
        <v>929.94077409141198</v>
      </c>
      <c r="M15" s="78">
        <v>15.353120000000001</v>
      </c>
      <c r="N15" s="290">
        <f>SUM(M15:M17)</f>
        <v>49.238240000000005</v>
      </c>
      <c r="O15" s="88">
        <v>0</v>
      </c>
      <c r="P15" s="304">
        <f>SUM(N15+L15)</f>
        <v>979.179014091412</v>
      </c>
      <c r="Q15" s="297">
        <f>Surplus!N30*0.000001</f>
        <v>394.87926494215606</v>
      </c>
      <c r="R15" s="35">
        <f t="shared" ref="R15" si="8">P15+Q15</f>
        <v>1374.0582790335679</v>
      </c>
      <c r="T15" s="31"/>
    </row>
    <row r="16" spans="2:21" x14ac:dyDescent="0.35">
      <c r="B16" s="290"/>
      <c r="C16">
        <v>2025</v>
      </c>
      <c r="D16" s="18">
        <v>267.36</v>
      </c>
      <c r="E16" s="18">
        <v>50.31</v>
      </c>
      <c r="F16" s="17">
        <f t="shared" si="1"/>
        <v>317.67</v>
      </c>
      <c r="G16" s="298"/>
      <c r="H16" s="72">
        <f t="shared" si="6"/>
        <v>14.719200000000001</v>
      </c>
      <c r="I16" s="17">
        <f t="shared" si="0"/>
        <v>332.38920000000002</v>
      </c>
      <c r="J16" s="298"/>
      <c r="K16" s="78">
        <f t="shared" si="7"/>
        <v>309.9770054202628</v>
      </c>
      <c r="L16" s="303"/>
      <c r="M16" s="78">
        <v>14.719200000000001</v>
      </c>
      <c r="N16" s="290"/>
      <c r="O16" s="88">
        <v>0</v>
      </c>
      <c r="P16" s="304"/>
      <c r="Q16" s="297"/>
      <c r="R16" s="35"/>
      <c r="T16" s="31"/>
    </row>
    <row r="17" spans="2:22" x14ac:dyDescent="0.35">
      <c r="B17" s="290"/>
      <c r="C17">
        <v>2026</v>
      </c>
      <c r="D17" s="18">
        <v>253.99200000000002</v>
      </c>
      <c r="E17" s="18">
        <v>49.08</v>
      </c>
      <c r="F17" s="17">
        <f t="shared" si="1"/>
        <v>303.072</v>
      </c>
      <c r="G17" s="298"/>
      <c r="H17" s="67">
        <f>0.06*D17+0.08*E17</f>
        <v>19.16592</v>
      </c>
      <c r="I17" s="17">
        <f t="shared" si="0"/>
        <v>322.23792000000003</v>
      </c>
      <c r="J17" s="298"/>
      <c r="K17" s="78">
        <f t="shared" si="7"/>
        <v>295.7325242759149</v>
      </c>
      <c r="L17" s="303"/>
      <c r="M17" s="78">
        <v>19.16592</v>
      </c>
      <c r="N17" s="290"/>
      <c r="O17" s="88">
        <v>0</v>
      </c>
      <c r="P17" s="304"/>
      <c r="Q17" s="297"/>
      <c r="R17" s="35"/>
      <c r="T17" s="31"/>
    </row>
    <row r="18" spans="2:22" x14ac:dyDescent="0.35">
      <c r="B18" s="290">
        <v>6</v>
      </c>
      <c r="C18">
        <v>2027</v>
      </c>
      <c r="D18" s="18">
        <v>240.62400000000002</v>
      </c>
      <c r="E18" s="18">
        <v>47.84</v>
      </c>
      <c r="F18" s="17">
        <f t="shared" si="1"/>
        <v>288.46400000000006</v>
      </c>
      <c r="G18" s="298">
        <f>SUM(F18:F20)</f>
        <v>821.58800000000019</v>
      </c>
      <c r="H18" s="68">
        <f t="shared" ref="H18:H21" si="9">0.06*D18+0.08*E18</f>
        <v>18.26464</v>
      </c>
      <c r="I18" s="17">
        <f t="shared" si="0"/>
        <v>306.72864000000004</v>
      </c>
      <c r="J18" s="298">
        <f>SUM(I18:I20)</f>
        <v>873.67968000000019</v>
      </c>
      <c r="K18" s="78">
        <f t="shared" si="7"/>
        <v>281.47828530094347</v>
      </c>
      <c r="L18" s="303">
        <f>SUM(K18:K20)</f>
        <v>801.69165463916306</v>
      </c>
      <c r="M18" s="78">
        <v>18.26464</v>
      </c>
      <c r="N18" s="290">
        <f>SUM(M18:M20)</f>
        <v>52.091679999999997</v>
      </c>
      <c r="O18" s="88">
        <v>0</v>
      </c>
      <c r="P18" s="304">
        <f>SUM(N18+L18)</f>
        <v>853.78333463916306</v>
      </c>
      <c r="Q18" s="297">
        <f>Surplus!Q30*0.000001</f>
        <v>361.67540166140247</v>
      </c>
      <c r="R18" s="35">
        <f>P18+Q18</f>
        <v>1215.4587363005655</v>
      </c>
      <c r="T18" s="31"/>
    </row>
    <row r="19" spans="2:22" x14ac:dyDescent="0.35">
      <c r="B19" s="290"/>
      <c r="C19">
        <v>2028</v>
      </c>
      <c r="D19" s="18">
        <v>227.25600000000003</v>
      </c>
      <c r="E19" s="18">
        <v>46.61</v>
      </c>
      <c r="F19" s="17">
        <f t="shared" si="1"/>
        <v>273.86600000000004</v>
      </c>
      <c r="G19" s="298"/>
      <c r="H19" s="68">
        <f t="shared" si="9"/>
        <v>17.364160000000002</v>
      </c>
      <c r="I19" s="17">
        <f t="shared" si="0"/>
        <v>291.23016000000007</v>
      </c>
      <c r="J19" s="298"/>
      <c r="K19" s="78">
        <f t="shared" si="7"/>
        <v>267.23380415659557</v>
      </c>
      <c r="L19" s="303"/>
      <c r="M19" s="78">
        <v>17.364160000000002</v>
      </c>
      <c r="N19" s="290"/>
      <c r="O19" s="88">
        <v>0</v>
      </c>
      <c r="P19" s="304"/>
      <c r="Q19" s="297"/>
      <c r="R19" s="35"/>
      <c r="T19" s="31"/>
    </row>
    <row r="20" spans="2:22" x14ac:dyDescent="0.35">
      <c r="B20" s="290"/>
      <c r="C20">
        <v>2029</v>
      </c>
      <c r="D20" s="18">
        <v>213.88800000000003</v>
      </c>
      <c r="E20" s="18">
        <v>45.37</v>
      </c>
      <c r="F20" s="17">
        <f t="shared" si="1"/>
        <v>259.25800000000004</v>
      </c>
      <c r="G20" s="298"/>
      <c r="H20" s="68">
        <f t="shared" si="9"/>
        <v>16.462880000000002</v>
      </c>
      <c r="I20" s="17">
        <f t="shared" si="0"/>
        <v>275.72088000000002</v>
      </c>
      <c r="J20" s="298"/>
      <c r="K20" s="78">
        <f t="shared" si="7"/>
        <v>252.97956518162403</v>
      </c>
      <c r="L20" s="303"/>
      <c r="M20" s="78">
        <v>16.462880000000002</v>
      </c>
      <c r="N20" s="290"/>
      <c r="O20" s="88">
        <v>0</v>
      </c>
      <c r="P20" s="304"/>
      <c r="Q20" s="297"/>
      <c r="R20" s="35"/>
      <c r="T20" s="31"/>
    </row>
    <row r="21" spans="2:22" x14ac:dyDescent="0.35">
      <c r="B21" s="290">
        <v>7</v>
      </c>
      <c r="C21">
        <v>2030</v>
      </c>
      <c r="D21" s="18">
        <v>200.51999999999998</v>
      </c>
      <c r="E21" s="18">
        <v>44.14</v>
      </c>
      <c r="F21" s="17">
        <f t="shared" si="1"/>
        <v>244.65999999999997</v>
      </c>
      <c r="H21" s="69">
        <f t="shared" si="9"/>
        <v>15.562399999999998</v>
      </c>
      <c r="I21" s="17">
        <f t="shared" si="0"/>
        <v>260.22239999999999</v>
      </c>
      <c r="K21" s="78">
        <f t="shared" si="7"/>
        <v>238.73508403727607</v>
      </c>
      <c r="M21" s="78">
        <v>15.562399999999998</v>
      </c>
      <c r="O21" s="88">
        <v>0</v>
      </c>
      <c r="Q21" s="153"/>
      <c r="S21" s="77" t="s">
        <v>119</v>
      </c>
      <c r="T21" s="16">
        <f>AVERAGE(T4:T13)</f>
        <v>0.97578306236113832</v>
      </c>
      <c r="U21" s="16">
        <f>AVERAGE(U4:U13)</f>
        <v>7.0925438845994365E-2</v>
      </c>
      <c r="V21" s="145"/>
    </row>
    <row r="22" spans="2:22" x14ac:dyDescent="0.35">
      <c r="B22" s="290"/>
      <c r="C22" s="31">
        <v>2031</v>
      </c>
      <c r="M22" s="26"/>
    </row>
    <row r="23" spans="2:22" x14ac:dyDescent="0.35">
      <c r="B23" s="290"/>
      <c r="C23" s="31">
        <v>2032</v>
      </c>
      <c r="K23" s="78"/>
      <c r="M23" s="125"/>
    </row>
    <row r="24" spans="2:22" x14ac:dyDescent="0.35">
      <c r="B24" s="16" t="s">
        <v>140</v>
      </c>
      <c r="G24" s="176"/>
      <c r="J24" s="176"/>
      <c r="M24" s="26"/>
      <c r="P24" s="173"/>
    </row>
    <row r="25" spans="2:22" x14ac:dyDescent="0.35">
      <c r="F25" s="17"/>
      <c r="M25" s="26"/>
    </row>
    <row r="26" spans="2:22" x14ac:dyDescent="0.35">
      <c r="M26" s="26"/>
    </row>
    <row r="43" spans="3:3" x14ac:dyDescent="0.35">
      <c r="C43" s="31"/>
    </row>
    <row r="44" spans="3:3" x14ac:dyDescent="0.35">
      <c r="C44" s="31"/>
    </row>
    <row r="45" spans="3:3" x14ac:dyDescent="0.35">
      <c r="C45" s="31"/>
    </row>
    <row r="46" spans="3:3" x14ac:dyDescent="0.35">
      <c r="C46" s="31"/>
    </row>
    <row r="47" spans="3:3" x14ac:dyDescent="0.35">
      <c r="C47" s="31"/>
    </row>
    <row r="48" spans="3:3" x14ac:dyDescent="0.35">
      <c r="C48" s="31"/>
    </row>
    <row r="49" spans="3:4" x14ac:dyDescent="0.35">
      <c r="C49" s="31"/>
    </row>
    <row r="50" spans="3:4" x14ac:dyDescent="0.35">
      <c r="C50" s="31"/>
    </row>
    <row r="51" spans="3:4" x14ac:dyDescent="0.35">
      <c r="C51" s="31"/>
    </row>
    <row r="52" spans="3:4" x14ac:dyDescent="0.35">
      <c r="C52" s="31"/>
    </row>
    <row r="53" spans="3:4" x14ac:dyDescent="0.35">
      <c r="C53" s="31"/>
    </row>
    <row r="54" spans="3:4" x14ac:dyDescent="0.35">
      <c r="C54" s="31"/>
    </row>
    <row r="55" spans="3:4" x14ac:dyDescent="0.35">
      <c r="C55" s="31"/>
      <c r="D55" s="78"/>
    </row>
    <row r="56" spans="3:4" x14ac:dyDescent="0.35">
      <c r="C56" s="31"/>
      <c r="D56" s="78"/>
    </row>
    <row r="57" spans="3:4" x14ac:dyDescent="0.35">
      <c r="C57" s="31"/>
    </row>
    <row r="58" spans="3:4" x14ac:dyDescent="0.35">
      <c r="C58" s="31"/>
    </row>
    <row r="59" spans="3:4" x14ac:dyDescent="0.35">
      <c r="C59" s="31"/>
    </row>
    <row r="60" spans="3:4" x14ac:dyDescent="0.35">
      <c r="C60" s="31"/>
    </row>
    <row r="61" spans="3:4" x14ac:dyDescent="0.35">
      <c r="C61" s="31"/>
    </row>
    <row r="62" spans="3:4" x14ac:dyDescent="0.35">
      <c r="C62" s="31"/>
    </row>
    <row r="63" spans="3:4" x14ac:dyDescent="0.35">
      <c r="C63" s="31"/>
    </row>
    <row r="64" spans="3:4" x14ac:dyDescent="0.35">
      <c r="C64" s="31"/>
    </row>
    <row r="65" spans="3:3" x14ac:dyDescent="0.35">
      <c r="C65" s="31"/>
    </row>
    <row r="66" spans="3:3" x14ac:dyDescent="0.35">
      <c r="C66" s="31"/>
    </row>
    <row r="67" spans="3:3" x14ac:dyDescent="0.35">
      <c r="C67" s="31"/>
    </row>
    <row r="68" spans="3:3" x14ac:dyDescent="0.35">
      <c r="C68" s="31"/>
    </row>
    <row r="69" spans="3:3" x14ac:dyDescent="0.35">
      <c r="C69" s="31"/>
    </row>
  </sheetData>
  <mergeCells count="43">
    <mergeCell ref="P18:P20"/>
    <mergeCell ref="P4:P5"/>
    <mergeCell ref="P6:P8"/>
    <mergeCell ref="P9:P11"/>
    <mergeCell ref="L12:L14"/>
    <mergeCell ref="L15:L17"/>
    <mergeCell ref="N12:N14"/>
    <mergeCell ref="N15:N17"/>
    <mergeCell ref="P12:P14"/>
    <mergeCell ref="P15:P17"/>
    <mergeCell ref="J18:J20"/>
    <mergeCell ref="L4:L5"/>
    <mergeCell ref="N4:N5"/>
    <mergeCell ref="L6:L8"/>
    <mergeCell ref="L9:L11"/>
    <mergeCell ref="N6:N8"/>
    <mergeCell ref="N9:N11"/>
    <mergeCell ref="L18:L20"/>
    <mergeCell ref="N18:N20"/>
    <mergeCell ref="J9:J11"/>
    <mergeCell ref="J6:J8"/>
    <mergeCell ref="J4:J5"/>
    <mergeCell ref="J12:J14"/>
    <mergeCell ref="J15:J17"/>
    <mergeCell ref="B12:B14"/>
    <mergeCell ref="B15:B17"/>
    <mergeCell ref="B18:B20"/>
    <mergeCell ref="B21:B23"/>
    <mergeCell ref="G12:G14"/>
    <mergeCell ref="G15:G17"/>
    <mergeCell ref="G18:G20"/>
    <mergeCell ref="B4:B5"/>
    <mergeCell ref="B6:B8"/>
    <mergeCell ref="B9:B11"/>
    <mergeCell ref="G4:G5"/>
    <mergeCell ref="G6:G8"/>
    <mergeCell ref="G9:G11"/>
    <mergeCell ref="Q18:Q20"/>
    <mergeCell ref="Q4:Q5"/>
    <mergeCell ref="Q6:Q8"/>
    <mergeCell ref="Q9:Q11"/>
    <mergeCell ref="Q12:Q14"/>
    <mergeCell ref="Q15:Q1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5CC2-4E76-4E99-A732-3F1DC8CDC47D}">
  <dimension ref="A1:AG74"/>
  <sheetViews>
    <sheetView tabSelected="1" zoomScale="59" zoomScaleNormal="40" workbookViewId="0"/>
  </sheetViews>
  <sheetFormatPr baseColWidth="10" defaultRowHeight="14.5" x14ac:dyDescent="0.35"/>
  <cols>
    <col min="1" max="1" width="18.1796875" customWidth="1"/>
    <col min="2" max="2" width="19.7265625" customWidth="1"/>
    <col min="3" max="3" width="29.453125" customWidth="1"/>
    <col min="4" max="4" width="17.7265625" customWidth="1"/>
    <col min="5" max="5" width="17.54296875" customWidth="1"/>
    <col min="6" max="7" width="17.7265625" customWidth="1"/>
    <col min="8" max="9" width="17.54296875" customWidth="1"/>
    <col min="10" max="10" width="18.453125" customWidth="1"/>
    <col min="11" max="11" width="19.26953125" customWidth="1"/>
    <col min="12" max="12" width="21.81640625" customWidth="1"/>
    <col min="13" max="13" width="17" customWidth="1"/>
    <col min="14" max="14" width="14" customWidth="1"/>
    <col min="15" max="15" width="13.54296875" customWidth="1"/>
    <col min="16" max="16" width="13.1796875" customWidth="1"/>
    <col min="17" max="17" width="13.81640625" customWidth="1"/>
  </cols>
  <sheetData>
    <row r="1" spans="1:33" x14ac:dyDescent="0.35">
      <c r="A1" s="60" t="s">
        <v>83</v>
      </c>
      <c r="B1" s="61"/>
      <c r="C1" s="31"/>
      <c r="D1" s="31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33" ht="15" thickBot="1" x14ac:dyDescent="0.4">
      <c r="A2" s="62" t="s">
        <v>68</v>
      </c>
      <c r="B2" s="63"/>
      <c r="C2" s="31"/>
      <c r="D2" s="31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</row>
    <row r="3" spans="1:33" x14ac:dyDescent="0.35">
      <c r="A3" s="31"/>
      <c r="D3">
        <v>1</v>
      </c>
      <c r="E3">
        <v>2</v>
      </c>
      <c r="F3">
        <v>3</v>
      </c>
      <c r="G3">
        <v>4</v>
      </c>
      <c r="H3">
        <v>5</v>
      </c>
      <c r="I3" s="65">
        <v>6</v>
      </c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</row>
    <row r="4" spans="1:33" x14ac:dyDescent="0.35">
      <c r="A4" s="26"/>
      <c r="B4" s="26"/>
      <c r="C4" s="26"/>
      <c r="D4" s="155" t="s">
        <v>57</v>
      </c>
      <c r="E4" s="155" t="s">
        <v>58</v>
      </c>
      <c r="F4" s="155" t="s">
        <v>59</v>
      </c>
      <c r="G4" s="156" t="s">
        <v>86</v>
      </c>
      <c r="H4" s="156" t="s">
        <v>87</v>
      </c>
      <c r="I4" s="156" t="s">
        <v>88</v>
      </c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</row>
    <row r="5" spans="1:33" x14ac:dyDescent="0.35">
      <c r="A5" s="306" t="s">
        <v>80</v>
      </c>
      <c r="B5" s="310" t="s">
        <v>84</v>
      </c>
      <c r="C5" s="161" t="s">
        <v>81</v>
      </c>
      <c r="D5" s="162">
        <f>'Supply levels'!G4</f>
        <v>368.9</v>
      </c>
      <c r="E5" s="163">
        <f>'Supply levels'!G6</f>
        <v>1336.87</v>
      </c>
      <c r="F5" s="163">
        <f>'Supply levels'!G9</f>
        <v>1209.3500000000001</v>
      </c>
      <c r="G5" s="163">
        <f>'Supply levels'!G12</f>
        <v>1084.462</v>
      </c>
      <c r="H5" s="164">
        <f>'Supply levels'!G15</f>
        <v>953.0200000000001</v>
      </c>
      <c r="I5" s="163">
        <f>'Supply levels'!G18</f>
        <v>821.58800000000019</v>
      </c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</row>
    <row r="6" spans="1:33" x14ac:dyDescent="0.35">
      <c r="A6" s="306"/>
      <c r="B6" s="311"/>
      <c r="C6" s="3" t="s">
        <v>114</v>
      </c>
      <c r="D6" s="73">
        <f>'Supply levels'!J4</f>
        <v>398.41199999999998</v>
      </c>
      <c r="E6" s="73">
        <f>'Supply levels'!J6</f>
        <v>1443.8195999999998</v>
      </c>
      <c r="F6" s="73">
        <f>'Supply levels'!J9</f>
        <v>1306.098</v>
      </c>
      <c r="G6" s="73">
        <f>'Supply levels'!J12</f>
        <v>1134.3232799999998</v>
      </c>
      <c r="H6" s="75">
        <f>'Supply levels'!J15</f>
        <v>1002.2582400000001</v>
      </c>
      <c r="I6" s="73">
        <f>'Supply levels'!J18</f>
        <v>873.67968000000019</v>
      </c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</row>
    <row r="7" spans="1:33" s="31" customFormat="1" x14ac:dyDescent="0.35">
      <c r="A7" s="306"/>
      <c r="B7" s="311"/>
      <c r="C7" s="161" t="s">
        <v>104</v>
      </c>
      <c r="D7" s="163">
        <f>'Supply levels'!R4</f>
        <v>360.23792500000002</v>
      </c>
      <c r="E7" s="163">
        <f>'Supply levels'!R6</f>
        <v>1503.0188219999998</v>
      </c>
      <c r="F7" s="163">
        <f>'Supply levels'!R9</f>
        <v>1424.1851819999997</v>
      </c>
      <c r="G7" s="166">
        <f>'Supply levels'!R12</f>
        <v>1422.3400183702058</v>
      </c>
      <c r="H7" s="165">
        <f>'Supply levels'!R15</f>
        <v>1374.0582790335679</v>
      </c>
      <c r="I7" s="166">
        <f>'Supply levels'!R18</f>
        <v>1215.4587363005655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</row>
    <row r="8" spans="1:33" s="31" customFormat="1" x14ac:dyDescent="0.35">
      <c r="A8" s="306"/>
      <c r="B8" s="311"/>
      <c r="C8" s="3" t="s">
        <v>103</v>
      </c>
      <c r="D8" s="122">
        <f>Prices!I3</f>
        <v>12.718083333333334</v>
      </c>
      <c r="E8" s="122">
        <f>Prices!I5</f>
        <v>13.154166666666669</v>
      </c>
      <c r="F8" s="122">
        <f>Prices!I8</f>
        <v>16.260000000000002</v>
      </c>
      <c r="G8" s="139">
        <f>Prices!I11</f>
        <v>25.009514814814718</v>
      </c>
      <c r="H8" s="139">
        <f>Prices!I14</f>
        <v>27.491881818181355</v>
      </c>
      <c r="I8" s="139">
        <f>Prices!I17</f>
        <v>31.9218878787871</v>
      </c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</row>
    <row r="9" spans="1:33" s="31" customFormat="1" x14ac:dyDescent="0.35">
      <c r="A9" s="306"/>
      <c r="B9" s="312"/>
      <c r="C9" s="161" t="s">
        <v>148</v>
      </c>
      <c r="D9" s="167">
        <f>Prices!N3</f>
        <v>11.025</v>
      </c>
      <c r="E9" s="167">
        <f>Prices!N5</f>
        <v>12.799999999999999</v>
      </c>
      <c r="F9" s="167">
        <f>Prices!N8</f>
        <v>15.549999999999999</v>
      </c>
      <c r="G9" s="168">
        <f>Prices!N11</f>
        <v>19.873333333333331</v>
      </c>
      <c r="H9" s="168">
        <f>Prices!N14</f>
        <v>25.905256120333338</v>
      </c>
      <c r="I9" s="168">
        <f>Prices!N17</f>
        <v>31.872110827731518</v>
      </c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</row>
    <row r="10" spans="1:33" s="31" customFormat="1" x14ac:dyDescent="0.35">
      <c r="A10" s="306"/>
      <c r="B10" s="307" t="s">
        <v>136</v>
      </c>
      <c r="C10" s="230" t="s">
        <v>137</v>
      </c>
      <c r="D10" s="250">
        <f>Reserves!E4*0.000001</f>
        <v>40.610999999999997</v>
      </c>
      <c r="E10" s="250">
        <f>Reserves!E6*0.000001</f>
        <v>40.610999999999997</v>
      </c>
      <c r="F10" s="250">
        <f>Reserves!E9*0.000001</f>
        <v>30.800982666666666</v>
      </c>
      <c r="G10" s="254">
        <f>Reserves!E12*0.000001</f>
        <v>66.810999999999993</v>
      </c>
      <c r="H10" s="254">
        <f>Reserves!E15*0.000001</f>
        <v>66.810999999999993</v>
      </c>
      <c r="I10" s="254">
        <f>Reserves!E18*0.000001</f>
        <v>66.810999999999993</v>
      </c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</row>
    <row r="11" spans="1:33" s="31" customFormat="1" x14ac:dyDescent="0.35">
      <c r="A11" s="306"/>
      <c r="B11" s="308"/>
      <c r="C11" s="161" t="s">
        <v>131</v>
      </c>
      <c r="D11" s="167">
        <f>Reserves!F4</f>
        <v>41.239999999999995</v>
      </c>
      <c r="E11" s="167">
        <f>Reserves!F6</f>
        <v>47.81</v>
      </c>
      <c r="F11" s="167">
        <f>Reserves!F9</f>
        <v>58.43</v>
      </c>
      <c r="G11" s="168">
        <f>Reserves!F12</f>
        <v>46.456666666666671</v>
      </c>
      <c r="H11" s="168">
        <f>Reserves!F15</f>
        <v>53.582955511521561</v>
      </c>
      <c r="I11" s="168">
        <f>Reserves!F18</f>
        <v>56.170845403624007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</row>
    <row r="12" spans="1:33" s="31" customFormat="1" x14ac:dyDescent="0.35">
      <c r="A12" s="306"/>
      <c r="B12" s="308"/>
      <c r="C12" s="230" t="s">
        <v>138</v>
      </c>
      <c r="D12" s="250">
        <f>Reserves!I4*0.000001</f>
        <v>40.610999999999997</v>
      </c>
      <c r="E12" s="250">
        <f>Reserves!I6*0.000001</f>
        <v>40.610999999999997</v>
      </c>
      <c r="F12" s="250">
        <f>Reserves!I9*0.000001</f>
        <v>30.800982666666666</v>
      </c>
      <c r="G12" s="254">
        <f>Reserves!I12*0.000001</f>
        <v>89.536999999999992</v>
      </c>
      <c r="H12" s="254">
        <f>Reserves!I15*0.000001</f>
        <v>89.536999999999992</v>
      </c>
      <c r="I12" s="254">
        <f>Reserves!I18*0.000001</f>
        <v>89.536999999999992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</row>
    <row r="13" spans="1:33" s="31" customFormat="1" x14ac:dyDescent="0.35">
      <c r="A13" s="306"/>
      <c r="B13" s="308"/>
      <c r="C13" s="161" t="s">
        <v>133</v>
      </c>
      <c r="D13" s="167">
        <f>Reserves!J4</f>
        <v>46.34</v>
      </c>
      <c r="E13" s="167">
        <f>+Reserves!J6</f>
        <v>53.79666666666666</v>
      </c>
      <c r="F13" s="167">
        <f>+Reserves!J9</f>
        <v>65.600000000000009</v>
      </c>
      <c r="G13" s="168">
        <f>+Reserves!J12</f>
        <v>59.693333333333328</v>
      </c>
      <c r="H13" s="168">
        <f>+Reserves!J15</f>
        <v>68.846667222141818</v>
      </c>
      <c r="I13" s="168">
        <f>+Reserves!J18</f>
        <v>72.17174685816174</v>
      </c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</row>
    <row r="14" spans="1:33" s="31" customFormat="1" x14ac:dyDescent="0.35">
      <c r="A14" s="306"/>
      <c r="B14" s="308"/>
      <c r="C14" s="230" t="s">
        <v>139</v>
      </c>
      <c r="D14" s="250">
        <f>+Reserves!M4*0.000001</f>
        <v>40.610999999999997</v>
      </c>
      <c r="E14" s="250">
        <f>+Reserves!M6*0.000001</f>
        <v>40.610999999999997</v>
      </c>
      <c r="F14" s="250">
        <f>+Reserves!M9*0.000001</f>
        <v>30.800982666666666</v>
      </c>
      <c r="G14" s="250"/>
      <c r="H14" s="254"/>
      <c r="I14" s="254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</row>
    <row r="15" spans="1:33" s="31" customFormat="1" x14ac:dyDescent="0.35">
      <c r="A15" s="306"/>
      <c r="B15" s="308"/>
      <c r="C15" s="161" t="s">
        <v>135</v>
      </c>
      <c r="D15" s="167">
        <f>Reserves!N4</f>
        <v>51.489999999999995</v>
      </c>
      <c r="E15" s="167">
        <f>Reserves!N6</f>
        <v>59.77</v>
      </c>
      <c r="F15" s="167">
        <f>Reserves!N9</f>
        <v>72.873333333333335</v>
      </c>
      <c r="G15" s="167"/>
      <c r="H15" s="168"/>
      <c r="I15" s="168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</row>
    <row r="16" spans="1:33" s="31" customFormat="1" x14ac:dyDescent="0.35">
      <c r="A16" s="306"/>
      <c r="B16" s="309"/>
      <c r="C16" s="230" t="s">
        <v>142</v>
      </c>
      <c r="D16" s="250"/>
      <c r="E16" s="250"/>
      <c r="F16" s="250"/>
      <c r="G16" s="254">
        <f>+Reserves!P12</f>
        <v>77.046146666666672</v>
      </c>
      <c r="H16" s="254">
        <f>+Reserves!P15</f>
        <v>107.73384453004508</v>
      </c>
      <c r="I16" s="254">
        <f>+Reserves!P18</f>
        <v>132.09346972004059</v>
      </c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</row>
    <row r="17" spans="1:33" x14ac:dyDescent="0.35">
      <c r="A17" s="306"/>
      <c r="B17" s="306" t="s">
        <v>82</v>
      </c>
      <c r="C17" s="161" t="s">
        <v>85</v>
      </c>
      <c r="D17" s="169">
        <v>-0.41</v>
      </c>
      <c r="E17" s="169">
        <v>-0.41</v>
      </c>
      <c r="F17" s="169">
        <v>-0.41</v>
      </c>
      <c r="G17" s="169">
        <v>-0.41</v>
      </c>
      <c r="H17" s="253">
        <v>-0.41</v>
      </c>
      <c r="I17" s="253">
        <v>-0.41</v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</row>
    <row r="18" spans="1:33" x14ac:dyDescent="0.35">
      <c r="A18" s="306"/>
      <c r="B18" s="306"/>
      <c r="C18" s="230" t="s">
        <v>117</v>
      </c>
      <c r="D18" s="231">
        <f>'Emissions '!E5*0.000001</f>
        <v>327.84590499999996</v>
      </c>
      <c r="E18" s="255">
        <f>'Emissions '!E6*0.000001</f>
        <v>1157.5876109999999</v>
      </c>
      <c r="F18" s="231">
        <f>'Emissions '!E7*0.000001</f>
        <v>1090.4205609999999</v>
      </c>
      <c r="G18" s="256">
        <f>'Emissions '!E8*0.000001</f>
        <v>1042.1516180145782</v>
      </c>
      <c r="H18" s="257">
        <f>'Emissions '!E9*0.000001</f>
        <v>964.92975737353004</v>
      </c>
      <c r="I18" s="257">
        <f>'Emissions '!E10*0.000001</f>
        <v>887.70789673248396</v>
      </c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</row>
    <row r="19" spans="1:33" x14ac:dyDescent="0.35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</row>
    <row r="20" spans="1:33" ht="14.5" customHeight="1" x14ac:dyDescent="0.35">
      <c r="A20" s="26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</row>
    <row r="21" spans="1:33" x14ac:dyDescent="0.35">
      <c r="A21" s="118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</row>
    <row r="22" spans="1:33" x14ac:dyDescent="0.35">
      <c r="A22" s="118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</row>
    <row r="23" spans="1:33" ht="16.5" customHeight="1" x14ac:dyDescent="0.5">
      <c r="A23" s="119"/>
      <c r="C23" s="65" t="s">
        <v>129</v>
      </c>
      <c r="D23" s="65" t="s">
        <v>60</v>
      </c>
      <c r="E23" s="65" t="s">
        <v>61</v>
      </c>
      <c r="F23" s="66" t="s">
        <v>62</v>
      </c>
      <c r="G23" s="66" t="s">
        <v>93</v>
      </c>
      <c r="H23" s="66" t="s">
        <v>94</v>
      </c>
      <c r="I23" s="66" t="s">
        <v>95</v>
      </c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</row>
    <row r="24" spans="1:33" ht="14.5" customHeight="1" x14ac:dyDescent="0.5">
      <c r="A24" s="119"/>
      <c r="C24" s="65">
        <v>0</v>
      </c>
      <c r="D24" s="76">
        <f>($C24-(D$8-(1/D$17)*D$18))/(1/D$17)</f>
        <v>333.0603191666666</v>
      </c>
      <c r="E24" s="76">
        <f t="shared" ref="E24:I39" si="0">($C24-(E$8-(1/E$17)*E$18))/(1/E$17)</f>
        <v>1162.9808193333333</v>
      </c>
      <c r="F24" s="76">
        <f t="shared" si="0"/>
        <v>1097.0871610000002</v>
      </c>
      <c r="G24" s="76">
        <f t="shared" si="0"/>
        <v>1052.4055190886522</v>
      </c>
      <c r="H24" s="76">
        <f t="shared" si="0"/>
        <v>976.20142891898433</v>
      </c>
      <c r="I24" s="76">
        <f t="shared" si="0"/>
        <v>900.79587076278665</v>
      </c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</row>
    <row r="25" spans="1:33" ht="14.5" customHeight="1" x14ac:dyDescent="0.5">
      <c r="A25" s="119"/>
      <c r="C25" s="65">
        <v>10</v>
      </c>
      <c r="D25" s="76">
        <f t="shared" ref="D25:I44" si="1">($C25-(D$8-(1/D$17)*D$18))/(1/D$17)</f>
        <v>328.96031916666664</v>
      </c>
      <c r="E25" s="76">
        <f t="shared" si="0"/>
        <v>1158.8808193333332</v>
      </c>
      <c r="F25" s="76">
        <f t="shared" si="0"/>
        <v>1092.987161</v>
      </c>
      <c r="G25" s="76">
        <f t="shared" si="0"/>
        <v>1048.3055190886521</v>
      </c>
      <c r="H25" s="76">
        <f t="shared" si="0"/>
        <v>972.10142891898431</v>
      </c>
      <c r="I25" s="76">
        <f t="shared" si="0"/>
        <v>896.69587076278663</v>
      </c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</row>
    <row r="26" spans="1:33" ht="14.5" customHeight="1" x14ac:dyDescent="0.5">
      <c r="A26" s="119"/>
      <c r="C26" s="65">
        <v>20</v>
      </c>
      <c r="D26" s="76">
        <f t="shared" si="1"/>
        <v>324.86031916666661</v>
      </c>
      <c r="E26" s="76">
        <f t="shared" si="0"/>
        <v>1154.7808193333333</v>
      </c>
      <c r="F26" s="76">
        <f t="shared" si="0"/>
        <v>1088.8871610000001</v>
      </c>
      <c r="G26" s="76">
        <f t="shared" si="0"/>
        <v>1044.2055190886522</v>
      </c>
      <c r="H26" s="76">
        <f t="shared" si="0"/>
        <v>968.0014289189844</v>
      </c>
      <c r="I26" s="76">
        <f t="shared" si="0"/>
        <v>892.5958707627866</v>
      </c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</row>
    <row r="27" spans="1:33" ht="14.5" customHeight="1" x14ac:dyDescent="0.5">
      <c r="A27" s="119"/>
      <c r="C27" s="65">
        <v>30</v>
      </c>
      <c r="D27" s="76">
        <f t="shared" si="1"/>
        <v>320.76031916666659</v>
      </c>
      <c r="E27" s="76">
        <f t="shared" si="0"/>
        <v>1150.6808193333331</v>
      </c>
      <c r="F27" s="76">
        <f t="shared" si="0"/>
        <v>1084.787161</v>
      </c>
      <c r="G27" s="76">
        <f t="shared" si="0"/>
        <v>1040.105519088652</v>
      </c>
      <c r="H27" s="76">
        <f t="shared" si="0"/>
        <v>963.90142891898438</v>
      </c>
      <c r="I27" s="76">
        <f t="shared" si="0"/>
        <v>888.49587076278658</v>
      </c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</row>
    <row r="28" spans="1:33" ht="14.5" customHeight="1" x14ac:dyDescent="0.5">
      <c r="A28" s="119"/>
      <c r="C28" s="65">
        <v>40</v>
      </c>
      <c r="D28" s="76">
        <f t="shared" si="1"/>
        <v>316.66031916666662</v>
      </c>
      <c r="E28" s="76">
        <f t="shared" si="0"/>
        <v>1146.5808193333332</v>
      </c>
      <c r="F28" s="76">
        <f t="shared" si="0"/>
        <v>1080.6871610000001</v>
      </c>
      <c r="G28" s="76">
        <f t="shared" si="0"/>
        <v>1036.0055190886521</v>
      </c>
      <c r="H28" s="76">
        <f t="shared" si="0"/>
        <v>959.80142891898436</v>
      </c>
      <c r="I28" s="76">
        <f t="shared" si="0"/>
        <v>884.39587076278656</v>
      </c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</row>
    <row r="29" spans="1:33" ht="14.5" customHeight="1" x14ac:dyDescent="0.5">
      <c r="A29" s="119"/>
      <c r="C29" s="65">
        <v>50</v>
      </c>
      <c r="D29" s="76">
        <f t="shared" si="1"/>
        <v>312.5603191666666</v>
      </c>
      <c r="E29" s="76">
        <f t="shared" si="0"/>
        <v>1142.4808193333333</v>
      </c>
      <c r="F29" s="76">
        <f t="shared" si="0"/>
        <v>1076.5871610000002</v>
      </c>
      <c r="G29" s="76">
        <f t="shared" si="0"/>
        <v>1031.9055190886522</v>
      </c>
      <c r="H29" s="76">
        <f t="shared" si="0"/>
        <v>955.70142891898433</v>
      </c>
      <c r="I29" s="76">
        <f t="shared" si="0"/>
        <v>880.29587076278665</v>
      </c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</row>
    <row r="30" spans="1:33" ht="14.5" customHeight="1" x14ac:dyDescent="0.5">
      <c r="A30" s="119"/>
      <c r="C30" s="65">
        <v>60</v>
      </c>
      <c r="D30" s="76">
        <f t="shared" si="1"/>
        <v>308.46031916666664</v>
      </c>
      <c r="E30" s="76">
        <f t="shared" si="0"/>
        <v>1138.3808193333332</v>
      </c>
      <c r="F30" s="76">
        <f t="shared" si="0"/>
        <v>1072.487161</v>
      </c>
      <c r="G30" s="76">
        <f t="shared" si="0"/>
        <v>1027.8055190886521</v>
      </c>
      <c r="H30" s="76">
        <f t="shared" si="0"/>
        <v>951.60142891898431</v>
      </c>
      <c r="I30" s="76">
        <f t="shared" si="0"/>
        <v>876.19587076278663</v>
      </c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</row>
    <row r="31" spans="1:33" s="31" customFormat="1" ht="14.5" customHeight="1" x14ac:dyDescent="0.5">
      <c r="A31" s="119"/>
      <c r="C31" s="65">
        <v>70</v>
      </c>
      <c r="D31" s="76">
        <f t="shared" si="1"/>
        <v>304.36031916666661</v>
      </c>
      <c r="E31" s="76">
        <f t="shared" si="0"/>
        <v>1134.2808193333333</v>
      </c>
      <c r="F31" s="76">
        <f t="shared" si="0"/>
        <v>1068.3871610000001</v>
      </c>
      <c r="G31" s="76">
        <f t="shared" si="0"/>
        <v>1023.7055190886522</v>
      </c>
      <c r="H31" s="76">
        <f t="shared" si="0"/>
        <v>947.5014289189844</v>
      </c>
      <c r="I31" s="76">
        <f t="shared" si="0"/>
        <v>872.0958707627866</v>
      </c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</row>
    <row r="32" spans="1:33" ht="14.5" customHeight="1" x14ac:dyDescent="0.5">
      <c r="A32" s="119"/>
      <c r="C32" s="65">
        <v>80</v>
      </c>
      <c r="D32" s="76">
        <f t="shared" si="1"/>
        <v>300.26031916666659</v>
      </c>
      <c r="E32" s="76">
        <f t="shared" si="0"/>
        <v>1130.1808193333331</v>
      </c>
      <c r="F32" s="76">
        <f t="shared" si="0"/>
        <v>1064.287161</v>
      </c>
      <c r="G32" s="76">
        <f t="shared" si="0"/>
        <v>1019.6055190886522</v>
      </c>
      <c r="H32" s="76">
        <f t="shared" si="0"/>
        <v>943.40142891898438</v>
      </c>
      <c r="I32" s="76">
        <f t="shared" si="0"/>
        <v>867.99587076278658</v>
      </c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</row>
    <row r="33" spans="1:33" ht="14.5" customHeight="1" x14ac:dyDescent="0.5">
      <c r="A33" s="119"/>
      <c r="C33" s="65">
        <v>90</v>
      </c>
      <c r="D33" s="76">
        <f t="shared" si="1"/>
        <v>296.16031916666662</v>
      </c>
      <c r="E33" s="76">
        <f t="shared" si="0"/>
        <v>1126.0808193333332</v>
      </c>
      <c r="F33" s="76">
        <f t="shared" si="0"/>
        <v>1060.1871610000001</v>
      </c>
      <c r="G33" s="76">
        <f t="shared" si="0"/>
        <v>1015.5055190886521</v>
      </c>
      <c r="H33" s="76">
        <f t="shared" si="0"/>
        <v>939.30142891898436</v>
      </c>
      <c r="I33" s="76">
        <f t="shared" si="0"/>
        <v>863.89587076278656</v>
      </c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</row>
    <row r="34" spans="1:33" ht="14.5" customHeight="1" x14ac:dyDescent="0.5">
      <c r="A34" s="119"/>
      <c r="C34" s="65">
        <v>100</v>
      </c>
      <c r="D34" s="76">
        <f t="shared" si="1"/>
        <v>292.0603191666666</v>
      </c>
      <c r="E34" s="76">
        <f t="shared" si="0"/>
        <v>1121.9808193333333</v>
      </c>
      <c r="F34" s="76">
        <f t="shared" si="0"/>
        <v>1056.0871610000002</v>
      </c>
      <c r="G34" s="76">
        <f t="shared" si="0"/>
        <v>1011.4055190886521</v>
      </c>
      <c r="H34" s="76">
        <f t="shared" si="0"/>
        <v>935.20142891898433</v>
      </c>
      <c r="I34" s="76">
        <f t="shared" si="0"/>
        <v>859.79587076278665</v>
      </c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</row>
    <row r="35" spans="1:33" ht="14.5" customHeight="1" x14ac:dyDescent="0.5">
      <c r="A35" s="119"/>
      <c r="C35" s="65">
        <v>110</v>
      </c>
      <c r="D35" s="76">
        <f t="shared" si="1"/>
        <v>287.96031916666664</v>
      </c>
      <c r="E35" s="76">
        <f t="shared" si="0"/>
        <v>1117.8808193333332</v>
      </c>
      <c r="F35" s="76">
        <f t="shared" si="0"/>
        <v>1051.987161</v>
      </c>
      <c r="G35" s="76">
        <f t="shared" si="0"/>
        <v>1007.3055190886521</v>
      </c>
      <c r="H35" s="76">
        <f t="shared" si="0"/>
        <v>931.10142891898431</v>
      </c>
      <c r="I35" s="76">
        <f t="shared" si="0"/>
        <v>855.69587076278663</v>
      </c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</row>
    <row r="36" spans="1:33" ht="14.5" customHeight="1" x14ac:dyDescent="0.5">
      <c r="A36" s="119"/>
      <c r="C36" s="65">
        <v>120</v>
      </c>
      <c r="D36" s="76">
        <f t="shared" si="1"/>
        <v>283.86031916666661</v>
      </c>
      <c r="E36" s="76">
        <f t="shared" si="0"/>
        <v>1113.7808193333333</v>
      </c>
      <c r="F36" s="76">
        <f t="shared" si="0"/>
        <v>1047.8871610000001</v>
      </c>
      <c r="G36" s="76">
        <f t="shared" si="0"/>
        <v>1003.2055190886522</v>
      </c>
      <c r="H36" s="76">
        <f t="shared" si="0"/>
        <v>927.0014289189844</v>
      </c>
      <c r="I36" s="76">
        <f t="shared" si="0"/>
        <v>851.5958707627866</v>
      </c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</row>
    <row r="37" spans="1:33" ht="14.5" customHeight="1" x14ac:dyDescent="0.5">
      <c r="A37" s="119"/>
      <c r="C37" s="65">
        <v>130</v>
      </c>
      <c r="D37" s="76">
        <f t="shared" si="1"/>
        <v>279.76031916666659</v>
      </c>
      <c r="E37" s="76">
        <f t="shared" si="0"/>
        <v>1109.6808193333331</v>
      </c>
      <c r="F37" s="76">
        <f t="shared" si="0"/>
        <v>1043.787161</v>
      </c>
      <c r="G37" s="76">
        <f t="shared" si="0"/>
        <v>999.10551908865216</v>
      </c>
      <c r="H37" s="76">
        <f t="shared" si="0"/>
        <v>922.90142891898438</v>
      </c>
      <c r="I37" s="76">
        <f t="shared" si="0"/>
        <v>847.49587076278658</v>
      </c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</row>
    <row r="38" spans="1:33" ht="14.5" customHeight="1" x14ac:dyDescent="0.5">
      <c r="A38" s="119"/>
      <c r="C38" s="65">
        <v>140</v>
      </c>
      <c r="D38" s="76">
        <f t="shared" si="1"/>
        <v>275.66031916666662</v>
      </c>
      <c r="E38" s="76">
        <f t="shared" si="0"/>
        <v>1105.5808193333332</v>
      </c>
      <c r="F38" s="76">
        <f t="shared" si="0"/>
        <v>1039.6871610000001</v>
      </c>
      <c r="G38" s="76">
        <f t="shared" si="0"/>
        <v>995.00551908865214</v>
      </c>
      <c r="H38" s="76">
        <f t="shared" si="0"/>
        <v>918.80142891898436</v>
      </c>
      <c r="I38" s="76">
        <f t="shared" si="0"/>
        <v>843.39587076278656</v>
      </c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</row>
    <row r="39" spans="1:33" ht="14.5" customHeight="1" x14ac:dyDescent="0.5">
      <c r="A39" s="119"/>
      <c r="C39" s="65">
        <v>150</v>
      </c>
      <c r="D39" s="76">
        <f t="shared" si="1"/>
        <v>271.5603191666666</v>
      </c>
      <c r="E39" s="76">
        <f t="shared" si="0"/>
        <v>1101.4808193333333</v>
      </c>
      <c r="F39" s="76">
        <f t="shared" si="0"/>
        <v>1035.5871610000002</v>
      </c>
      <c r="G39" s="76">
        <f t="shared" si="0"/>
        <v>990.90551908865211</v>
      </c>
      <c r="H39" s="76">
        <f t="shared" si="0"/>
        <v>914.70142891898433</v>
      </c>
      <c r="I39" s="76">
        <f t="shared" si="0"/>
        <v>839.29587076278665</v>
      </c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</row>
    <row r="40" spans="1:33" ht="14.5" customHeight="1" x14ac:dyDescent="0.5">
      <c r="A40" s="119"/>
      <c r="C40" s="65">
        <v>160</v>
      </c>
      <c r="D40" s="76">
        <f t="shared" si="1"/>
        <v>267.46031916666664</v>
      </c>
      <c r="E40" s="76">
        <f t="shared" si="1"/>
        <v>1097.3808193333332</v>
      </c>
      <c r="F40" s="76">
        <f t="shared" si="1"/>
        <v>1031.487161</v>
      </c>
      <c r="G40" s="76">
        <f t="shared" si="1"/>
        <v>986.80551908865209</v>
      </c>
      <c r="H40" s="76">
        <f t="shared" si="1"/>
        <v>910.60142891898431</v>
      </c>
      <c r="I40" s="76">
        <f t="shared" si="1"/>
        <v>835.19587076278663</v>
      </c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</row>
    <row r="41" spans="1:33" ht="14.5" customHeight="1" x14ac:dyDescent="0.5">
      <c r="A41" s="119"/>
      <c r="C41" s="65">
        <v>170</v>
      </c>
      <c r="D41" s="76">
        <f t="shared" si="1"/>
        <v>263.36031916666661</v>
      </c>
      <c r="E41" s="76">
        <f t="shared" si="1"/>
        <v>1093.2808193333333</v>
      </c>
      <c r="F41" s="76">
        <f t="shared" si="1"/>
        <v>1027.3871610000001</v>
      </c>
      <c r="G41" s="76">
        <f t="shared" si="1"/>
        <v>982.70551908865218</v>
      </c>
      <c r="H41" s="76">
        <f t="shared" si="1"/>
        <v>906.50142891898429</v>
      </c>
      <c r="I41" s="76">
        <f t="shared" si="1"/>
        <v>831.0958707627866</v>
      </c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</row>
    <row r="42" spans="1:33" ht="14.5" customHeight="1" x14ac:dyDescent="0.5">
      <c r="A42" s="119"/>
      <c r="C42" s="65">
        <v>180</v>
      </c>
      <c r="D42" s="76">
        <f t="shared" si="1"/>
        <v>259.26031916666659</v>
      </c>
      <c r="E42" s="76">
        <f t="shared" si="1"/>
        <v>1089.1808193333331</v>
      </c>
      <c r="F42" s="76">
        <f t="shared" si="1"/>
        <v>1023.2871610000001</v>
      </c>
      <c r="G42" s="76">
        <f t="shared" si="1"/>
        <v>978.60551908865216</v>
      </c>
      <c r="H42" s="76">
        <f t="shared" si="1"/>
        <v>902.40142891898438</v>
      </c>
      <c r="I42" s="76">
        <f t="shared" si="1"/>
        <v>826.99587076278658</v>
      </c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</row>
    <row r="43" spans="1:33" ht="14.5" customHeight="1" x14ac:dyDescent="0.5">
      <c r="A43" s="119"/>
      <c r="C43" s="65">
        <v>190</v>
      </c>
      <c r="D43" s="76">
        <f t="shared" si="1"/>
        <v>255.16031916666662</v>
      </c>
      <c r="E43" s="76">
        <f t="shared" si="1"/>
        <v>1085.0808193333332</v>
      </c>
      <c r="F43" s="76">
        <f t="shared" si="1"/>
        <v>1019.1871610000001</v>
      </c>
      <c r="G43" s="76">
        <f t="shared" si="1"/>
        <v>974.50551908865214</v>
      </c>
      <c r="H43" s="76">
        <f t="shared" si="1"/>
        <v>898.30142891898436</v>
      </c>
      <c r="I43" s="76">
        <f t="shared" si="1"/>
        <v>822.89587076278656</v>
      </c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</row>
    <row r="44" spans="1:33" ht="14.5" customHeight="1" x14ac:dyDescent="0.5">
      <c r="A44" s="119"/>
      <c r="B44" s="65"/>
      <c r="C44" s="65">
        <v>200</v>
      </c>
      <c r="D44" s="76">
        <f t="shared" si="1"/>
        <v>251.0603191666666</v>
      </c>
      <c r="E44" s="76">
        <f t="shared" si="1"/>
        <v>1080.9808193333333</v>
      </c>
      <c r="F44" s="76">
        <f t="shared" si="1"/>
        <v>1015.087161</v>
      </c>
      <c r="G44" s="76">
        <f>($C44-(G$8-(1/G$17)*G$18))/(1/G$17)</f>
        <v>970.40551908865211</v>
      </c>
      <c r="H44" s="76">
        <f>($C44-(H$8-(1/H$17)*H$18))/(1/H$17)</f>
        <v>894.20142891898433</v>
      </c>
      <c r="I44" s="76">
        <f>($C44-(I$8-(1/I$17)*I$18))/(1/I$17)</f>
        <v>818.79587076278665</v>
      </c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</row>
    <row r="45" spans="1:33" ht="14.5" customHeight="1" x14ac:dyDescent="0.5">
      <c r="A45" s="119"/>
      <c r="C45" s="65"/>
      <c r="D45" s="76"/>
      <c r="E45" s="76"/>
      <c r="F45" s="76"/>
      <c r="G45" s="76"/>
      <c r="H45" s="76"/>
      <c r="I45" s="76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</row>
    <row r="46" spans="1:33" ht="14.5" customHeight="1" x14ac:dyDescent="0.5">
      <c r="A46" s="119"/>
      <c r="C46" s="65"/>
      <c r="D46" s="76"/>
      <c r="E46" s="76"/>
      <c r="F46" s="76"/>
      <c r="G46" s="76"/>
      <c r="H46" s="76"/>
      <c r="I46" s="76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</row>
    <row r="47" spans="1:33" ht="14.5" customHeight="1" x14ac:dyDescent="0.5">
      <c r="A47" s="119"/>
      <c r="C47" s="65"/>
      <c r="D47" s="76"/>
      <c r="E47" s="76"/>
      <c r="F47" s="76"/>
      <c r="G47" s="76"/>
      <c r="H47" s="76"/>
      <c r="I47" s="76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</row>
    <row r="48" spans="1:33" x14ac:dyDescent="0.35">
      <c r="A48" s="65"/>
      <c r="D48" s="76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</row>
    <row r="49" spans="1:33" x14ac:dyDescent="0.35">
      <c r="B49" s="31"/>
      <c r="D49" s="76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</row>
    <row r="50" spans="1:33" x14ac:dyDescent="0.35">
      <c r="A50" s="305" t="s">
        <v>57</v>
      </c>
      <c r="B50" s="305"/>
      <c r="C50" s="305" t="s">
        <v>58</v>
      </c>
      <c r="D50" s="305"/>
      <c r="E50" s="305" t="s">
        <v>59</v>
      </c>
      <c r="F50" s="305"/>
      <c r="G50" s="305" t="s">
        <v>86</v>
      </c>
      <c r="H50" s="305"/>
      <c r="I50" s="305" t="s">
        <v>87</v>
      </c>
      <c r="J50" s="305"/>
      <c r="K50" s="305" t="s">
        <v>88</v>
      </c>
      <c r="L50" s="30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</row>
    <row r="51" spans="1:33" x14ac:dyDescent="0.35">
      <c r="A51" s="3" t="s">
        <v>129</v>
      </c>
      <c r="B51" s="3" t="s">
        <v>84</v>
      </c>
      <c r="C51" s="3" t="s">
        <v>129</v>
      </c>
      <c r="D51" s="3" t="s">
        <v>84</v>
      </c>
      <c r="E51" s="3" t="s">
        <v>129</v>
      </c>
      <c r="F51" s="3" t="s">
        <v>84</v>
      </c>
      <c r="G51" s="3" t="s">
        <v>129</v>
      </c>
      <c r="H51" s="3" t="s">
        <v>84</v>
      </c>
      <c r="I51" s="3" t="s">
        <v>129</v>
      </c>
      <c r="J51" s="3" t="s">
        <v>84</v>
      </c>
      <c r="K51" s="3" t="s">
        <v>129</v>
      </c>
      <c r="L51" s="3" t="s">
        <v>84</v>
      </c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</row>
    <row r="52" spans="1:33" s="31" customFormat="1" x14ac:dyDescent="0.35">
      <c r="A52" s="160">
        <f>D9</f>
        <v>11.025</v>
      </c>
      <c r="B52" s="3">
        <v>250</v>
      </c>
      <c r="C52" s="160">
        <f>E9</f>
        <v>12.799999999999999</v>
      </c>
      <c r="D52" s="3">
        <v>250</v>
      </c>
      <c r="E52" s="160">
        <f>F9</f>
        <v>15.549999999999999</v>
      </c>
      <c r="F52" s="3">
        <v>250</v>
      </c>
      <c r="G52" s="160">
        <f>G9</f>
        <v>19.873333333333331</v>
      </c>
      <c r="H52" s="3">
        <v>250</v>
      </c>
      <c r="I52" s="160">
        <f>H9</f>
        <v>25.905256120333338</v>
      </c>
      <c r="J52" s="3">
        <v>250</v>
      </c>
      <c r="K52" s="160">
        <f>I9</f>
        <v>31.872110827731518</v>
      </c>
      <c r="L52" s="3">
        <v>250</v>
      </c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</row>
    <row r="53" spans="1:33" x14ac:dyDescent="0.35">
      <c r="A53" s="160">
        <f>A52</f>
        <v>11.025</v>
      </c>
      <c r="B53" s="170">
        <f>D7</f>
        <v>360.23792500000002</v>
      </c>
      <c r="C53" s="171">
        <f>C52</f>
        <v>12.799999999999999</v>
      </c>
      <c r="D53" s="75">
        <f>E7</f>
        <v>1503.0188219999998</v>
      </c>
      <c r="E53" s="122">
        <f>E52</f>
        <v>15.549999999999999</v>
      </c>
      <c r="F53" s="73">
        <f>F7</f>
        <v>1424.1851819999997</v>
      </c>
      <c r="G53" s="122">
        <f>G52</f>
        <v>19.873333333333331</v>
      </c>
      <c r="H53" s="73">
        <f>G7</f>
        <v>1422.3400183702058</v>
      </c>
      <c r="I53" s="122">
        <f>I52</f>
        <v>25.905256120333338</v>
      </c>
      <c r="J53" s="73">
        <f>H7</f>
        <v>1374.0582790335679</v>
      </c>
      <c r="K53" s="122">
        <f>K52</f>
        <v>31.872110827731518</v>
      </c>
      <c r="L53" s="73">
        <f>I7</f>
        <v>1215.4587363005655</v>
      </c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</row>
    <row r="54" spans="1:33" x14ac:dyDescent="0.35">
      <c r="A54" s="160">
        <f>D11</f>
        <v>41.239999999999995</v>
      </c>
      <c r="B54" s="170">
        <f>B53</f>
        <v>360.23792500000002</v>
      </c>
      <c r="C54" s="171">
        <f>E11</f>
        <v>47.81</v>
      </c>
      <c r="D54" s="73">
        <f>D53</f>
        <v>1503.0188219999998</v>
      </c>
      <c r="E54" s="171">
        <f>F11</f>
        <v>58.43</v>
      </c>
      <c r="F54" s="73">
        <f>F53</f>
        <v>1424.1851819999997</v>
      </c>
      <c r="G54" s="122">
        <f>G11</f>
        <v>46.456666666666671</v>
      </c>
      <c r="H54" s="73">
        <f>H53</f>
        <v>1422.3400183702058</v>
      </c>
      <c r="I54" s="122">
        <f>+H11</f>
        <v>53.582955511521561</v>
      </c>
      <c r="J54" s="73">
        <f>J53</f>
        <v>1374.0582790335679</v>
      </c>
      <c r="K54" s="122">
        <f>I11</f>
        <v>56.170845403624007</v>
      </c>
      <c r="L54" s="73">
        <f>L53</f>
        <v>1215.4587363005655</v>
      </c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</row>
    <row r="55" spans="1:33" x14ac:dyDescent="0.35">
      <c r="A55" s="160">
        <f>A54</f>
        <v>41.239999999999995</v>
      </c>
      <c r="B55" s="122">
        <f>B54+D10</f>
        <v>400.84892500000001</v>
      </c>
      <c r="C55" s="73">
        <f>C54</f>
        <v>47.81</v>
      </c>
      <c r="D55" s="122">
        <f>D54+E10</f>
        <v>1543.6298219999999</v>
      </c>
      <c r="E55" s="171">
        <f>E54</f>
        <v>58.43</v>
      </c>
      <c r="F55" s="160">
        <f>F54+F10</f>
        <v>1454.9861646666664</v>
      </c>
      <c r="G55" s="122">
        <f>G54</f>
        <v>46.456666666666671</v>
      </c>
      <c r="H55" s="122">
        <f>H54+G10</f>
        <v>1489.1510183702057</v>
      </c>
      <c r="I55" s="122">
        <f>+I54</f>
        <v>53.582955511521561</v>
      </c>
      <c r="J55" s="122">
        <f>J54+H10</f>
        <v>1440.8692790335679</v>
      </c>
      <c r="K55" s="122">
        <f>K54</f>
        <v>56.170845403624007</v>
      </c>
      <c r="L55" s="122">
        <f>L54+I10</f>
        <v>1282.2697363005655</v>
      </c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</row>
    <row r="56" spans="1:33" x14ac:dyDescent="0.35">
      <c r="A56" s="160">
        <f>D13</f>
        <v>46.34</v>
      </c>
      <c r="B56" s="122">
        <f>B55</f>
        <v>400.84892500000001</v>
      </c>
      <c r="C56" s="73">
        <f>E13</f>
        <v>53.79666666666666</v>
      </c>
      <c r="D56" s="122">
        <f>D55</f>
        <v>1543.6298219999999</v>
      </c>
      <c r="E56" s="73">
        <f>F13</f>
        <v>65.600000000000009</v>
      </c>
      <c r="F56" s="122">
        <f>F55</f>
        <v>1454.9861646666664</v>
      </c>
      <c r="G56" s="122">
        <f>G13</f>
        <v>59.693333333333328</v>
      </c>
      <c r="H56" s="122">
        <f>H55</f>
        <v>1489.1510183702057</v>
      </c>
      <c r="I56" s="122">
        <f>H13</f>
        <v>68.846667222141818</v>
      </c>
      <c r="J56" s="122">
        <f>J55</f>
        <v>1440.8692790335679</v>
      </c>
      <c r="K56" s="122">
        <f>I13</f>
        <v>72.17174685816174</v>
      </c>
      <c r="L56" s="122">
        <f>L55</f>
        <v>1282.2697363005655</v>
      </c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</row>
    <row r="57" spans="1:33" x14ac:dyDescent="0.35">
      <c r="A57" s="160">
        <f>A56</f>
        <v>46.34</v>
      </c>
      <c r="B57" s="122">
        <f>B56+D12</f>
        <v>441.459925</v>
      </c>
      <c r="C57" s="73">
        <f>C56</f>
        <v>53.79666666666666</v>
      </c>
      <c r="D57" s="122">
        <f>D56+E12</f>
        <v>1584.240822</v>
      </c>
      <c r="E57" s="73">
        <f>E56</f>
        <v>65.600000000000009</v>
      </c>
      <c r="F57" s="122">
        <f>F56+F12</f>
        <v>1485.787147333333</v>
      </c>
      <c r="G57" s="122">
        <f>G56</f>
        <v>59.693333333333328</v>
      </c>
      <c r="H57" s="122">
        <f>H56+G12</f>
        <v>1578.6880183702058</v>
      </c>
      <c r="I57" s="122">
        <f>I56</f>
        <v>68.846667222141818</v>
      </c>
      <c r="J57" s="122">
        <f>J56+H12</f>
        <v>1530.4062790335679</v>
      </c>
      <c r="K57" s="122">
        <f>K56</f>
        <v>72.17174685816174</v>
      </c>
      <c r="L57" s="122">
        <f>L56+I12</f>
        <v>1371.8067363005655</v>
      </c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</row>
    <row r="58" spans="1:33" x14ac:dyDescent="0.35">
      <c r="A58" s="160">
        <f>D15</f>
        <v>51.489999999999995</v>
      </c>
      <c r="B58" s="122">
        <f>B57</f>
        <v>441.459925</v>
      </c>
      <c r="C58" s="73">
        <f>E15</f>
        <v>59.77</v>
      </c>
      <c r="D58" s="122">
        <f>D57</f>
        <v>1584.240822</v>
      </c>
      <c r="E58" s="73">
        <f>F15</f>
        <v>72.873333333333335</v>
      </c>
      <c r="F58" s="122">
        <f>F57</f>
        <v>1485.787147333333</v>
      </c>
      <c r="G58" s="122">
        <f>+G16</f>
        <v>77.046146666666672</v>
      </c>
      <c r="H58" s="122">
        <f>H57</f>
        <v>1578.6880183702058</v>
      </c>
      <c r="I58" s="122">
        <f>H16</f>
        <v>107.73384453004508</v>
      </c>
      <c r="J58" s="160">
        <f>J57</f>
        <v>1530.4062790335679</v>
      </c>
      <c r="K58" s="160">
        <f>I16</f>
        <v>132.09346972004059</v>
      </c>
      <c r="L58" s="160">
        <f>L57</f>
        <v>1371.8067363005655</v>
      </c>
    </row>
    <row r="59" spans="1:33" x14ac:dyDescent="0.35">
      <c r="A59" s="160">
        <f>A58</f>
        <v>51.489999999999995</v>
      </c>
      <c r="B59" s="122">
        <f>B58+D14</f>
        <v>482.07092499999999</v>
      </c>
      <c r="C59" s="73">
        <f>C58</f>
        <v>59.77</v>
      </c>
      <c r="D59" s="122">
        <f>D58+E14</f>
        <v>1624.8518220000001</v>
      </c>
      <c r="E59" s="73">
        <f>E58</f>
        <v>72.873333333333335</v>
      </c>
      <c r="F59" s="122">
        <f>F58+F14</f>
        <v>1516.5881299999996</v>
      </c>
      <c r="G59" s="250">
        <f>+G58</f>
        <v>77.046146666666672</v>
      </c>
      <c r="H59" s="231">
        <v>1700</v>
      </c>
      <c r="I59" s="250">
        <f>I58</f>
        <v>107.73384453004508</v>
      </c>
      <c r="J59" s="230">
        <v>1700</v>
      </c>
      <c r="K59" s="251">
        <f>K58</f>
        <v>132.09346972004059</v>
      </c>
      <c r="L59" s="230">
        <v>1700</v>
      </c>
    </row>
    <row r="60" spans="1:33" x14ac:dyDescent="0.35">
      <c r="A60" s="3">
        <v>200</v>
      </c>
      <c r="B60" s="122">
        <f>B59</f>
        <v>482.07092499999999</v>
      </c>
      <c r="C60" s="3">
        <v>200</v>
      </c>
      <c r="D60" s="122">
        <f>D59</f>
        <v>1624.8518220000001</v>
      </c>
      <c r="E60" s="3">
        <v>200</v>
      </c>
      <c r="F60" s="160">
        <f>F59</f>
        <v>1516.5881299999996</v>
      </c>
      <c r="G60" s="230"/>
      <c r="H60" s="230"/>
      <c r="I60" s="230"/>
      <c r="J60" s="230"/>
      <c r="K60" s="230"/>
      <c r="L60" s="230"/>
    </row>
    <row r="61" spans="1:33" x14ac:dyDescent="0.35">
      <c r="B61" s="65"/>
      <c r="C61" s="17"/>
      <c r="D61" s="65"/>
    </row>
    <row r="62" spans="1:33" x14ac:dyDescent="0.35">
      <c r="B62" s="65"/>
      <c r="C62" s="17"/>
      <c r="D62" s="65"/>
      <c r="E62" s="17"/>
      <c r="F62" s="152"/>
    </row>
    <row r="63" spans="1:33" x14ac:dyDescent="0.35">
      <c r="B63" s="65"/>
      <c r="C63" s="17"/>
      <c r="D63" s="65"/>
      <c r="F63" s="16" t="s">
        <v>161</v>
      </c>
    </row>
    <row r="64" spans="1:33" x14ac:dyDescent="0.35">
      <c r="B64" s="65"/>
      <c r="C64" s="17"/>
      <c r="E64" s="17"/>
      <c r="F64" s="265" t="s">
        <v>129</v>
      </c>
      <c r="G64" s="3" t="s">
        <v>158</v>
      </c>
      <c r="H64" s="3" t="s">
        <v>159</v>
      </c>
      <c r="I64" s="3" t="s">
        <v>160</v>
      </c>
    </row>
    <row r="65" spans="2:9" x14ac:dyDescent="0.35">
      <c r="F65" s="160">
        <f>G9</f>
        <v>19.873333333333331</v>
      </c>
      <c r="G65" s="3">
        <f>(F65-(G$8-(1/G$17)*G$18))/(1/G$17)</f>
        <v>1044.2574524219854</v>
      </c>
      <c r="H65" s="3"/>
      <c r="I65" s="3"/>
    </row>
    <row r="66" spans="2:9" x14ac:dyDescent="0.35">
      <c r="F66" s="160">
        <f>H9</f>
        <v>25.905256120333338</v>
      </c>
      <c r="G66" s="3"/>
      <c r="H66" s="265">
        <f>(F66-(H$8-(1/H$17)*H$18))/(1/H$17)</f>
        <v>965.58027390964764</v>
      </c>
      <c r="I66" s="3"/>
    </row>
    <row r="67" spans="2:9" x14ac:dyDescent="0.35">
      <c r="F67" s="160">
        <f>I9</f>
        <v>31.872110827731518</v>
      </c>
      <c r="G67" s="3"/>
      <c r="H67" s="3"/>
      <c r="I67" s="265">
        <f>(F67-(I$8-(1/I$17)*I$18))/(1/I$17)</f>
        <v>887.72830532341675</v>
      </c>
    </row>
    <row r="68" spans="2:9" ht="21" x14ac:dyDescent="0.5">
      <c r="B68" s="120"/>
    </row>
    <row r="69" spans="2:9" ht="21" x14ac:dyDescent="0.5">
      <c r="B69" s="120"/>
    </row>
    <row r="70" spans="2:9" ht="21" x14ac:dyDescent="0.5">
      <c r="B70" s="120"/>
    </row>
    <row r="71" spans="2:9" ht="21" x14ac:dyDescent="0.5">
      <c r="B71" s="120"/>
    </row>
    <row r="72" spans="2:9" ht="21" x14ac:dyDescent="0.5">
      <c r="B72" s="120"/>
    </row>
    <row r="73" spans="2:9" x14ac:dyDescent="0.35">
      <c r="B73" s="31"/>
    </row>
    <row r="74" spans="2:9" ht="21" x14ac:dyDescent="0.5">
      <c r="B74" s="121"/>
    </row>
  </sheetData>
  <mergeCells count="10">
    <mergeCell ref="K50:L50"/>
    <mergeCell ref="B17:B18"/>
    <mergeCell ref="A5:A18"/>
    <mergeCell ref="A50:B50"/>
    <mergeCell ref="C50:D50"/>
    <mergeCell ref="E50:F50"/>
    <mergeCell ref="G50:H50"/>
    <mergeCell ref="I50:J50"/>
    <mergeCell ref="B10:B16"/>
    <mergeCell ref="B5:B9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Emissions </vt:lpstr>
      <vt:lpstr>Elasticities</vt:lpstr>
      <vt:lpstr>Surplus</vt:lpstr>
      <vt:lpstr>Prices</vt:lpstr>
      <vt:lpstr>Instruments supply</vt:lpstr>
      <vt:lpstr>Reserves</vt:lpstr>
      <vt:lpstr>Supply levels</vt:lpstr>
      <vt:lpstr>Graph all 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Noémie Martin</dc:creator>
  <cp:lastModifiedBy>Noémie Martin</cp:lastModifiedBy>
  <dcterms:created xsi:type="dcterms:W3CDTF">2021-11-19T13:18:48Z</dcterms:created>
  <dcterms:modified xsi:type="dcterms:W3CDTF">2023-02-08T18:15:50Z</dcterms:modified>
</cp:coreProperties>
</file>