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slicers/slicer2.xml" ContentType="application/vnd.ms-excel.slicer+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2.xml" ContentType="application/vnd.openxmlformats-officedocument.spreadsheetml.comments+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pivotTables/pivotTable10.xml" ContentType="application/vnd.openxmlformats-officedocument.spreadsheetml.pivotTable+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12.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13.xml" ContentType="application/vnd.openxmlformats-officedocument.drawing+xml"/>
  <Override PartName="/xl/activeX/activeX23.xml" ContentType="application/vnd.ms-office.activeX+xml"/>
  <Override PartName="/xl/activeX/activeX23.bin" ContentType="application/vnd.ms-office.activeX"/>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pivotTables/pivotTable11.xml" ContentType="application/vnd.openxmlformats-officedocument.spreadsheetml.pivotTable+xml"/>
  <Override PartName="/xl/drawings/drawing1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5.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6.xml" ContentType="application/vnd.openxmlformats-officedocument.spreadsheetml.comments+xml"/>
  <Override PartName="/xl/drawings/drawing16.xml" ContentType="application/vnd.openxmlformats-officedocument.drawing+xml"/>
  <Override PartName="/xl/activeX/activeX46.xml" ContentType="application/vnd.ms-office.activeX+xml"/>
  <Override PartName="/xl/activeX/activeX46.bin" ContentType="application/vnd.ms-office.activeX"/>
  <Override PartName="/xl/tables/table58.xml" ContentType="application/vnd.openxmlformats-officedocument.spreadsheetml.table+xml"/>
  <Override PartName="/xl/pivotTables/pivotTable12.xml" ContentType="application/vnd.openxmlformats-officedocument.spreadsheetml.pivotTable+xml"/>
  <Override PartName="/xl/drawings/drawing17.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drawings/drawing18.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drawings/drawing19.xml" ContentType="application/vnd.openxmlformats-officedocument.drawing+xml"/>
  <Override PartName="/xl/drawings/drawing20.xml" ContentType="application/vnd.openxmlformats-officedocument.drawing+xml"/>
  <Override PartName="/xl/comments7.xml" ContentType="application/vnd.openxmlformats-officedocument.spreadsheetml.comments+xml"/>
  <Override PartName="/xl/drawings/drawing21.xml" ContentType="application/vnd.openxmlformats-officedocument.drawing+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drawings/drawing22.xml" ContentType="application/vnd.openxmlformats-officedocument.drawing+xml"/>
  <Override PartName="/xl/drawings/drawing23.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tables/table63.xml" ContentType="application/vnd.openxmlformats-officedocument.spreadsheetml.table+xml"/>
  <Override PartName="/xl/slicers/slicer3.xml" ContentType="application/vnd.ms-excel.slicer+xml"/>
  <Override PartName="/xl/comments8.xml" ContentType="application/vnd.openxmlformats-officedocument.spreadsheetml.comments+xml"/>
  <Override PartName="/xl/drawings/drawing24.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tables/table64.xml" ContentType="application/vnd.openxmlformats-officedocument.spreadsheetml.table+xml"/>
  <Override PartName="/xl/comments9.xml" ContentType="application/vnd.openxmlformats-officedocument.spreadsheetml.comments+xml"/>
  <Override PartName="/xl/drawings/drawing25.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tables/table65.xml" ContentType="application/vnd.openxmlformats-officedocument.spreadsheetml.table+xml"/>
  <Override PartName="/xl/comments10.xml" ContentType="application/vnd.openxmlformats-officedocument.spreadsheetml.comments+xml"/>
  <Override PartName="/xl/pivotTables/pivotTable13.xml" ContentType="application/vnd.openxmlformats-officedocument.spreadsheetml.pivotTable+xml"/>
  <Override PartName="/xl/drawings/drawing26.xml" ContentType="application/vnd.openxmlformats-officedocument.drawing+xml"/>
  <Override PartName="/xl/slicers/slicer4.xml" ContentType="application/vnd.ms-excel.slicer+xml"/>
  <Override PartName="/xl/drawings/drawing27.xml" ContentType="application/vnd.openxmlformats-officedocument.drawing+xml"/>
  <Override PartName="/xl/tables/table66.xml" ContentType="application/vnd.openxmlformats-officedocument.spreadsheetml.table+xml"/>
  <Override PartName="/xl/tables/table6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updateLinks="always" codeName="ThisWorkbook" hidePivotFieldList="1" defaultThemeVersion="166925"/>
  <mc:AlternateContent xmlns:mc="http://schemas.openxmlformats.org/markup-compatibility/2006">
    <mc:Choice Requires="x15">
      <x15ac:absPath xmlns:x15ac="http://schemas.microsoft.com/office/spreadsheetml/2010/11/ac" url="https://d.docs.live.net/488575f04be5a450/Documents/"/>
    </mc:Choice>
  </mc:AlternateContent>
  <xr:revisionPtr revIDLastSave="38" documentId="13_ncr:1_{D955388C-30FC-4F7C-A7F8-30B1B6392CF7}" xr6:coauthVersionLast="47" xr6:coauthVersionMax="47" xr10:uidLastSave="{2CAFA91A-EDEF-45CF-B767-E4FB880ABE5E}"/>
  <bookViews>
    <workbookView xWindow="-108" yWindow="-108" windowWidth="23256" windowHeight="12456" tabRatio="839" firstSheet="5" activeTab="7" xr2:uid="{A8C12D0A-448A-479E-B7A4-11EE5CE2F68F}"/>
  </bookViews>
  <sheets>
    <sheet name="PRESUPUESTO" sheetId="16" state="hidden" r:id="rId1"/>
    <sheet name="END PRESUPUESTO" sheetId="22" state="hidden" r:id="rId2"/>
    <sheet name="TARIFARIO" sheetId="40" r:id="rId3"/>
    <sheet name="PRODUCTOS" sheetId="21" r:id="rId4"/>
    <sheet name="BASE DAT PLANAS" sheetId="36" r:id="rId5"/>
    <sheet name="PRES PLANAS" sheetId="37" r:id="rId6"/>
    <sheet name="COTIZACION" sheetId="27" state="hidden" r:id="rId7"/>
    <sheet name="COTIZACION2" sheetId="50" r:id="rId8"/>
    <sheet name="eQUIPAMIENTO" sheetId="32" r:id="rId9"/>
    <sheet name="Hoja1" sheetId="52" r:id="rId10"/>
    <sheet name="presupuestos traila" sheetId="54" r:id="rId11"/>
    <sheet name="TRAILA COTIZACION" sheetId="55" r:id="rId12"/>
    <sheet name="CONTRATO" sheetId="39" r:id="rId13"/>
    <sheet name="CARTA FACTURA" sheetId="29" r:id="rId14"/>
    <sheet name="FORM PLANAS" sheetId="42" r:id="rId15"/>
    <sheet name="DATOS DE EQUIPAMIENTO" sheetId="33" r:id="rId16"/>
    <sheet name="eQUPAMIENTO DOLLY" sheetId="41" r:id="rId17"/>
    <sheet name="PRES DOLLY" sheetId="38" r:id="rId18"/>
    <sheet name="FORM DOLLY" sheetId="47" r:id="rId19"/>
    <sheet name="COTIZACION DOLLY2" sheetId="51" r:id="rId20"/>
    <sheet name="COTIZACION DOLLY" sheetId="45" state="hidden" r:id="rId21"/>
    <sheet name="LOBBY" sheetId="31" state="hidden" r:id="rId22"/>
    <sheet name="Ajustes" sheetId="26" r:id="rId23"/>
    <sheet name="fotos para cotizacion" sheetId="30" r:id="rId24"/>
    <sheet name="FOTOS DOLLY" sheetId="46" r:id="rId25"/>
    <sheet name="FOLIOS NIV" sheetId="43" r:id="rId26"/>
    <sheet name="PAGOS" sheetId="44" r:id="rId27"/>
    <sheet name="CLIENTES" sheetId="28" r:id="rId28"/>
    <sheet name="Clientes Reportes" sheetId="49" r:id="rId29"/>
    <sheet name="MOVIMIENTOS" sheetId="53" r:id="rId30"/>
    <sheet name="fotos" sheetId="19" state="hidden" r:id="rId31"/>
  </sheets>
  <functionGroups builtInGroupCount="19"/>
  <definedNames>
    <definedName name="_Hlk143640428" localSheetId="12">CONTRATO!$A$12</definedName>
    <definedName name="_xlcn.WorksheetConnection_Leolca.xlsmextras1" hidden="1">extras[]</definedName>
    <definedName name="_xlcn.WorksheetConnection_Leolca.xlsmotros1" hidden="1">otros[]</definedName>
    <definedName name="_xlcn.WorksheetConnection_Leolca.xlsmpiramide1" hidden="1">piramide[]</definedName>
    <definedName name="_xlcn.WorksheetConnection_Leolca.xlsmTabla241" hidden="1">Tabla24[]</definedName>
    <definedName name="_xlcn.WorksheetConnection_Leolca.xlsmtruckzone1" hidden="1">truckzone[]</definedName>
    <definedName name="_xlcn.WorksheetConnection_PresupuestoyCotizacionesLeolca.xlsmACERO1" hidden="1">ACERO1[]</definedName>
    <definedName name="_xlcn.WorksheetConnection_PresupuestoyCotizacionesLeolca.xlsmCHASIS1" hidden="1">CHASIS[]</definedName>
    <definedName name="_xlcn.WorksheetConnection_PresupuestoyCotizacionesLeolca.xlsmclientes1" hidden="1">clientes[]</definedName>
    <definedName name="_xlnm.Print_Area" localSheetId="13">'CARTA FACTURA'!$A$2:$K$221</definedName>
    <definedName name="_xlnm.Print_Area" localSheetId="12">CONTRATO!$A$1:$H$186</definedName>
    <definedName name="_xlnm.Print_Area" localSheetId="6">COTIZACION!$A$1:$K$160</definedName>
    <definedName name="_xlnm.Print_Area" localSheetId="20">'COTIZACION DOLLY'!$A$1:$K$111</definedName>
    <definedName name="_xlnm.Print_Area" localSheetId="19">'COTIZACION DOLLY2'!$A$1:$I$52</definedName>
    <definedName name="_xlnm.Print_Area" localSheetId="7">COTIZACION2!$A$1:$I$54</definedName>
    <definedName name="_xlnm.Print_Area" localSheetId="1">'END PRESUPUESTO'!$A$3:$H$86</definedName>
    <definedName name="_xlnm.Print_Area" localSheetId="17">'PRES DOLLY'!$A$1:$I$59</definedName>
    <definedName name="_xlnm.Print_Area" localSheetId="5">'PRES PLANAS'!$A$1:$I$71</definedName>
    <definedName name="_xlnm.Print_Area" localSheetId="0">PRESUPUESTO!$A$1:$L$72</definedName>
    <definedName name="Busc_Planatrasera">INDEX('fotos para cotizacion'!$F$9:$F$17,MATCH('END PRESUPUESTO'!$C$10,'fotos para cotizacion'!$E$9:$E$17,0))</definedName>
    <definedName name="bUSCA_pLANA" localSheetId="20">INDEX('fotos para cotizacion'!$C$9:$C$17,MATCH('COTIZACION DOLLY'!$A$10,'fotos para cotizacion'!$B$9:$B$17,0))</definedName>
    <definedName name="bUSCA_pLANA">INDEX('fotos para cotizacion'!$C$9:$C$17,MATCH(COTIZACION!$A$10,'fotos para cotizacion'!$B$9:$B$17,0))</definedName>
    <definedName name="CLIENTE">'CLIENTES'!#REF!</definedName>
    <definedName name="FOTO_2">INDEX(fotos!$F$4:$F$6,MATCH(PRESUPUESTO!$C$5,fotos!$E$4:$E$6,0))</definedName>
    <definedName name="Foto_color1">INDEX('fotos para cotizacion'!$J$9:$J$20,MATCH('fotos para cotizacion'!$H$2,'fotos para cotizacion'!$I$9:$I$20,0))</definedName>
    <definedName name="foto_color2">INDEX('fotos para cotizacion'!$M$9:$M$20,MATCH('fotos para cotizacion'!$H$3,'fotos para cotizacion'!$L$9:$L$20,0))</definedName>
    <definedName name="Foto_dolly_Frente">INDEX('FOTOS DOLLY'!$C$7,MATCH('COTIZACION DOLLY'!$A$10,'FOTOS DOLLY'!$B$7,0))</definedName>
    <definedName name="FOTO_DOLLY_TRASERA">INDEX('FOTOS DOLLY'!$F$7,MATCH('COTIZACION DOLLY'!$A$10,'FOTOS DOLLY'!$E$7,0))</definedName>
    <definedName name="FOTO_PRODUCT1">INDEX(fotos!$C$4:$C$6,MATCH(PRESUPUESTO!$C$5,fotos!$B$4:$B$6,0))</definedName>
    <definedName name="foto2_cotizacion2">INDEX('fotos para cotizacion'!$C$9:$C$18,MATCH(COTIZACION2!$L$11,'fotos para cotizacion'!$B$9:$B$18,0))</definedName>
    <definedName name="fototrasera_cotizacion2">INDEX('fotos para cotizacion'!$F$9:$F$18,MATCH(COTIZACION2!XFC$11,'fotos para cotizacion'!$E$9:$E$18,0))</definedName>
    <definedName name="SegmentaciónDeDatos_EQUI._ENTREGADOS">#N/A</definedName>
    <definedName name="SegmentaciónDeDatos_EQUI._ENTREGADOS1">#N/A</definedName>
    <definedName name="SegmentaciónDeDatos_LARGO1">#N/A</definedName>
    <definedName name="SegmentaciónDeDatos_NOMBRE">#N/A</definedName>
    <definedName name="SegmentaciónDeDatos_NOMBRE7">#N/A</definedName>
    <definedName name="SegmentaciónDeDatos_NUM._DE_EJES1">#N/A</definedName>
    <definedName name="SegmentaciónDeDatos_PAGADO">#N/A</definedName>
    <definedName name="SegmentaciónDeDatos_PAGADO1">#N/A</definedName>
  </definedNames>
  <calcPr calcId="191029"/>
  <pivotCaches>
    <pivotCache cacheId="0" r:id="rId32"/>
    <pivotCache cacheId="1" r:id="rId33"/>
    <pivotCache cacheId="2" r:id="rId34"/>
    <pivotCache cacheId="3" r:id="rId35"/>
    <pivotCache cacheId="4" r:id="rId36"/>
    <pivotCache cacheId="5" r:id="rId37"/>
    <pivotCache cacheId="6" r:id="rId38"/>
    <pivotCache cacheId="7" r:id="rId39"/>
    <pivotCache cacheId="8" r:id="rId40"/>
    <pivotCache cacheId="9" r:id="rId41"/>
    <pivotCache cacheId="10" r:id="rId42"/>
    <pivotCache cacheId="11" r:id="rId43"/>
    <pivotCache cacheId="20" r:id="rId44"/>
  </pivotCaches>
  <extLst>
    <ext xmlns:x14="http://schemas.microsoft.com/office/spreadsheetml/2009/9/main" uri="{876F7934-8845-4945-9796-88D515C7AA90}">
      <x14:pivotCaches>
        <pivotCache cacheId="13" r:id="rId45"/>
        <pivotCache cacheId="14" r:id="rId46"/>
      </x14:pivotCaches>
    </ext>
    <ext xmlns:x14="http://schemas.microsoft.com/office/spreadsheetml/2009/9/main" uri="{BBE1A952-AA13-448e-AADC-164F8A28A991}">
      <x14:slicerCaches>
        <x14:slicerCache r:id="rId47"/>
        <x14:slicerCache r:id="rId48"/>
        <x14:slicerCache r:id="rId49"/>
        <x14:slicerCache r:id="rId50"/>
        <x14:slicerCache r:id="rId5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2"/>
        <x14:slicerCache r:id="rId53"/>
        <x14:slicerCache r:id="rId54"/>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001  Page 1_9b5e9c43-fcc5-4559-919c-f8416d86337c" name="Table001  Page 1" connection="Consulta - Table001 (Page 1)"/>
          <x15:modelTable id="Table002  Page 3_8907b7f4-2740-49c4-bc50-8ab11b266aae" name="Table002  Page 3" connection="Consulta - Table002 (Page 3)"/>
          <x15:modelTable id="Table004  Page 3_7371954b-5fd7-4040-8ea6-612620925929" name="Table004  Page 3" connection="Consulta - Table004 (Page 3)"/>
          <x15:modelTable id="Page001_1b23944b-9adc-452d-adca-e0590e61c2ae" name="Page001" connection="Consulta - Page001"/>
          <x15:modelTable id="Page003_8894899b-e87f-4f54-8517-aa83efeae409" name="Page003" connection="Consulta - Page003"/>
          <x15:modelTable id="Page002_d03f05c9-ca04-40fb-900d-c438102e2755" name="Page002" connection="Consulta - Page002"/>
          <x15:modelTable id="clientes" name="clientes" connection="WorksheetConnection_Presupuesto y Cotizaciones Leolca.xlsm!clientes"/>
          <x15:modelTable id="CHASIS" name="CHASIS" connection="WorksheetConnection_Presupuesto y Cotizaciones Leolca.xlsm!CHASIS"/>
          <x15:modelTable id="ACERO 1" name="ACERO 1" connection="WorksheetConnection_Presupuesto y Cotizaciones Leolca.xlsm!ACERO"/>
          <x15:modelTable id="truckzone" name="truckzone" connection="WorksheetConnection_Leolca.xlsm!truckzone"/>
          <x15:modelTable id="Tabla24" name="Tabla24" connection="WorksheetConnection_Leolca.xlsm!Tabla24"/>
          <x15:modelTable id="piramide" name="piramide" connection="WorksheetConnection_Leolca.xlsm!piramide"/>
          <x15:modelTable id="otros" name="otros" connection="WorksheetConnection_Leolca.xlsm!otros"/>
          <x15:modelTable id="extras" name="extras" connection="WorksheetConnection_Leolca.xlsm!extras"/>
        </x15:modelTables>
        <x15:modelRelationships>
          <x15:modelRelationship fromTable="extras" fromColumn="NOMBRE" toTable="Tabla24" toColumn="NOMBRE"/>
          <x15:modelRelationship fromTable="otros" fromColumn="NOMBRE" toTable="Tabla24" toColumn="NOMBRE"/>
          <x15:modelRelationship fromTable="piramide" fromColumn="NOMBRE" toTable="Tabla24" toColumn="NOMBRE"/>
          <x15:modelRelationship fromTable="truckzone" fromColumn="NOMBRE" toTable="Tabla24" toColumn="NOMBRE"/>
          <x15:modelRelationship fromTable="ACERO 1" fromColumn="NOMBRE" toTable="Tabla24" toColumn="NOMBRE"/>
        </x15:modelRelationships>
        <x15:extLst>
          <ext xmlns:x16="http://schemas.microsoft.com/office/spreadsheetml/2014/11/main" uri="{9835A34E-60A6-4A7C-AAB8-D5F71C897F49}">
            <x16:modelTimeGroupings>
              <x16:modelTimeGrouping tableName="CHASIS" columnName="FECHE/ENTRGA" columnId="FECHE ENTRGA">
                <x16:calculatedTimeColumn columnName="FECHE/ENTRGA (índice de meses)" columnId="FECHE ENTRGA (índice de meses)" contentType="monthsindex" isSelected="1"/>
                <x16:calculatedTimeColumn columnName="FECHE/ENTRGA (mes)" columnId="FECHE ENTRGA (mes)"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6" i="27" l="1"/>
  <c r="B12" i="27"/>
  <c r="A10" i="27"/>
  <c r="A16" i="45" l="1"/>
  <c r="B12" i="45"/>
  <c r="C30" i="50" l="1"/>
  <c r="C29" i="50"/>
  <c r="D170" i="40"/>
  <c r="D169" i="40"/>
  <c r="D166" i="40"/>
  <c r="G42" i="37" l="1" a="1"/>
  <c r="G42" i="37" s="1"/>
  <c r="B9" i="51" l="1"/>
  <c r="D163" i="40"/>
  <c r="D167" i="40"/>
  <c r="D162" i="40"/>
  <c r="C85" i="40"/>
  <c r="C32" i="50" l="1"/>
  <c r="C34" i="50" l="1"/>
  <c r="C134" i="40" l="1"/>
  <c r="C20" i="50" l="1"/>
  <c r="D26" i="38" l="1"/>
  <c r="E9" i="40" l="1"/>
  <c r="C9" i="40"/>
  <c r="G62" i="37" a="1"/>
  <c r="G62" i="37" s="1"/>
  <c r="G12" i="51" l="1"/>
  <c r="Q61" i="37" l="1"/>
  <c r="E121" i="40" l="1"/>
  <c r="C113" i="40"/>
  <c r="C110" i="40"/>
  <c r="C109" i="40"/>
  <c r="C108" i="40"/>
  <c r="C107" i="40"/>
  <c r="C106" i="40"/>
  <c r="C104" i="40"/>
  <c r="H10" i="37"/>
  <c r="C89" i="40"/>
  <c r="C69" i="40" l="1"/>
  <c r="C68" i="40"/>
  <c r="C67" i="40"/>
  <c r="C66" i="40"/>
  <c r="C65" i="40"/>
  <c r="C135" i="40" l="1"/>
  <c r="C37" i="50" l="1"/>
  <c r="C36" i="50"/>
  <c r="E6" i="50" l="1"/>
  <c r="H6" i="55"/>
  <c r="G76" i="44"/>
  <c r="E76" i="44"/>
  <c r="E7" i="44" s="1"/>
  <c r="B75" i="44"/>
  <c r="B74" i="44"/>
  <c r="B73" i="44"/>
  <c r="B72" i="44"/>
  <c r="B71" i="44"/>
  <c r="B70" i="44"/>
  <c r="B69" i="44"/>
  <c r="B68" i="44"/>
  <c r="B67" i="44"/>
  <c r="B66" i="44"/>
  <c r="B65" i="44"/>
  <c r="B64" i="44"/>
  <c r="B63" i="44"/>
  <c r="B62" i="44"/>
  <c r="B61" i="44"/>
  <c r="B60" i="44"/>
  <c r="B59" i="44"/>
  <c r="B58" i="44"/>
  <c r="B57" i="44"/>
  <c r="B56" i="44"/>
  <c r="B55" i="44"/>
  <c r="B54" i="44"/>
  <c r="B53" i="44"/>
  <c r="B52" i="44"/>
  <c r="B51" i="44"/>
  <c r="B50" i="44"/>
  <c r="B49" i="44"/>
  <c r="B48" i="44"/>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11" i="44"/>
  <c r="G210" i="43"/>
  <c r="F9" i="43" s="1"/>
  <c r="M209" i="43"/>
  <c r="H209" i="43"/>
  <c r="I209" i="43" s="1"/>
  <c r="L209" i="43" s="1"/>
  <c r="M208" i="43"/>
  <c r="H208" i="43"/>
  <c r="I208" i="43" s="1"/>
  <c r="L208" i="43" s="1"/>
  <c r="M207" i="43"/>
  <c r="H207" i="43"/>
  <c r="I207" i="43" s="1"/>
  <c r="L207" i="43" s="1"/>
  <c r="M206" i="43"/>
  <c r="H206" i="43"/>
  <c r="I206" i="43" s="1"/>
  <c r="L206" i="43" s="1"/>
  <c r="M205" i="43"/>
  <c r="H205" i="43"/>
  <c r="I205" i="43" s="1"/>
  <c r="L205" i="43" s="1"/>
  <c r="M204" i="43"/>
  <c r="H204" i="43"/>
  <c r="I204" i="43" s="1"/>
  <c r="L204" i="43" s="1"/>
  <c r="M203" i="43"/>
  <c r="H203" i="43"/>
  <c r="I203" i="43" s="1"/>
  <c r="L203" i="43" s="1"/>
  <c r="M202" i="43"/>
  <c r="H202" i="43"/>
  <c r="I202" i="43" s="1"/>
  <c r="L202" i="43" s="1"/>
  <c r="M201" i="43"/>
  <c r="H201" i="43"/>
  <c r="I201" i="43" s="1"/>
  <c r="L201" i="43" s="1"/>
  <c r="M200" i="43"/>
  <c r="H200" i="43"/>
  <c r="I200" i="43" s="1"/>
  <c r="L200" i="43" s="1"/>
  <c r="M199" i="43"/>
  <c r="H199" i="43"/>
  <c r="I199" i="43" s="1"/>
  <c r="L199" i="43" s="1"/>
  <c r="M198" i="43"/>
  <c r="H198" i="43"/>
  <c r="I198" i="43" s="1"/>
  <c r="L198" i="43" s="1"/>
  <c r="M197" i="43"/>
  <c r="H197" i="43"/>
  <c r="I197" i="43" s="1"/>
  <c r="L197" i="43" s="1"/>
  <c r="M196" i="43"/>
  <c r="H196" i="43"/>
  <c r="I196" i="43" s="1"/>
  <c r="L196" i="43" s="1"/>
  <c r="M195" i="43"/>
  <c r="H195" i="43"/>
  <c r="I195" i="43" s="1"/>
  <c r="L195" i="43" s="1"/>
  <c r="M194" i="43"/>
  <c r="H194" i="43"/>
  <c r="I194" i="43" s="1"/>
  <c r="L194" i="43" s="1"/>
  <c r="M193" i="43"/>
  <c r="H193" i="43"/>
  <c r="I193" i="43" s="1"/>
  <c r="L193" i="43" s="1"/>
  <c r="M192" i="43"/>
  <c r="H192" i="43"/>
  <c r="I192" i="43" s="1"/>
  <c r="L192" i="43" s="1"/>
  <c r="M191" i="43"/>
  <c r="H191" i="43"/>
  <c r="I191" i="43" s="1"/>
  <c r="L191" i="43" s="1"/>
  <c r="M190" i="43"/>
  <c r="H190" i="43"/>
  <c r="I190" i="43" s="1"/>
  <c r="L190" i="43" s="1"/>
  <c r="M189" i="43"/>
  <c r="H189" i="43"/>
  <c r="I189" i="43" s="1"/>
  <c r="L189" i="43" s="1"/>
  <c r="M188" i="43"/>
  <c r="H188" i="43"/>
  <c r="I188" i="43" s="1"/>
  <c r="L188" i="43" s="1"/>
  <c r="M187" i="43"/>
  <c r="H187" i="43"/>
  <c r="I187" i="43" s="1"/>
  <c r="L187" i="43" s="1"/>
  <c r="M186" i="43"/>
  <c r="H186" i="43"/>
  <c r="I186" i="43" s="1"/>
  <c r="L186" i="43" s="1"/>
  <c r="M185" i="43"/>
  <c r="H185" i="43"/>
  <c r="I185" i="43" s="1"/>
  <c r="L185" i="43" s="1"/>
  <c r="M184" i="43"/>
  <c r="H184" i="43"/>
  <c r="I184" i="43" s="1"/>
  <c r="L184" i="43" s="1"/>
  <c r="M183" i="43"/>
  <c r="H183" i="43"/>
  <c r="I183" i="43" s="1"/>
  <c r="L183" i="43" s="1"/>
  <c r="M182" i="43"/>
  <c r="H182" i="43"/>
  <c r="I182" i="43" s="1"/>
  <c r="L182" i="43" s="1"/>
  <c r="M181" i="43"/>
  <c r="H181" i="43"/>
  <c r="I181" i="43" s="1"/>
  <c r="L181" i="43" s="1"/>
  <c r="M180" i="43"/>
  <c r="H180" i="43"/>
  <c r="I180" i="43" s="1"/>
  <c r="L180" i="43" s="1"/>
  <c r="M179" i="43"/>
  <c r="H179" i="43"/>
  <c r="I179" i="43" s="1"/>
  <c r="L179" i="43" s="1"/>
  <c r="M178" i="43"/>
  <c r="H178" i="43"/>
  <c r="I178" i="43" s="1"/>
  <c r="L178" i="43" s="1"/>
  <c r="M177" i="43"/>
  <c r="H177" i="43"/>
  <c r="I177" i="43" s="1"/>
  <c r="L177" i="43" s="1"/>
  <c r="M176" i="43"/>
  <c r="H176" i="43"/>
  <c r="I176" i="43" s="1"/>
  <c r="L176" i="43" s="1"/>
  <c r="M175" i="43"/>
  <c r="H175" i="43"/>
  <c r="I175" i="43" s="1"/>
  <c r="L175" i="43" s="1"/>
  <c r="M174" i="43"/>
  <c r="H174" i="43"/>
  <c r="I174" i="43" s="1"/>
  <c r="L174" i="43" s="1"/>
  <c r="M173" i="43"/>
  <c r="H173" i="43"/>
  <c r="I173" i="43" s="1"/>
  <c r="L173" i="43" s="1"/>
  <c r="M172" i="43"/>
  <c r="H172" i="43"/>
  <c r="I172" i="43" s="1"/>
  <c r="L172" i="43" s="1"/>
  <c r="M171" i="43"/>
  <c r="H171" i="43"/>
  <c r="I171" i="43" s="1"/>
  <c r="L171" i="43" s="1"/>
  <c r="M170" i="43"/>
  <c r="H170" i="43"/>
  <c r="I170" i="43" s="1"/>
  <c r="L170" i="43" s="1"/>
  <c r="M169" i="43"/>
  <c r="H169" i="43"/>
  <c r="I169" i="43" s="1"/>
  <c r="L169" i="43" s="1"/>
  <c r="M168" i="43"/>
  <c r="H168" i="43"/>
  <c r="I168" i="43" s="1"/>
  <c r="L168" i="43" s="1"/>
  <c r="M167" i="43"/>
  <c r="H167" i="43"/>
  <c r="I167" i="43" s="1"/>
  <c r="L167" i="43" s="1"/>
  <c r="M166" i="43"/>
  <c r="H166" i="43"/>
  <c r="I166" i="43" s="1"/>
  <c r="L166" i="43" s="1"/>
  <c r="M165" i="43"/>
  <c r="H165" i="43"/>
  <c r="I165" i="43" s="1"/>
  <c r="L165" i="43" s="1"/>
  <c r="M164" i="43"/>
  <c r="H164" i="43"/>
  <c r="I164" i="43" s="1"/>
  <c r="L164" i="43" s="1"/>
  <c r="M163" i="43"/>
  <c r="H163" i="43"/>
  <c r="I163" i="43" s="1"/>
  <c r="L163" i="43" s="1"/>
  <c r="M162" i="43"/>
  <c r="H162" i="43"/>
  <c r="I162" i="43" s="1"/>
  <c r="L162" i="43" s="1"/>
  <c r="M161" i="43"/>
  <c r="H161" i="43"/>
  <c r="I161" i="43" s="1"/>
  <c r="L161" i="43" s="1"/>
  <c r="M160" i="43"/>
  <c r="H160" i="43"/>
  <c r="I160" i="43" s="1"/>
  <c r="L160" i="43" s="1"/>
  <c r="M159" i="43"/>
  <c r="H159" i="43"/>
  <c r="I159" i="43" s="1"/>
  <c r="L159" i="43" s="1"/>
  <c r="M158" i="43"/>
  <c r="H158" i="43"/>
  <c r="I158" i="43" s="1"/>
  <c r="L158" i="43" s="1"/>
  <c r="M157" i="43"/>
  <c r="H157" i="43"/>
  <c r="I157" i="43" s="1"/>
  <c r="L157" i="43" s="1"/>
  <c r="M156" i="43"/>
  <c r="H156" i="43"/>
  <c r="I156" i="43" s="1"/>
  <c r="L156" i="43" s="1"/>
  <c r="M155" i="43"/>
  <c r="H155" i="43"/>
  <c r="I155" i="43" s="1"/>
  <c r="L155" i="43" s="1"/>
  <c r="M154" i="43"/>
  <c r="H154" i="43"/>
  <c r="I154" i="43" s="1"/>
  <c r="L154" i="43" s="1"/>
  <c r="M153" i="43"/>
  <c r="H153" i="43"/>
  <c r="I153" i="43" s="1"/>
  <c r="L153" i="43" s="1"/>
  <c r="M152" i="43"/>
  <c r="H152" i="43"/>
  <c r="I152" i="43" s="1"/>
  <c r="L152" i="43" s="1"/>
  <c r="M151" i="43"/>
  <c r="H151" i="43"/>
  <c r="I151" i="43" s="1"/>
  <c r="L151" i="43" s="1"/>
  <c r="M150" i="43"/>
  <c r="H150" i="43"/>
  <c r="I150" i="43" s="1"/>
  <c r="L150" i="43" s="1"/>
  <c r="M149" i="43"/>
  <c r="H149" i="43"/>
  <c r="I149" i="43" s="1"/>
  <c r="L149" i="43" s="1"/>
  <c r="M148" i="43"/>
  <c r="H148" i="43"/>
  <c r="I148" i="43" s="1"/>
  <c r="L148" i="43" s="1"/>
  <c r="M147" i="43"/>
  <c r="H147" i="43"/>
  <c r="I147" i="43" s="1"/>
  <c r="L147" i="43" s="1"/>
  <c r="M146" i="43"/>
  <c r="H146" i="43"/>
  <c r="I146" i="43" s="1"/>
  <c r="L146" i="43" s="1"/>
  <c r="M145" i="43"/>
  <c r="H145" i="43"/>
  <c r="I145" i="43" s="1"/>
  <c r="L145" i="43" s="1"/>
  <c r="M144" i="43"/>
  <c r="H144" i="43"/>
  <c r="I144" i="43" s="1"/>
  <c r="L144" i="43" s="1"/>
  <c r="M143" i="43"/>
  <c r="H143" i="43"/>
  <c r="I143" i="43" s="1"/>
  <c r="L143" i="43" s="1"/>
  <c r="M142" i="43"/>
  <c r="H142" i="43"/>
  <c r="I142" i="43" s="1"/>
  <c r="L142" i="43" s="1"/>
  <c r="M141" i="43"/>
  <c r="H141" i="43"/>
  <c r="I141" i="43" s="1"/>
  <c r="L141" i="43" s="1"/>
  <c r="M140" i="43"/>
  <c r="H140" i="43"/>
  <c r="I140" i="43" s="1"/>
  <c r="L140" i="43" s="1"/>
  <c r="M139" i="43"/>
  <c r="H139" i="43"/>
  <c r="I139" i="43" s="1"/>
  <c r="L139" i="43" s="1"/>
  <c r="M138" i="43"/>
  <c r="H138" i="43"/>
  <c r="I138" i="43" s="1"/>
  <c r="L138" i="43" s="1"/>
  <c r="M137" i="43"/>
  <c r="H137" i="43"/>
  <c r="I137" i="43" s="1"/>
  <c r="L137" i="43" s="1"/>
  <c r="M136" i="43"/>
  <c r="H136" i="43"/>
  <c r="I136" i="43" s="1"/>
  <c r="L136" i="43" s="1"/>
  <c r="M135" i="43"/>
  <c r="H135" i="43"/>
  <c r="I135" i="43" s="1"/>
  <c r="L135" i="43" s="1"/>
  <c r="M134" i="43"/>
  <c r="H134" i="43"/>
  <c r="I134" i="43" s="1"/>
  <c r="L134" i="43" s="1"/>
  <c r="M133" i="43"/>
  <c r="H133" i="43"/>
  <c r="I133" i="43" s="1"/>
  <c r="L133" i="43" s="1"/>
  <c r="M132" i="43"/>
  <c r="H132" i="43"/>
  <c r="I132" i="43" s="1"/>
  <c r="L132" i="43" s="1"/>
  <c r="M131" i="43"/>
  <c r="H131" i="43"/>
  <c r="I131" i="43" s="1"/>
  <c r="L131" i="43" s="1"/>
  <c r="M130" i="43"/>
  <c r="H130" i="43"/>
  <c r="I130" i="43" s="1"/>
  <c r="L130" i="43" s="1"/>
  <c r="M129" i="43"/>
  <c r="H129" i="43"/>
  <c r="I129" i="43" s="1"/>
  <c r="L129" i="43" s="1"/>
  <c r="M128" i="43"/>
  <c r="H128" i="43"/>
  <c r="I128" i="43" s="1"/>
  <c r="L128" i="43" s="1"/>
  <c r="M127" i="43"/>
  <c r="H127" i="43"/>
  <c r="I127" i="43" s="1"/>
  <c r="L127" i="43" s="1"/>
  <c r="M126" i="43"/>
  <c r="H126" i="43"/>
  <c r="I126" i="43" s="1"/>
  <c r="L126" i="43" s="1"/>
  <c r="M125" i="43"/>
  <c r="H125" i="43"/>
  <c r="I125" i="43" s="1"/>
  <c r="L125" i="43" s="1"/>
  <c r="M124" i="43"/>
  <c r="H124" i="43"/>
  <c r="I124" i="43" s="1"/>
  <c r="L124" i="43" s="1"/>
  <c r="M123" i="43"/>
  <c r="H123" i="43"/>
  <c r="I123" i="43" s="1"/>
  <c r="L123" i="43" s="1"/>
  <c r="M122" i="43"/>
  <c r="H122" i="43"/>
  <c r="I122" i="43" s="1"/>
  <c r="L122" i="43" s="1"/>
  <c r="M121" i="43"/>
  <c r="H121" i="43"/>
  <c r="I121" i="43" s="1"/>
  <c r="L121" i="43" s="1"/>
  <c r="M120" i="43"/>
  <c r="H120" i="43"/>
  <c r="I120" i="43" s="1"/>
  <c r="L120" i="43" s="1"/>
  <c r="M119" i="43"/>
  <c r="H119" i="43"/>
  <c r="I119" i="43" s="1"/>
  <c r="L119" i="43" s="1"/>
  <c r="M118" i="43"/>
  <c r="H118" i="43"/>
  <c r="I118" i="43" s="1"/>
  <c r="L118" i="43" s="1"/>
  <c r="M117" i="43"/>
  <c r="H117" i="43"/>
  <c r="I117" i="43" s="1"/>
  <c r="L117" i="43" s="1"/>
  <c r="M116" i="43"/>
  <c r="H116" i="43"/>
  <c r="I116" i="43" s="1"/>
  <c r="L116" i="43" s="1"/>
  <c r="M115" i="43"/>
  <c r="H115" i="43"/>
  <c r="I115" i="43" s="1"/>
  <c r="L115" i="43" s="1"/>
  <c r="M114" i="43"/>
  <c r="H114" i="43"/>
  <c r="I114" i="43" s="1"/>
  <c r="L114" i="43" s="1"/>
  <c r="M113" i="43"/>
  <c r="H113" i="43"/>
  <c r="I113" i="43" s="1"/>
  <c r="L113" i="43" s="1"/>
  <c r="M112" i="43"/>
  <c r="H112" i="43"/>
  <c r="I112" i="43" s="1"/>
  <c r="L112" i="43" s="1"/>
  <c r="M111" i="43"/>
  <c r="H111" i="43"/>
  <c r="I111" i="43" s="1"/>
  <c r="L111" i="43" s="1"/>
  <c r="M110" i="43"/>
  <c r="H110" i="43"/>
  <c r="I110" i="43" s="1"/>
  <c r="L110" i="43" s="1"/>
  <c r="M109" i="43"/>
  <c r="H109" i="43"/>
  <c r="I109" i="43" s="1"/>
  <c r="L109" i="43" s="1"/>
  <c r="M108" i="43"/>
  <c r="H108" i="43"/>
  <c r="I108" i="43" s="1"/>
  <c r="L108" i="43" s="1"/>
  <c r="M107" i="43"/>
  <c r="H107" i="43"/>
  <c r="I107" i="43" s="1"/>
  <c r="L107" i="43" s="1"/>
  <c r="M106" i="43"/>
  <c r="H106" i="43"/>
  <c r="I106" i="43" s="1"/>
  <c r="L106" i="43" s="1"/>
  <c r="M105" i="43"/>
  <c r="H105" i="43"/>
  <c r="I105" i="43" s="1"/>
  <c r="L105" i="43" s="1"/>
  <c r="M104" i="43"/>
  <c r="H104" i="43"/>
  <c r="I104" i="43" s="1"/>
  <c r="L104" i="43" s="1"/>
  <c r="M103" i="43"/>
  <c r="H103" i="43"/>
  <c r="I103" i="43" s="1"/>
  <c r="L103" i="43" s="1"/>
  <c r="M102" i="43"/>
  <c r="H102" i="43"/>
  <c r="I102" i="43" s="1"/>
  <c r="L102" i="43" s="1"/>
  <c r="M101" i="43"/>
  <c r="H101" i="43"/>
  <c r="I101" i="43" s="1"/>
  <c r="L101" i="43" s="1"/>
  <c r="M100" i="43"/>
  <c r="H100" i="43"/>
  <c r="I100" i="43" s="1"/>
  <c r="L100" i="43" s="1"/>
  <c r="M99" i="43"/>
  <c r="H99" i="43"/>
  <c r="I99" i="43" s="1"/>
  <c r="L99" i="43" s="1"/>
  <c r="M98" i="43"/>
  <c r="H98" i="43"/>
  <c r="I98" i="43" s="1"/>
  <c r="L98" i="43" s="1"/>
  <c r="M97" i="43"/>
  <c r="H97" i="43"/>
  <c r="I97" i="43" s="1"/>
  <c r="L97" i="43" s="1"/>
  <c r="M96" i="43"/>
  <c r="H96" i="43"/>
  <c r="I96" i="43" s="1"/>
  <c r="L96" i="43" s="1"/>
  <c r="M95" i="43"/>
  <c r="H95" i="43"/>
  <c r="I95" i="43" s="1"/>
  <c r="L95" i="43" s="1"/>
  <c r="M94" i="43"/>
  <c r="H94" i="43"/>
  <c r="I94" i="43" s="1"/>
  <c r="L94" i="43" s="1"/>
  <c r="M93" i="43"/>
  <c r="H93" i="43"/>
  <c r="I93" i="43" s="1"/>
  <c r="L93" i="43" s="1"/>
  <c r="M92" i="43"/>
  <c r="H92" i="43"/>
  <c r="I92" i="43" s="1"/>
  <c r="L92" i="43" s="1"/>
  <c r="M91" i="43"/>
  <c r="H91" i="43"/>
  <c r="I91" i="43" s="1"/>
  <c r="L91" i="43" s="1"/>
  <c r="M90" i="43"/>
  <c r="H90" i="43"/>
  <c r="I90" i="43" s="1"/>
  <c r="L90" i="43" s="1"/>
  <c r="M89" i="43"/>
  <c r="H89" i="43"/>
  <c r="I89" i="43" s="1"/>
  <c r="L89" i="43" s="1"/>
  <c r="M88" i="43"/>
  <c r="H88" i="43"/>
  <c r="I88" i="43" s="1"/>
  <c r="L88" i="43" s="1"/>
  <c r="M87" i="43"/>
  <c r="H87" i="43"/>
  <c r="I87" i="43" s="1"/>
  <c r="L87" i="43" s="1"/>
  <c r="M86" i="43"/>
  <c r="H86" i="43"/>
  <c r="I86" i="43" s="1"/>
  <c r="L86" i="43" s="1"/>
  <c r="M85" i="43"/>
  <c r="H85" i="43"/>
  <c r="I85" i="43" s="1"/>
  <c r="L85" i="43" s="1"/>
  <c r="M84" i="43"/>
  <c r="H84" i="43"/>
  <c r="I84" i="43" s="1"/>
  <c r="L84" i="43" s="1"/>
  <c r="M83" i="43"/>
  <c r="H83" i="43"/>
  <c r="I83" i="43" s="1"/>
  <c r="L83" i="43" s="1"/>
  <c r="M82" i="43"/>
  <c r="H82" i="43"/>
  <c r="I82" i="43" s="1"/>
  <c r="L82" i="43" s="1"/>
  <c r="M81" i="43"/>
  <c r="H81" i="43"/>
  <c r="I81" i="43" s="1"/>
  <c r="L81" i="43" s="1"/>
  <c r="M80" i="43"/>
  <c r="H80" i="43"/>
  <c r="I80" i="43" s="1"/>
  <c r="L80" i="43" s="1"/>
  <c r="M79" i="43"/>
  <c r="H79" i="43"/>
  <c r="I79" i="43" s="1"/>
  <c r="L79" i="43" s="1"/>
  <c r="M78" i="43"/>
  <c r="H78" i="43"/>
  <c r="I78" i="43" s="1"/>
  <c r="L78" i="43" s="1"/>
  <c r="M77" i="43"/>
  <c r="H77" i="43"/>
  <c r="I77" i="43" s="1"/>
  <c r="L77" i="43" s="1"/>
  <c r="M76" i="43"/>
  <c r="H76" i="43"/>
  <c r="I76" i="43" s="1"/>
  <c r="L76" i="43" s="1"/>
  <c r="M75" i="43"/>
  <c r="H75" i="43"/>
  <c r="I75" i="43" s="1"/>
  <c r="L75" i="43" s="1"/>
  <c r="M74" i="43"/>
  <c r="H74" i="43"/>
  <c r="I74" i="43" s="1"/>
  <c r="L74" i="43" s="1"/>
  <c r="M73" i="43"/>
  <c r="H73" i="43"/>
  <c r="I73" i="43" s="1"/>
  <c r="L73" i="43" s="1"/>
  <c r="M72" i="43"/>
  <c r="H72" i="43"/>
  <c r="I72" i="43" s="1"/>
  <c r="L72" i="43" s="1"/>
  <c r="M71" i="43"/>
  <c r="H71" i="43"/>
  <c r="I71" i="43" s="1"/>
  <c r="L71" i="43" s="1"/>
  <c r="M70" i="43"/>
  <c r="H70" i="43"/>
  <c r="I70" i="43" s="1"/>
  <c r="L70" i="43" s="1"/>
  <c r="M69" i="43"/>
  <c r="H69" i="43"/>
  <c r="I69" i="43" s="1"/>
  <c r="L69" i="43" s="1"/>
  <c r="M68" i="43"/>
  <c r="H68" i="43"/>
  <c r="I68" i="43" s="1"/>
  <c r="L68" i="43" s="1"/>
  <c r="M67" i="43"/>
  <c r="H67" i="43"/>
  <c r="I67" i="43" s="1"/>
  <c r="L67" i="43" s="1"/>
  <c r="M66" i="43"/>
  <c r="H66" i="43"/>
  <c r="I66" i="43" s="1"/>
  <c r="L66" i="43" s="1"/>
  <c r="M65" i="43"/>
  <c r="H65" i="43"/>
  <c r="I65" i="43" s="1"/>
  <c r="L65" i="43" s="1"/>
  <c r="M64" i="43"/>
  <c r="H64" i="43"/>
  <c r="I64" i="43" s="1"/>
  <c r="L64" i="43" s="1"/>
  <c r="M63" i="43"/>
  <c r="H63" i="43"/>
  <c r="I63" i="43" s="1"/>
  <c r="L63" i="43" s="1"/>
  <c r="M62" i="43"/>
  <c r="H62" i="43"/>
  <c r="I62" i="43" s="1"/>
  <c r="L62" i="43" s="1"/>
  <c r="M61" i="43"/>
  <c r="H61" i="43"/>
  <c r="I61" i="43" s="1"/>
  <c r="L61" i="43" s="1"/>
  <c r="M60" i="43"/>
  <c r="H60" i="43"/>
  <c r="I60" i="43" s="1"/>
  <c r="L60" i="43" s="1"/>
  <c r="M59" i="43"/>
  <c r="H59" i="43"/>
  <c r="I59" i="43" s="1"/>
  <c r="L59" i="43" s="1"/>
  <c r="M58" i="43"/>
  <c r="H58" i="43"/>
  <c r="I58" i="43" s="1"/>
  <c r="L58" i="43" s="1"/>
  <c r="M57" i="43"/>
  <c r="H57" i="43"/>
  <c r="I57" i="43" s="1"/>
  <c r="L57" i="43" s="1"/>
  <c r="M56" i="43"/>
  <c r="H56" i="43"/>
  <c r="I56" i="43" s="1"/>
  <c r="L56" i="43" s="1"/>
  <c r="M55" i="43"/>
  <c r="H55" i="43"/>
  <c r="I55" i="43" s="1"/>
  <c r="L55" i="43" s="1"/>
  <c r="M54" i="43"/>
  <c r="H54" i="43"/>
  <c r="I54" i="43" s="1"/>
  <c r="L54" i="43" s="1"/>
  <c r="M53" i="43"/>
  <c r="H53" i="43"/>
  <c r="I53" i="43" s="1"/>
  <c r="L53" i="43" s="1"/>
  <c r="M52" i="43"/>
  <c r="H52" i="43"/>
  <c r="I52" i="43" s="1"/>
  <c r="L52" i="43" s="1"/>
  <c r="M51" i="43"/>
  <c r="H51" i="43"/>
  <c r="I51" i="43" s="1"/>
  <c r="L51" i="43" s="1"/>
  <c r="M50" i="43"/>
  <c r="H50" i="43"/>
  <c r="I50" i="43" s="1"/>
  <c r="L50" i="43" s="1"/>
  <c r="M49" i="43"/>
  <c r="H49" i="43"/>
  <c r="I49" i="43" s="1"/>
  <c r="L49" i="43" s="1"/>
  <c r="M48" i="43"/>
  <c r="H48" i="43"/>
  <c r="I48" i="43" s="1"/>
  <c r="L48" i="43" s="1"/>
  <c r="M47" i="43"/>
  <c r="H47" i="43"/>
  <c r="I47" i="43" s="1"/>
  <c r="L47" i="43" s="1"/>
  <c r="M46" i="43"/>
  <c r="H46" i="43"/>
  <c r="I46" i="43" s="1"/>
  <c r="L46" i="43" s="1"/>
  <c r="M45" i="43"/>
  <c r="H45" i="43"/>
  <c r="I45" i="43" s="1"/>
  <c r="L45" i="43" s="1"/>
  <c r="M44" i="43"/>
  <c r="H44" i="43"/>
  <c r="I44" i="43" s="1"/>
  <c r="L44" i="43" s="1"/>
  <c r="M43" i="43"/>
  <c r="H43" i="43"/>
  <c r="I43" i="43" s="1"/>
  <c r="L43" i="43" s="1"/>
  <c r="M42" i="43"/>
  <c r="H42" i="43"/>
  <c r="I42" i="43" s="1"/>
  <c r="L42" i="43" s="1"/>
  <c r="M41" i="43"/>
  <c r="H41" i="43"/>
  <c r="I41" i="43" s="1"/>
  <c r="L41" i="43" s="1"/>
  <c r="M40" i="43"/>
  <c r="H40" i="43"/>
  <c r="I40" i="43" s="1"/>
  <c r="L40" i="43" s="1"/>
  <c r="M39" i="43"/>
  <c r="H39" i="43"/>
  <c r="I39" i="43" s="1"/>
  <c r="L39" i="43" s="1"/>
  <c r="M38" i="43"/>
  <c r="H38" i="43"/>
  <c r="I38" i="43" s="1"/>
  <c r="L38" i="43" s="1"/>
  <c r="M37" i="43"/>
  <c r="H37" i="43"/>
  <c r="I37" i="43" s="1"/>
  <c r="L37" i="43" s="1"/>
  <c r="M36" i="43"/>
  <c r="H36" i="43"/>
  <c r="I36" i="43" s="1"/>
  <c r="L36" i="43" s="1"/>
  <c r="M35" i="43"/>
  <c r="H35" i="43"/>
  <c r="I35" i="43" s="1"/>
  <c r="L35" i="43" s="1"/>
  <c r="M34" i="43"/>
  <c r="H34" i="43"/>
  <c r="I34" i="43" s="1"/>
  <c r="L34" i="43" s="1"/>
  <c r="M33" i="43"/>
  <c r="H33" i="43"/>
  <c r="I33" i="43" s="1"/>
  <c r="L33" i="43" s="1"/>
  <c r="M32" i="43"/>
  <c r="H32" i="43"/>
  <c r="I32" i="43" s="1"/>
  <c r="L32" i="43" s="1"/>
  <c r="M31" i="43"/>
  <c r="H31" i="43"/>
  <c r="I31" i="43" s="1"/>
  <c r="L31" i="43" s="1"/>
  <c r="M30" i="43"/>
  <c r="H30" i="43"/>
  <c r="I30" i="43" s="1"/>
  <c r="L30" i="43" s="1"/>
  <c r="M29" i="43"/>
  <c r="H29" i="43"/>
  <c r="I29" i="43" s="1"/>
  <c r="L29" i="43" s="1"/>
  <c r="M28" i="43"/>
  <c r="H28" i="43"/>
  <c r="I28" i="43" s="1"/>
  <c r="L28" i="43" s="1"/>
  <c r="M27" i="43"/>
  <c r="H27" i="43"/>
  <c r="I27" i="43" s="1"/>
  <c r="L27" i="43" s="1"/>
  <c r="M26" i="43"/>
  <c r="H26" i="43"/>
  <c r="I26" i="43" s="1"/>
  <c r="L26" i="43" s="1"/>
  <c r="M25" i="43"/>
  <c r="H25" i="43"/>
  <c r="I25" i="43" s="1"/>
  <c r="L25" i="43" s="1"/>
  <c r="M24" i="43"/>
  <c r="H24" i="43"/>
  <c r="I24" i="43" s="1"/>
  <c r="L24" i="43" s="1"/>
  <c r="M23" i="43"/>
  <c r="H23" i="43"/>
  <c r="I23" i="43" s="1"/>
  <c r="L23" i="43" s="1"/>
  <c r="M22" i="43"/>
  <c r="H22" i="43"/>
  <c r="I22" i="43" s="1"/>
  <c r="L22" i="43" s="1"/>
  <c r="M21" i="43"/>
  <c r="H21" i="43"/>
  <c r="I21" i="43" s="1"/>
  <c r="L21" i="43" s="1"/>
  <c r="M20" i="43"/>
  <c r="H20" i="43"/>
  <c r="I20" i="43" s="1"/>
  <c r="L20" i="43" s="1"/>
  <c r="M19" i="43"/>
  <c r="H19" i="43"/>
  <c r="I19" i="43" s="1"/>
  <c r="L19" i="43" s="1"/>
  <c r="M18" i="43"/>
  <c r="H18" i="43"/>
  <c r="I18" i="43" s="1"/>
  <c r="L18" i="43" s="1"/>
  <c r="M17" i="43"/>
  <c r="H17" i="43"/>
  <c r="I17" i="43" s="1"/>
  <c r="L17" i="43" s="1"/>
  <c r="M16" i="43"/>
  <c r="H16" i="43"/>
  <c r="I16" i="43" s="1"/>
  <c r="L16" i="43" s="1"/>
  <c r="M15" i="43"/>
  <c r="H15" i="43"/>
  <c r="I15" i="43" s="1"/>
  <c r="L15" i="43" s="1"/>
  <c r="M14" i="43"/>
  <c r="H14" i="43"/>
  <c r="I14" i="43" s="1"/>
  <c r="L14" i="43" s="1"/>
  <c r="M13" i="43"/>
  <c r="H13" i="43"/>
  <c r="I13" i="43" s="1"/>
  <c r="L13" i="43" s="1"/>
  <c r="M12" i="43"/>
  <c r="H12" i="43"/>
  <c r="I12" i="43" s="1"/>
  <c r="L12" i="43" s="1"/>
  <c r="M11" i="43"/>
  <c r="H11" i="43"/>
  <c r="R9" i="43"/>
  <c r="Q9" i="43"/>
  <c r="S9" i="43" s="1"/>
  <c r="G3" i="46"/>
  <c r="B3" i="46"/>
  <c r="B2" i="46"/>
  <c r="B3" i="30"/>
  <c r="B2" i="30"/>
  <c r="I8" i="26"/>
  <c r="AB5" i="26" s="1"/>
  <c r="I89" i="45"/>
  <c r="I90" i="45" s="1"/>
  <c r="A84" i="45"/>
  <c r="G80" i="45" s="1"/>
  <c r="A83" i="45"/>
  <c r="G82" i="45" s="1"/>
  <c r="A82" i="45"/>
  <c r="G81" i="45" s="1"/>
  <c r="A81" i="45"/>
  <c r="A80" i="45"/>
  <c r="B62" i="45"/>
  <c r="C62" i="45" s="1" a="1"/>
  <c r="C62" i="45" s="1"/>
  <c r="A62" i="45"/>
  <c r="F59" i="45"/>
  <c r="A61" i="45" s="1"/>
  <c r="M22" i="45"/>
  <c r="M21" i="45"/>
  <c r="H9" i="45"/>
  <c r="K1" i="45"/>
  <c r="C31" i="51"/>
  <c r="B31" i="51"/>
  <c r="C30" i="51"/>
  <c r="B30" i="51"/>
  <c r="C22" i="51"/>
  <c r="C21" i="51"/>
  <c r="C19" i="51"/>
  <c r="E12" i="51"/>
  <c r="G8" i="51"/>
  <c r="E6" i="51"/>
  <c r="M4" i="51"/>
  <c r="M5" i="51" s="1"/>
  <c r="H56" i="38"/>
  <c r="G56" i="38"/>
  <c r="F56" i="38"/>
  <c r="H55" i="38"/>
  <c r="G55" i="38"/>
  <c r="F55" i="38"/>
  <c r="H54" i="38"/>
  <c r="G54" i="38"/>
  <c r="F54" i="38"/>
  <c r="H53" i="38"/>
  <c r="G53" i="38"/>
  <c r="F53" i="38"/>
  <c r="G48" i="38" a="1"/>
  <c r="G48" i="38" s="1"/>
  <c r="H48" i="38" s="1"/>
  <c r="F48" i="38"/>
  <c r="Q10" i="41" s="1"/>
  <c r="G47" i="38" a="1"/>
  <c r="G47" i="38" s="1"/>
  <c r="H47" i="38" s="1"/>
  <c r="F47" i="38"/>
  <c r="C47" i="38"/>
  <c r="D47" i="38" s="1"/>
  <c r="D49" i="38" s="1"/>
  <c r="G46" i="38" a="1"/>
  <c r="G46" i="38" s="1"/>
  <c r="H46" i="38" s="1"/>
  <c r="F46" i="38"/>
  <c r="G45" i="38" a="1"/>
  <c r="G45" i="38" s="1"/>
  <c r="F45" i="38"/>
  <c r="D42" i="38"/>
  <c r="H41" i="38"/>
  <c r="I41" i="38" s="1"/>
  <c r="D41" i="38"/>
  <c r="H40" i="38"/>
  <c r="I40" i="38" s="1"/>
  <c r="D40" i="38"/>
  <c r="H39" i="38"/>
  <c r="I39" i="38" s="1"/>
  <c r="D39" i="38"/>
  <c r="H38" i="38"/>
  <c r="I38" i="38" s="1"/>
  <c r="D38" i="38"/>
  <c r="H37" i="38"/>
  <c r="I37" i="38" s="1"/>
  <c r="D37" i="38"/>
  <c r="H36" i="38"/>
  <c r="I36" i="38" s="1"/>
  <c r="D36" i="38"/>
  <c r="I31" i="38"/>
  <c r="D31" i="38"/>
  <c r="I30" i="38"/>
  <c r="D30" i="38"/>
  <c r="C29" i="38"/>
  <c r="D29" i="38" s="1"/>
  <c r="C28" i="38"/>
  <c r="D28" i="38" s="1"/>
  <c r="C27" i="38"/>
  <c r="D27" i="38" s="1"/>
  <c r="H26" i="38"/>
  <c r="I26" i="38" s="1"/>
  <c r="I25" i="38"/>
  <c r="B25" i="38" a="1"/>
  <c r="B25" i="38" s="1"/>
  <c r="C25" i="38" s="1"/>
  <c r="A25" i="38"/>
  <c r="I24" i="38"/>
  <c r="B24" i="38" a="1"/>
  <c r="B24" i="38" s="1"/>
  <c r="C24" i="38" s="1"/>
  <c r="A24" i="38"/>
  <c r="H23" i="38"/>
  <c r="I23" i="38" s="1"/>
  <c r="H22" i="38"/>
  <c r="I22" i="38" s="1"/>
  <c r="D19" i="38"/>
  <c r="D18" i="38"/>
  <c r="D17" i="38"/>
  <c r="H16" i="38"/>
  <c r="I16" i="38" s="1"/>
  <c r="I18" i="38" s="1"/>
  <c r="D16" i="38"/>
  <c r="D15" i="38"/>
  <c r="D14" i="38"/>
  <c r="D13" i="38"/>
  <c r="D12" i="38"/>
  <c r="H11" i="38"/>
  <c r="I11" i="38" s="1"/>
  <c r="D11" i="38"/>
  <c r="H10" i="38"/>
  <c r="I10" i="38" s="1"/>
  <c r="D10" i="38"/>
  <c r="H9" i="38"/>
  <c r="I9" i="38" s="1"/>
  <c r="D9" i="38"/>
  <c r="H2" i="38"/>
  <c r="Q4" i="41" s="1"/>
  <c r="D2" i="38"/>
  <c r="A1" i="38" a="1"/>
  <c r="A1" i="38" s="1"/>
  <c r="Q3" i="41" a="1"/>
  <c r="Q3" i="41" s="1"/>
  <c r="Q2" i="41"/>
  <c r="B2" i="38" s="1"/>
  <c r="I1" i="41"/>
  <c r="G2" i="41" s="1"/>
  <c r="F178" i="29"/>
  <c r="B141" i="29"/>
  <c r="C140" i="29"/>
  <c r="C139" i="29"/>
  <c r="H125" i="29"/>
  <c r="F148" i="29" s="1"/>
  <c r="H38" i="29"/>
  <c r="H39" i="29" s="1"/>
  <c r="A21" i="29"/>
  <c r="D16" i="29"/>
  <c r="H7" i="29"/>
  <c r="H178" i="29" s="1"/>
  <c r="N2" i="29"/>
  <c r="H123" i="29" s="1"/>
  <c r="C88" i="39"/>
  <c r="D29" i="39"/>
  <c r="B29" i="39"/>
  <c r="B25" i="39"/>
  <c r="D23" i="39"/>
  <c r="B23" i="39"/>
  <c r="B19" i="39"/>
  <c r="G10" i="39"/>
  <c r="A9" i="39"/>
  <c r="G33" i="55"/>
  <c r="G32" i="55"/>
  <c r="J29" i="54"/>
  <c r="J28" i="54"/>
  <c r="J27" i="54"/>
  <c r="J26" i="54"/>
  <c r="J25" i="54"/>
  <c r="C25" i="54"/>
  <c r="J24" i="54"/>
  <c r="J23" i="54"/>
  <c r="J22" i="54"/>
  <c r="J21" i="54"/>
  <c r="D21" i="54"/>
  <c r="D20" i="54"/>
  <c r="D19" i="54"/>
  <c r="D18" i="54"/>
  <c r="J17" i="54"/>
  <c r="D17" i="54"/>
  <c r="J16" i="54"/>
  <c r="D16" i="54"/>
  <c r="J15" i="54"/>
  <c r="D15" i="54"/>
  <c r="J14" i="54"/>
  <c r="D14" i="54"/>
  <c r="J13" i="54"/>
  <c r="D13" i="54"/>
  <c r="J12" i="54"/>
  <c r="D12" i="54"/>
  <c r="J11" i="54"/>
  <c r="D11" i="54"/>
  <c r="J10" i="54"/>
  <c r="D10" i="54"/>
  <c r="J9" i="54"/>
  <c r="D9" i="54"/>
  <c r="J8" i="54"/>
  <c r="D8" i="54"/>
  <c r="J7" i="54"/>
  <c r="D7" i="54"/>
  <c r="J6" i="54"/>
  <c r="D6" i="54"/>
  <c r="J5" i="54"/>
  <c r="D5" i="54"/>
  <c r="G23" i="52"/>
  <c r="G19" i="52"/>
  <c r="F5" i="52"/>
  <c r="G6" i="52" s="1"/>
  <c r="H37" i="50"/>
  <c r="B37" i="50"/>
  <c r="B36" i="50"/>
  <c r="C21" i="50"/>
  <c r="C18" i="50"/>
  <c r="B9" i="50"/>
  <c r="G8" i="50"/>
  <c r="J4" i="50"/>
  <c r="H6" i="50" s="1"/>
  <c r="K1" i="50" s="1"/>
  <c r="W41" i="32" a="1"/>
  <c r="W41" i="32" s="1"/>
  <c r="G60" i="37" s="1"/>
  <c r="AF24" i="32" a="1"/>
  <c r="AF24" i="32" s="1"/>
  <c r="X24" i="32" a="1"/>
  <c r="X24" i="32" s="1"/>
  <c r="AF23" i="32" a="1"/>
  <c r="AF23" i="32" s="1"/>
  <c r="X23" i="32" a="1"/>
  <c r="X23" i="32" s="1"/>
  <c r="AF22" i="32" a="1"/>
  <c r="AF22" i="32" s="1"/>
  <c r="X22" i="32" a="1"/>
  <c r="X22" i="32" s="1"/>
  <c r="Y23" i="32" s="1"/>
  <c r="AF21" i="32"/>
  <c r="X21" i="32" a="1"/>
  <c r="X21" i="32" s="1"/>
  <c r="AA12" i="32" s="1"/>
  <c r="AP20" i="32" a="1"/>
  <c r="AP20" i="32" s="1"/>
  <c r="G38" i="37" s="1"/>
  <c r="AF20" i="32" a="1"/>
  <c r="AF20" i="32" s="1"/>
  <c r="X20" i="32" a="1"/>
  <c r="X20" i="32" s="1"/>
  <c r="AP19" i="32" a="1"/>
  <c r="AP19" i="32" s="1"/>
  <c r="F45" i="37" s="1"/>
  <c r="X19" i="32" a="1"/>
  <c r="X19" i="32" s="1"/>
  <c r="AA11" i="32" s="1"/>
  <c r="AP18" i="32" a="1"/>
  <c r="AP18" i="32" s="1"/>
  <c r="G45" i="37" s="1"/>
  <c r="H45" i="37" s="1"/>
  <c r="AF18" i="32" a="1"/>
  <c r="AF18" i="32" s="1"/>
  <c r="X18" i="32" a="1"/>
  <c r="X18" i="32" s="1"/>
  <c r="Y19" i="32" s="1"/>
  <c r="AP17" i="32" a="1"/>
  <c r="AP17" i="32" s="1"/>
  <c r="F43" i="37" s="1"/>
  <c r="AF17" i="32" a="1"/>
  <c r="AF17" i="32" s="1"/>
  <c r="X17" i="32" a="1"/>
  <c r="X17" i="32" s="1"/>
  <c r="AP16" i="32" a="1"/>
  <c r="AP16" i="32" s="1"/>
  <c r="G43" i="37" s="1"/>
  <c r="H43" i="37" s="1"/>
  <c r="AF16" i="32" a="1"/>
  <c r="AF16" i="32" s="1"/>
  <c r="AF15" i="32" a="1"/>
  <c r="AF15" i="32" s="1"/>
  <c r="X15" i="32" a="1"/>
  <c r="X15" i="32" s="1"/>
  <c r="Y15" i="32" s="1"/>
  <c r="AC9" i="32" s="1"/>
  <c r="G61" i="22" s="1"/>
  <c r="AF14" i="32" a="1"/>
  <c r="AF14" i="32" s="1"/>
  <c r="X14" i="32" a="1"/>
  <c r="X14" i="32" s="1"/>
  <c r="AF13" i="32"/>
  <c r="X13" i="32" a="1"/>
  <c r="X13" i="32" s="1"/>
  <c r="Y13" i="32" s="1"/>
  <c r="AC8" i="32" s="1"/>
  <c r="G60" i="22" s="1"/>
  <c r="AF12" i="32" a="1"/>
  <c r="AF12" i="32" s="1"/>
  <c r="B32" i="37" s="1"/>
  <c r="AF11" i="32" a="1"/>
  <c r="AF11" i="32" s="1"/>
  <c r="Y11" i="32"/>
  <c r="AC7" i="32" s="1"/>
  <c r="AF10" i="32" a="1"/>
  <c r="AF10" i="32" s="1"/>
  <c r="Y10" i="32"/>
  <c r="AC6" i="32" s="1"/>
  <c r="AF9" i="32" a="1"/>
  <c r="AF9" i="32" s="1"/>
  <c r="AA9" i="32"/>
  <c r="Y9" i="32"/>
  <c r="Y8" i="32" s="1"/>
  <c r="AC5" i="32" s="1"/>
  <c r="AB7" i="32"/>
  <c r="AA7" i="32"/>
  <c r="AF6" i="32" a="1"/>
  <c r="AF6" i="32" s="1"/>
  <c r="AB6" i="32"/>
  <c r="Y6" i="32"/>
  <c r="AC4" i="32" s="1"/>
  <c r="AF5" i="32"/>
  <c r="AA5" i="32"/>
  <c r="AB5" i="32" s="1"/>
  <c r="AB4" i="32"/>
  <c r="X4" i="32" a="1"/>
  <c r="X4" i="32" s="1"/>
  <c r="Y4" i="32" s="1"/>
  <c r="AC3" i="32" s="1"/>
  <c r="AF3" i="32"/>
  <c r="N3" i="32"/>
  <c r="N4" i="32" s="1"/>
  <c r="I137" i="27"/>
  <c r="I138" i="27" s="1"/>
  <c r="I135" i="27"/>
  <c r="AC148" i="21" s="1"/>
  <c r="M129" i="27"/>
  <c r="G124" i="27" s="1"/>
  <c r="M128" i="27"/>
  <c r="G123" i="27" s="1"/>
  <c r="M127" i="27"/>
  <c r="G122" i="27" s="1"/>
  <c r="M126" i="27"/>
  <c r="G121" i="27" s="1"/>
  <c r="M125" i="27"/>
  <c r="G120" i="27" s="1"/>
  <c r="M124" i="27"/>
  <c r="G119" i="27" s="1"/>
  <c r="M123" i="27"/>
  <c r="G118" i="27" s="1"/>
  <c r="B121" i="27"/>
  <c r="A121" i="27"/>
  <c r="B120" i="27"/>
  <c r="B119" i="27"/>
  <c r="B118" i="27"/>
  <c r="A90" i="27"/>
  <c r="B83" i="27"/>
  <c r="C83" i="27" s="1" a="1"/>
  <c r="C83" i="27" s="1"/>
  <c r="A83" i="27"/>
  <c r="H9" i="27"/>
  <c r="K1" i="27"/>
  <c r="B69" i="37" a="1"/>
  <c r="B69" i="37" s="1"/>
  <c r="C69" i="37" s="1"/>
  <c r="A69" i="37"/>
  <c r="B68" i="37" a="1"/>
  <c r="B68" i="37" s="1"/>
  <c r="A68" i="37" a="1"/>
  <c r="A68" i="37" s="1"/>
  <c r="D68" i="37" s="1"/>
  <c r="G67" i="37" a="1"/>
  <c r="G67" i="37" s="1"/>
  <c r="F67" i="37"/>
  <c r="B67" i="37" a="1"/>
  <c r="B67" i="37" s="1"/>
  <c r="C67" i="37" s="1"/>
  <c r="A67" i="37" a="1"/>
  <c r="A67" i="37" s="1"/>
  <c r="A120" i="27" s="1"/>
  <c r="G66" i="37" a="1"/>
  <c r="G66" i="37" s="1"/>
  <c r="F66" i="37"/>
  <c r="B66" i="37" a="1"/>
  <c r="B66" i="37" s="1"/>
  <c r="C66" i="37" s="1"/>
  <c r="G65" i="37" a="1"/>
  <c r="G65" i="37" s="1"/>
  <c r="F65" i="37"/>
  <c r="B65" i="37" a="1"/>
  <c r="B65" i="37" s="1"/>
  <c r="G64" i="37" a="1"/>
  <c r="G64" i="37" s="1"/>
  <c r="F64" i="37"/>
  <c r="C64" i="37"/>
  <c r="G63" i="37" a="1"/>
  <c r="G63" i="37" s="1"/>
  <c r="F63" i="37"/>
  <c r="C63" i="37"/>
  <c r="F62" i="37"/>
  <c r="C62" i="37"/>
  <c r="C61" i="37"/>
  <c r="C60" i="37"/>
  <c r="G59" i="37"/>
  <c r="C54" i="37"/>
  <c r="C53" i="37"/>
  <c r="C52" i="37"/>
  <c r="C51" i="37"/>
  <c r="C50" i="37"/>
  <c r="C49" i="37"/>
  <c r="I48" i="37"/>
  <c r="C48" i="37"/>
  <c r="C47" i="37"/>
  <c r="C46" i="37"/>
  <c r="C45" i="37"/>
  <c r="G44" i="37" a="1"/>
  <c r="G44" i="37" s="1"/>
  <c r="H44" i="37" s="1"/>
  <c r="C44" i="37"/>
  <c r="C43" i="37"/>
  <c r="H42" i="37"/>
  <c r="C42" i="37"/>
  <c r="C41" i="37"/>
  <c r="C40" i="37"/>
  <c r="C39" i="37"/>
  <c r="G37" i="37" a="1"/>
  <c r="G37" i="37" s="1"/>
  <c r="G36" i="37" a="1"/>
  <c r="G36" i="37" s="1"/>
  <c r="H36" i="37" s="1"/>
  <c r="I36" i="37" s="1"/>
  <c r="G35" i="37" a="1"/>
  <c r="G35" i="37" s="1"/>
  <c r="H35" i="37" s="1"/>
  <c r="B33" i="37" a="1"/>
  <c r="B33" i="37" s="1"/>
  <c r="G31" i="37" a="1"/>
  <c r="G31" i="37" s="1"/>
  <c r="H31" i="37" s="1"/>
  <c r="I31" i="37" s="1"/>
  <c r="H24" i="37"/>
  <c r="H23" i="37"/>
  <c r="H21" i="37"/>
  <c r="H20" i="37"/>
  <c r="H19" i="37"/>
  <c r="H18" i="37"/>
  <c r="H17" i="37"/>
  <c r="H16" i="37"/>
  <c r="H15" i="37"/>
  <c r="H14" i="37"/>
  <c r="H13" i="37"/>
  <c r="H12" i="37"/>
  <c r="H11" i="37"/>
  <c r="D3" i="37"/>
  <c r="I2" i="37"/>
  <c r="C1" i="37"/>
  <c r="D121" i="36"/>
  <c r="H56" i="37" s="1"/>
  <c r="D120" i="36"/>
  <c r="H55" i="37" s="1"/>
  <c r="I55" i="37" s="1"/>
  <c r="D119" i="36"/>
  <c r="H54" i="37" s="1"/>
  <c r="I54" i="37" s="1"/>
  <c r="D118" i="36"/>
  <c r="H53" i="37" s="1"/>
  <c r="I53" i="37" s="1"/>
  <c r="D117" i="36"/>
  <c r="H52" i="37" s="1"/>
  <c r="I52" i="37" s="1"/>
  <c r="D116" i="36"/>
  <c r="H51" i="37" s="1"/>
  <c r="I51" i="37" s="1"/>
  <c r="B64" i="36" a="1"/>
  <c r="B64" i="36" s="1"/>
  <c r="B62" i="36" a="1"/>
  <c r="B62" i="36" s="1"/>
  <c r="B61" i="36" a="1"/>
  <c r="B61" i="36" s="1"/>
  <c r="B60" i="36" a="1"/>
  <c r="B60" i="36" s="1"/>
  <c r="D202" i="21"/>
  <c r="D201" i="21"/>
  <c r="D200" i="21"/>
  <c r="D199" i="21"/>
  <c r="D198" i="21"/>
  <c r="Z197" i="21"/>
  <c r="D197" i="21"/>
  <c r="Z196" i="21"/>
  <c r="D196" i="21"/>
  <c r="Z195" i="21"/>
  <c r="D195" i="21"/>
  <c r="Z194" i="21"/>
  <c r="D194" i="21"/>
  <c r="Z193" i="21"/>
  <c r="D193" i="21"/>
  <c r="Z192" i="21"/>
  <c r="D192" i="21"/>
  <c r="Z191" i="21"/>
  <c r="D191" i="21"/>
  <c r="Z190" i="21"/>
  <c r="D190" i="21"/>
  <c r="Z189" i="21"/>
  <c r="D189" i="21"/>
  <c r="Z188" i="21"/>
  <c r="D188" i="21"/>
  <c r="Z187" i="21"/>
  <c r="D187" i="21"/>
  <c r="Z186" i="21"/>
  <c r="D186" i="21"/>
  <c r="Z185" i="21"/>
  <c r="D185" i="21"/>
  <c r="Z184" i="21"/>
  <c r="D184" i="21"/>
  <c r="Z183" i="21"/>
  <c r="D183" i="21"/>
  <c r="Z182" i="21"/>
  <c r="D182" i="21"/>
  <c r="Z181" i="21"/>
  <c r="D181" i="21"/>
  <c r="Z180" i="21"/>
  <c r="D180" i="21"/>
  <c r="Z179" i="21"/>
  <c r="D179" i="21"/>
  <c r="Z178" i="21"/>
  <c r="D178" i="21"/>
  <c r="Z177" i="21"/>
  <c r="D177" i="21"/>
  <c r="Z176" i="21"/>
  <c r="D176" i="21"/>
  <c r="Z175" i="21"/>
  <c r="D175" i="21"/>
  <c r="Z174" i="21"/>
  <c r="D174" i="21"/>
  <c r="Z173" i="21"/>
  <c r="D173" i="21"/>
  <c r="Z172" i="21"/>
  <c r="D172" i="21"/>
  <c r="Z171" i="21"/>
  <c r="D171" i="21"/>
  <c r="Z170" i="21"/>
  <c r="D170" i="21"/>
  <c r="Z169" i="21"/>
  <c r="D169" i="21"/>
  <c r="Z168" i="21"/>
  <c r="D168" i="21"/>
  <c r="Z167" i="21"/>
  <c r="D167" i="21"/>
  <c r="Z166" i="21"/>
  <c r="D166" i="21"/>
  <c r="Z165" i="21"/>
  <c r="D165" i="21"/>
  <c r="Z164" i="21"/>
  <c r="D164" i="21"/>
  <c r="Z163" i="21"/>
  <c r="D163" i="21"/>
  <c r="Z162" i="21"/>
  <c r="D162" i="21"/>
  <c r="Z161" i="21"/>
  <c r="D161" i="21"/>
  <c r="Z160" i="21"/>
  <c r="D160" i="21"/>
  <c r="Z159" i="21"/>
  <c r="D159" i="21"/>
  <c r="Z158" i="21"/>
  <c r="D158" i="21"/>
  <c r="Z157" i="21"/>
  <c r="D157" i="21"/>
  <c r="Z156" i="21"/>
  <c r="D156" i="21"/>
  <c r="Z155" i="21"/>
  <c r="D155" i="21"/>
  <c r="Z154" i="21"/>
  <c r="D154" i="21"/>
  <c r="Z153" i="21"/>
  <c r="D153" i="21"/>
  <c r="Z152" i="21"/>
  <c r="D152" i="21"/>
  <c r="Z151" i="21"/>
  <c r="D151" i="21"/>
  <c r="Z150" i="21"/>
  <c r="D150" i="21"/>
  <c r="Z149" i="21"/>
  <c r="D149" i="21"/>
  <c r="Z148" i="21"/>
  <c r="D148" i="21"/>
  <c r="Z147" i="21"/>
  <c r="D147" i="21"/>
  <c r="Z146" i="21"/>
  <c r="D146" i="21"/>
  <c r="Z145" i="21"/>
  <c r="D145" i="21"/>
  <c r="Z144" i="21"/>
  <c r="D144" i="21"/>
  <c r="Z143" i="21"/>
  <c r="D143" i="21"/>
  <c r="Z142" i="21"/>
  <c r="D142" i="21"/>
  <c r="Z141" i="21"/>
  <c r="D141" i="21"/>
  <c r="Z140" i="21"/>
  <c r="D140" i="21"/>
  <c r="Z139" i="21"/>
  <c r="D139" i="21"/>
  <c r="Z138" i="21"/>
  <c r="D138" i="21"/>
  <c r="Z137" i="21"/>
  <c r="D137" i="21"/>
  <c r="Z136" i="21"/>
  <c r="D136" i="21"/>
  <c r="Z135" i="21"/>
  <c r="D135" i="21"/>
  <c r="Z134" i="21"/>
  <c r="D134" i="21"/>
  <c r="Z133" i="21"/>
  <c r="D133" i="21"/>
  <c r="Z132" i="21"/>
  <c r="D132" i="21"/>
  <c r="Z131" i="21"/>
  <c r="D131" i="21"/>
  <c r="Z130" i="21"/>
  <c r="D130" i="21"/>
  <c r="Z129" i="21"/>
  <c r="D129" i="21"/>
  <c r="Z128" i="21"/>
  <c r="D128" i="21"/>
  <c r="Z127" i="21"/>
  <c r="D127" i="21"/>
  <c r="Z126" i="21"/>
  <c r="D126" i="21"/>
  <c r="Z125" i="21"/>
  <c r="D125" i="21"/>
  <c r="Z124" i="21"/>
  <c r="D124" i="21"/>
  <c r="Z123" i="21"/>
  <c r="D123" i="21"/>
  <c r="Z122" i="21"/>
  <c r="D122" i="21"/>
  <c r="Z121" i="21"/>
  <c r="D121" i="21"/>
  <c r="Z120" i="21"/>
  <c r="D120" i="21"/>
  <c r="Z119" i="21"/>
  <c r="D119" i="21"/>
  <c r="Z118" i="21"/>
  <c r="D118" i="21"/>
  <c r="Z117" i="21"/>
  <c r="D117" i="21"/>
  <c r="Z116" i="21"/>
  <c r="D116" i="21"/>
  <c r="AK115" i="21"/>
  <c r="Z115" i="21"/>
  <c r="D115" i="21"/>
  <c r="AK114" i="21"/>
  <c r="Z114" i="21"/>
  <c r="D114" i="21"/>
  <c r="AK113" i="21"/>
  <c r="Z113" i="21"/>
  <c r="D113" i="21"/>
  <c r="AK112" i="21"/>
  <c r="Z112" i="21"/>
  <c r="D112" i="21"/>
  <c r="AK111" i="21"/>
  <c r="Z111" i="21"/>
  <c r="D111" i="21"/>
  <c r="AK110" i="21"/>
  <c r="Z110" i="21"/>
  <c r="O110" i="21"/>
  <c r="D110" i="21"/>
  <c r="AK109" i="21"/>
  <c r="Z109" i="21"/>
  <c r="O109" i="21"/>
  <c r="D109" i="21"/>
  <c r="AK108" i="21"/>
  <c r="Z108" i="21"/>
  <c r="O108" i="21"/>
  <c r="D108" i="21"/>
  <c r="AK107" i="21"/>
  <c r="Z107" i="21"/>
  <c r="O107" i="21"/>
  <c r="D107" i="21"/>
  <c r="AK106" i="21"/>
  <c r="Z106" i="21"/>
  <c r="O106" i="21"/>
  <c r="D106" i="21"/>
  <c r="AK105" i="21"/>
  <c r="Z105" i="21"/>
  <c r="O105" i="21"/>
  <c r="D105" i="21"/>
  <c r="AK104" i="21"/>
  <c r="Z104" i="21"/>
  <c r="O104" i="21"/>
  <c r="D104" i="21"/>
  <c r="AK103" i="21"/>
  <c r="Z103" i="21"/>
  <c r="O103" i="21"/>
  <c r="D103" i="21"/>
  <c r="AK102" i="21"/>
  <c r="Z102" i="21"/>
  <c r="O102" i="21"/>
  <c r="D102" i="21"/>
  <c r="AV101" i="21"/>
  <c r="AK101" i="21"/>
  <c r="Z101" i="21"/>
  <c r="O101" i="21"/>
  <c r="D101" i="21"/>
  <c r="AV100" i="21"/>
  <c r="AK100" i="21"/>
  <c r="Z100" i="21"/>
  <c r="O100" i="21"/>
  <c r="D100" i="21"/>
  <c r="AV99" i="21"/>
  <c r="AK99" i="21"/>
  <c r="Z99" i="21"/>
  <c r="O99" i="21"/>
  <c r="D99" i="21"/>
  <c r="AV98" i="21"/>
  <c r="AK98" i="21"/>
  <c r="Z98" i="21"/>
  <c r="O98" i="21"/>
  <c r="D98" i="21"/>
  <c r="AV97" i="21"/>
  <c r="AK97" i="21"/>
  <c r="Z97" i="21"/>
  <c r="O97" i="21"/>
  <c r="D97" i="21"/>
  <c r="AV96" i="21"/>
  <c r="AK96" i="21"/>
  <c r="Z96" i="21"/>
  <c r="O96" i="21"/>
  <c r="D96" i="21"/>
  <c r="AV95" i="21"/>
  <c r="AK95" i="21"/>
  <c r="Z95" i="21"/>
  <c r="O95" i="21"/>
  <c r="D95" i="21"/>
  <c r="AV94" i="21"/>
  <c r="AK94" i="21"/>
  <c r="Z94" i="21"/>
  <c r="O94" i="21"/>
  <c r="D94" i="21"/>
  <c r="AV93" i="21"/>
  <c r="AK93" i="21"/>
  <c r="Z93" i="21"/>
  <c r="O93" i="21"/>
  <c r="D93" i="21"/>
  <c r="AV92" i="21"/>
  <c r="AK92" i="21"/>
  <c r="Z92" i="21"/>
  <c r="O92" i="21"/>
  <c r="D92" i="21"/>
  <c r="AV91" i="21"/>
  <c r="AK91" i="21"/>
  <c r="Z91" i="21"/>
  <c r="O91" i="21"/>
  <c r="D91" i="21"/>
  <c r="AV90" i="21"/>
  <c r="AK90" i="21"/>
  <c r="Z90" i="21"/>
  <c r="O90" i="21"/>
  <c r="D90" i="21"/>
  <c r="AV89" i="21"/>
  <c r="AK89" i="21"/>
  <c r="Z89" i="21"/>
  <c r="O89" i="21"/>
  <c r="D89" i="21"/>
  <c r="AV88" i="21"/>
  <c r="AK88" i="21"/>
  <c r="Z88" i="21"/>
  <c r="O88" i="21"/>
  <c r="D88" i="21"/>
  <c r="AV87" i="21"/>
  <c r="AK87" i="21"/>
  <c r="Z87" i="21"/>
  <c r="O87" i="21"/>
  <c r="D87" i="21"/>
  <c r="AV86" i="21"/>
  <c r="AK86" i="21"/>
  <c r="Z86" i="21"/>
  <c r="O86" i="21"/>
  <c r="D86" i="21"/>
  <c r="AV85" i="21"/>
  <c r="AK85" i="21"/>
  <c r="Z85" i="21"/>
  <c r="O85" i="21"/>
  <c r="D85" i="21"/>
  <c r="AV84" i="21"/>
  <c r="AK84" i="21"/>
  <c r="Z84" i="21"/>
  <c r="O84" i="21"/>
  <c r="D84" i="21"/>
  <c r="AV83" i="21"/>
  <c r="AK83" i="21"/>
  <c r="Z83" i="21"/>
  <c r="O83" i="21"/>
  <c r="D83" i="21"/>
  <c r="AV82" i="21"/>
  <c r="AK82" i="21"/>
  <c r="Z82" i="21"/>
  <c r="O82" i="21"/>
  <c r="D82" i="21"/>
  <c r="AV81" i="21"/>
  <c r="AK81" i="21"/>
  <c r="Z81" i="21"/>
  <c r="O81" i="21"/>
  <c r="D81" i="21"/>
  <c r="AV80" i="21"/>
  <c r="AK80" i="21"/>
  <c r="Z80" i="21"/>
  <c r="O80" i="21"/>
  <c r="D80" i="21"/>
  <c r="AV79" i="21"/>
  <c r="AK79" i="21"/>
  <c r="Z79" i="21"/>
  <c r="O79" i="21"/>
  <c r="D79" i="21"/>
  <c r="AV78" i="21"/>
  <c r="AK78" i="21"/>
  <c r="Z78" i="21"/>
  <c r="O78" i="21"/>
  <c r="D78" i="21"/>
  <c r="AV77" i="21"/>
  <c r="AK77" i="21"/>
  <c r="Z77" i="21"/>
  <c r="O77" i="21"/>
  <c r="D77" i="21"/>
  <c r="AV76" i="21"/>
  <c r="AK76" i="21"/>
  <c r="Z76" i="21"/>
  <c r="O76" i="21"/>
  <c r="D76" i="21"/>
  <c r="AV75" i="21"/>
  <c r="AK75" i="21"/>
  <c r="Z75" i="21"/>
  <c r="O75" i="21"/>
  <c r="D75" i="21"/>
  <c r="AV74" i="21"/>
  <c r="AK74" i="21"/>
  <c r="Z74" i="21"/>
  <c r="O74" i="21"/>
  <c r="D74" i="21"/>
  <c r="AV73" i="21"/>
  <c r="AK73" i="21"/>
  <c r="Z73" i="21"/>
  <c r="O73" i="21"/>
  <c r="D73" i="21"/>
  <c r="AV72" i="21"/>
  <c r="AK72" i="21"/>
  <c r="Z72" i="21"/>
  <c r="O72" i="21"/>
  <c r="D72" i="21"/>
  <c r="AV71" i="21"/>
  <c r="AK71" i="21"/>
  <c r="Z71" i="21"/>
  <c r="O71" i="21"/>
  <c r="D71" i="21"/>
  <c r="AV70" i="21"/>
  <c r="AK70" i="21"/>
  <c r="Z70" i="21"/>
  <c r="O70" i="21"/>
  <c r="D70" i="21"/>
  <c r="AV69" i="21"/>
  <c r="AK69" i="21"/>
  <c r="Z69" i="21"/>
  <c r="O69" i="21"/>
  <c r="D69" i="21"/>
  <c r="AV68" i="21"/>
  <c r="AK68" i="21"/>
  <c r="Z68" i="21"/>
  <c r="O68" i="21"/>
  <c r="D68" i="21"/>
  <c r="AV67" i="21"/>
  <c r="AK67" i="21"/>
  <c r="Z67" i="21"/>
  <c r="O67" i="21"/>
  <c r="D67" i="21"/>
  <c r="AV66" i="21"/>
  <c r="AK66" i="21"/>
  <c r="Z66" i="21"/>
  <c r="O66" i="21"/>
  <c r="D66" i="21"/>
  <c r="AV65" i="21"/>
  <c r="AK65" i="21"/>
  <c r="Z65" i="21"/>
  <c r="O65" i="21"/>
  <c r="D65" i="21"/>
  <c r="AV64" i="21"/>
  <c r="AK64" i="21"/>
  <c r="Z64" i="21"/>
  <c r="O64" i="21"/>
  <c r="D64" i="21"/>
  <c r="AV63" i="21"/>
  <c r="AK63" i="21"/>
  <c r="Z63" i="21"/>
  <c r="O63" i="21"/>
  <c r="D63" i="21"/>
  <c r="AV62" i="21"/>
  <c r="AK62" i="21"/>
  <c r="Z62" i="21"/>
  <c r="O62" i="21"/>
  <c r="D62" i="21"/>
  <c r="AV61" i="21"/>
  <c r="AK61" i="21"/>
  <c r="Z61" i="21"/>
  <c r="O61" i="21"/>
  <c r="D61" i="21"/>
  <c r="AV60" i="21"/>
  <c r="AK60" i="21"/>
  <c r="Z60" i="21"/>
  <c r="O60" i="21"/>
  <c r="D60" i="21"/>
  <c r="AV59" i="21"/>
  <c r="AK59" i="21"/>
  <c r="Z59" i="21"/>
  <c r="O59" i="21"/>
  <c r="D59" i="21"/>
  <c r="AV58" i="21"/>
  <c r="AK58" i="21"/>
  <c r="Z58" i="21"/>
  <c r="O58" i="21"/>
  <c r="D58" i="21"/>
  <c r="AV57" i="21"/>
  <c r="AK57" i="21"/>
  <c r="Z57" i="21"/>
  <c r="O57" i="21"/>
  <c r="D57" i="21"/>
  <c r="AV56" i="21"/>
  <c r="AK56" i="21"/>
  <c r="Z56" i="21"/>
  <c r="O56" i="21"/>
  <c r="D56" i="21"/>
  <c r="AV55" i="21"/>
  <c r="AK55" i="21"/>
  <c r="Z55" i="21"/>
  <c r="O55" i="21"/>
  <c r="D55" i="21"/>
  <c r="AV54" i="21"/>
  <c r="AK54" i="21"/>
  <c r="Z54" i="21"/>
  <c r="O54" i="21"/>
  <c r="D54" i="21"/>
  <c r="AV53" i="21"/>
  <c r="AK53" i="21"/>
  <c r="Z53" i="21"/>
  <c r="O53" i="21"/>
  <c r="D53" i="21"/>
  <c r="AV52" i="21"/>
  <c r="AK52" i="21"/>
  <c r="Z52" i="21"/>
  <c r="O52" i="21"/>
  <c r="D52" i="21"/>
  <c r="AV51" i="21"/>
  <c r="AK51" i="21"/>
  <c r="Z51" i="21"/>
  <c r="O51" i="21"/>
  <c r="D51" i="21"/>
  <c r="AV50" i="21"/>
  <c r="AK50" i="21"/>
  <c r="Z50" i="21"/>
  <c r="O50" i="21"/>
  <c r="D50" i="21"/>
  <c r="AV49" i="21"/>
  <c r="AK49" i="21"/>
  <c r="Z49" i="21"/>
  <c r="O49" i="21"/>
  <c r="D49" i="21"/>
  <c r="AV48" i="21"/>
  <c r="AK48" i="21"/>
  <c r="Z48" i="21"/>
  <c r="O48" i="21"/>
  <c r="D48" i="21"/>
  <c r="AV47" i="21"/>
  <c r="AK47" i="21"/>
  <c r="Z47" i="21"/>
  <c r="O47" i="21"/>
  <c r="D47" i="21"/>
  <c r="AV46" i="21"/>
  <c r="AK46" i="21"/>
  <c r="Z46" i="21"/>
  <c r="O46" i="21"/>
  <c r="D46" i="21"/>
  <c r="AV45" i="21"/>
  <c r="AK45" i="21"/>
  <c r="Z45" i="21"/>
  <c r="O45" i="21"/>
  <c r="D45" i="21"/>
  <c r="AV44" i="21"/>
  <c r="AK44" i="21"/>
  <c r="Z44" i="21"/>
  <c r="O44" i="21"/>
  <c r="D44" i="21"/>
  <c r="AV43" i="21"/>
  <c r="AK43" i="21"/>
  <c r="Z43" i="21"/>
  <c r="O43" i="21"/>
  <c r="D43" i="21"/>
  <c r="AV42" i="21"/>
  <c r="AK42" i="21"/>
  <c r="Z42" i="21"/>
  <c r="O42" i="21"/>
  <c r="D42" i="21"/>
  <c r="AV41" i="21"/>
  <c r="AK41" i="21"/>
  <c r="Z41" i="21"/>
  <c r="O41" i="21"/>
  <c r="D41" i="21"/>
  <c r="AV40" i="21"/>
  <c r="AK40" i="21"/>
  <c r="Z40" i="21"/>
  <c r="O40" i="21"/>
  <c r="D40" i="21"/>
  <c r="AV39" i="21"/>
  <c r="AK39" i="21"/>
  <c r="Z39" i="21"/>
  <c r="O39" i="21"/>
  <c r="D39" i="21"/>
  <c r="AV38" i="21"/>
  <c r="AK38" i="21"/>
  <c r="Z38" i="21"/>
  <c r="O38" i="21"/>
  <c r="D38" i="21"/>
  <c r="AV37" i="21"/>
  <c r="AK37" i="21"/>
  <c r="Z37" i="21"/>
  <c r="O37" i="21"/>
  <c r="D37" i="21"/>
  <c r="AV36" i="21"/>
  <c r="AK36" i="21"/>
  <c r="Z36" i="21"/>
  <c r="O36" i="21"/>
  <c r="D36" i="21"/>
  <c r="AV35" i="21"/>
  <c r="AK35" i="21"/>
  <c r="Z35" i="21"/>
  <c r="O35" i="21"/>
  <c r="D35" i="21"/>
  <c r="AV34" i="21"/>
  <c r="AK34" i="21"/>
  <c r="Z34" i="21"/>
  <c r="O34" i="21"/>
  <c r="D34" i="21"/>
  <c r="AV33" i="21"/>
  <c r="AK33" i="21"/>
  <c r="Z33" i="21"/>
  <c r="O33" i="21"/>
  <c r="D33" i="21"/>
  <c r="AV32" i="21"/>
  <c r="AK32" i="21"/>
  <c r="Z32" i="21"/>
  <c r="O32" i="21"/>
  <c r="D32" i="21"/>
  <c r="AV31" i="21"/>
  <c r="AK31" i="21"/>
  <c r="Z31" i="21"/>
  <c r="O31" i="21"/>
  <c r="D31" i="21"/>
  <c r="AV30" i="21"/>
  <c r="AK30" i="21"/>
  <c r="Z30" i="21"/>
  <c r="O30" i="21"/>
  <c r="D30" i="21"/>
  <c r="AV29" i="21"/>
  <c r="AK29" i="21"/>
  <c r="Z29" i="21"/>
  <c r="O29" i="21"/>
  <c r="D29" i="21"/>
  <c r="AV28" i="21"/>
  <c r="AK28" i="21"/>
  <c r="Z28" i="21"/>
  <c r="O28" i="21"/>
  <c r="D28" i="21"/>
  <c r="AV27" i="21"/>
  <c r="AK27" i="21"/>
  <c r="Z27" i="21"/>
  <c r="O27" i="21"/>
  <c r="D27" i="21"/>
  <c r="AV26" i="21"/>
  <c r="AK26" i="21"/>
  <c r="Z26" i="21"/>
  <c r="O26" i="21"/>
  <c r="D26" i="21"/>
  <c r="AV25" i="21"/>
  <c r="AK25" i="21"/>
  <c r="Z25" i="21"/>
  <c r="O25" i="21"/>
  <c r="D25" i="21"/>
  <c r="AV24" i="21"/>
  <c r="AK24" i="21"/>
  <c r="Z24" i="21"/>
  <c r="O24" i="21"/>
  <c r="D24" i="21"/>
  <c r="AV23" i="21"/>
  <c r="AK23" i="21"/>
  <c r="Z23" i="21"/>
  <c r="O23" i="21"/>
  <c r="D23" i="21"/>
  <c r="AV22" i="21"/>
  <c r="AK22" i="21"/>
  <c r="Z22" i="21"/>
  <c r="O22" i="21"/>
  <c r="D22" i="21"/>
  <c r="AV21" i="21"/>
  <c r="AK21" i="21"/>
  <c r="Z21" i="21"/>
  <c r="O21" i="21"/>
  <c r="D21" i="21"/>
  <c r="AV20" i="21"/>
  <c r="AK20" i="21"/>
  <c r="Z20" i="21"/>
  <c r="O20" i="21"/>
  <c r="D20" i="21"/>
  <c r="AV19" i="21"/>
  <c r="AK19" i="21"/>
  <c r="Z19" i="21"/>
  <c r="O19" i="21"/>
  <c r="D19" i="21"/>
  <c r="BJ18" i="21"/>
  <c r="BF18" i="21"/>
  <c r="AV18" i="21"/>
  <c r="AK18" i="21"/>
  <c r="Z18" i="21"/>
  <c r="O18" i="21"/>
  <c r="D18" i="21"/>
  <c r="BJ17" i="21"/>
  <c r="BF17" i="21"/>
  <c r="AV17" i="21"/>
  <c r="AK17" i="21"/>
  <c r="Z17" i="21"/>
  <c r="O17" i="21"/>
  <c r="D17" i="21"/>
  <c r="BJ16" i="21"/>
  <c r="BF16" i="21"/>
  <c r="AV16" i="21"/>
  <c r="AK16" i="21"/>
  <c r="Z16" i="21"/>
  <c r="O16" i="21"/>
  <c r="D16" i="21"/>
  <c r="BJ15" i="21"/>
  <c r="BF15" i="21"/>
  <c r="AV15" i="21"/>
  <c r="AK15" i="21"/>
  <c r="Z15" i="21"/>
  <c r="O15" i="21"/>
  <c r="D15" i="21"/>
  <c r="BJ14" i="21"/>
  <c r="BF14" i="21"/>
  <c r="AV14" i="21"/>
  <c r="AK14" i="21"/>
  <c r="Z14" i="21"/>
  <c r="O14" i="21"/>
  <c r="D14" i="21"/>
  <c r="BJ13" i="21"/>
  <c r="BF13" i="21"/>
  <c r="AV13" i="21"/>
  <c r="AK13" i="21"/>
  <c r="Z13" i="21"/>
  <c r="O13" i="21"/>
  <c r="D13" i="21"/>
  <c r="BJ12" i="21"/>
  <c r="BF12" i="21"/>
  <c r="AV12" i="21"/>
  <c r="AK12" i="21"/>
  <c r="Z12" i="21"/>
  <c r="O12" i="21"/>
  <c r="D12" i="21"/>
  <c r="BJ11" i="21"/>
  <c r="BF11" i="21"/>
  <c r="AV11" i="21"/>
  <c r="AK11" i="21"/>
  <c r="Z11" i="21"/>
  <c r="O11" i="21"/>
  <c r="D11" i="21"/>
  <c r="BJ10" i="21"/>
  <c r="BF10" i="21"/>
  <c r="AV10" i="21"/>
  <c r="AK10" i="21"/>
  <c r="Z10" i="21"/>
  <c r="O10" i="21"/>
  <c r="D10" i="21"/>
  <c r="BJ9" i="21"/>
  <c r="BF9" i="21"/>
  <c r="AV9" i="21"/>
  <c r="AK9" i="21"/>
  <c r="Z9" i="21"/>
  <c r="O9" i="21"/>
  <c r="D9" i="21"/>
  <c r="F209" i="40"/>
  <c r="D175" i="40"/>
  <c r="C174" i="40"/>
  <c r="C173" i="40"/>
  <c r="E146" i="40"/>
  <c r="E145" i="40"/>
  <c r="E144" i="40"/>
  <c r="E143" i="40"/>
  <c r="E142" i="40"/>
  <c r="E34" i="40"/>
  <c r="C34" i="40"/>
  <c r="E33" i="40"/>
  <c r="C33" i="40"/>
  <c r="E32" i="40"/>
  <c r="C32" i="40"/>
  <c r="E31" i="40"/>
  <c r="C31" i="40"/>
  <c r="C31" i="37" s="1"/>
  <c r="E30" i="40"/>
  <c r="C30" i="40"/>
  <c r="C27" i="37" s="1"/>
  <c r="E29" i="40"/>
  <c r="C29" i="40"/>
  <c r="C30" i="37" s="1"/>
  <c r="D30" i="37" s="1"/>
  <c r="E28" i="40"/>
  <c r="C28" i="40"/>
  <c r="C29" i="37" s="1"/>
  <c r="D29" i="37" s="1"/>
  <c r="E27" i="40"/>
  <c r="C27" i="40"/>
  <c r="C28" i="37" s="1"/>
  <c r="D28" i="37" s="1"/>
  <c r="E26" i="40"/>
  <c r="C26" i="40"/>
  <c r="C26" i="37" s="1"/>
  <c r="E25" i="40"/>
  <c r="C25" i="40"/>
  <c r="C25" i="37" s="1"/>
  <c r="E24" i="40"/>
  <c r="C24" i="40"/>
  <c r="C24" i="37" s="1"/>
  <c r="E23" i="40"/>
  <c r="C23" i="40"/>
  <c r="C23" i="37" s="1"/>
  <c r="E22" i="40"/>
  <c r="C22" i="40"/>
  <c r="C22" i="37" s="1"/>
  <c r="E21" i="40"/>
  <c r="C21" i="40"/>
  <c r="C21" i="37" s="1"/>
  <c r="E20" i="40"/>
  <c r="C20" i="40"/>
  <c r="C20" i="37" s="1"/>
  <c r="E19" i="40"/>
  <c r="C19" i="40" s="1"/>
  <c r="C19" i="37" s="1"/>
  <c r="E18" i="40"/>
  <c r="C18" i="40"/>
  <c r="C18" i="37" s="1"/>
  <c r="E17" i="40"/>
  <c r="C17" i="40"/>
  <c r="C17" i="37" s="1"/>
  <c r="E16" i="40"/>
  <c r="E15" i="40"/>
  <c r="C15" i="40"/>
  <c r="C16" i="37" s="1"/>
  <c r="Q14" i="40"/>
  <c r="P14" i="40"/>
  <c r="E14" i="40"/>
  <c r="C14" i="40"/>
  <c r="C15" i="37" s="1"/>
  <c r="Q13" i="40"/>
  <c r="P13" i="40"/>
  <c r="E13" i="40"/>
  <c r="C13" i="40"/>
  <c r="C14" i="37" s="1"/>
  <c r="Q12" i="40"/>
  <c r="P12" i="40"/>
  <c r="E12" i="40"/>
  <c r="C12" i="40" s="1"/>
  <c r="C38" i="37" s="1"/>
  <c r="D38" i="37" s="1"/>
  <c r="Q11" i="40"/>
  <c r="P11" i="40"/>
  <c r="E11" i="40"/>
  <c r="C11" i="40"/>
  <c r="C13" i="37" s="1"/>
  <c r="Q10" i="40"/>
  <c r="P10" i="40"/>
  <c r="E10" i="40"/>
  <c r="C10" i="40"/>
  <c r="C12" i="37" s="1"/>
  <c r="Q9" i="40"/>
  <c r="P9" i="40"/>
  <c r="C11" i="37"/>
  <c r="Q8" i="40"/>
  <c r="P8" i="40"/>
  <c r="E8" i="40"/>
  <c r="C8" i="40"/>
  <c r="C10" i="37" s="1"/>
  <c r="G80" i="22"/>
  <c r="G79" i="22"/>
  <c r="F78" i="22" a="1"/>
  <c r="F78" i="22" s="1"/>
  <c r="G78" i="22" s="1"/>
  <c r="F77" i="22" a="1"/>
  <c r="F77" i="22" s="1"/>
  <c r="G77" i="22" s="1"/>
  <c r="F76" i="22" a="1"/>
  <c r="F76" i="22" s="1"/>
  <c r="G76" i="22" s="1"/>
  <c r="F75" i="22" a="1"/>
  <c r="F75" i="22" s="1"/>
  <c r="G75" i="22" s="1"/>
  <c r="F74" i="22" a="1"/>
  <c r="F74" i="22" s="1"/>
  <c r="G74" i="22" s="1"/>
  <c r="B18" i="22" a="1"/>
  <c r="B18" i="22" s="1"/>
  <c r="E76" i="22" s="1"/>
  <c r="B13" i="22"/>
  <c r="K6" i="22" a="1"/>
  <c r="K6" i="22" s="1"/>
  <c r="H3" i="30" s="1"/>
  <c r="K5" i="22" a="1"/>
  <c r="K5" i="22" s="1"/>
  <c r="H2" i="30" s="1"/>
  <c r="G13" i="16"/>
  <c r="G11" i="16"/>
  <c r="E41" i="50" a="1"/>
  <c r="A34" i="39" a="1"/>
  <c r="C139" i="27" a="1"/>
  <c r="AB7" i="26" a="1"/>
  <c r="D39" i="29"/>
  <c r="E34" i="51" a="1"/>
  <c r="I56" i="16"/>
  <c r="I32" i="38" l="1"/>
  <c r="P5" i="26"/>
  <c r="S5" i="26"/>
  <c r="U5" i="26"/>
  <c r="L5" i="26"/>
  <c r="V5" i="26"/>
  <c r="F35" i="37"/>
  <c r="I35" i="37" s="1"/>
  <c r="Y5" i="26"/>
  <c r="M5" i="26"/>
  <c r="N5" i="26"/>
  <c r="AE5" i="26"/>
  <c r="R5" i="26"/>
  <c r="T5" i="26"/>
  <c r="B18" i="50"/>
  <c r="Q5" i="26"/>
  <c r="AC5" i="26"/>
  <c r="O5" i="26"/>
  <c r="W5" i="26"/>
  <c r="AF8" i="32"/>
  <c r="G85" i="21"/>
  <c r="S20" i="21"/>
  <c r="G65" i="21"/>
  <c r="AC66" i="21"/>
  <c r="AY86" i="21"/>
  <c r="AN12" i="21"/>
  <c r="AD5" i="26"/>
  <c r="AB11" i="32"/>
  <c r="F63" i="22" s="1"/>
  <c r="X5" i="26"/>
  <c r="A3" i="22"/>
  <c r="G45" i="21"/>
  <c r="Z5" i="26"/>
  <c r="AN54" i="21"/>
  <c r="AN57" i="21"/>
  <c r="AC39" i="21"/>
  <c r="AY40" i="21"/>
  <c r="AN79" i="21"/>
  <c r="G29" i="21"/>
  <c r="AN15" i="21"/>
  <c r="AC149" i="21"/>
  <c r="AN17" i="21"/>
  <c r="AN18" i="21"/>
  <c r="G32" i="21"/>
  <c r="G100" i="21"/>
  <c r="AN75" i="21"/>
  <c r="AC177" i="21"/>
  <c r="F42" i="37"/>
  <c r="I42" i="37" s="1"/>
  <c r="AY21" i="21"/>
  <c r="AY25" i="21"/>
  <c r="AC35" i="21"/>
  <c r="AC38" i="21"/>
  <c r="AN71" i="21"/>
  <c r="AN78" i="21"/>
  <c r="S92" i="21"/>
  <c r="AN93" i="21"/>
  <c r="G104" i="21"/>
  <c r="AN109" i="21"/>
  <c r="AC114" i="21"/>
  <c r="AC157" i="21"/>
  <c r="S16" i="21"/>
  <c r="S52" i="21"/>
  <c r="AN53" i="21"/>
  <c r="AY57" i="21"/>
  <c r="AC70" i="21"/>
  <c r="S73" i="21"/>
  <c r="AN74" i="21"/>
  <c r="AN82" i="21"/>
  <c r="AC102" i="21"/>
  <c r="G161" i="21"/>
  <c r="G168" i="21"/>
  <c r="S9" i="21"/>
  <c r="AN14" i="21"/>
  <c r="AC19" i="21"/>
  <c r="G22" i="21"/>
  <c r="G33" i="21"/>
  <c r="AC34" i="21"/>
  <c r="AN38" i="21"/>
  <c r="S48" i="21"/>
  <c r="S51" i="21"/>
  <c r="S69" i="21"/>
  <c r="G97" i="21"/>
  <c r="S101" i="21"/>
  <c r="G189" i="21"/>
  <c r="G192" i="21"/>
  <c r="AY14" i="21"/>
  <c r="AY45" i="21"/>
  <c r="S47" i="21"/>
  <c r="AC51" i="21"/>
  <c r="G61" i="21"/>
  <c r="G64" i="21"/>
  <c r="AY85" i="21"/>
  <c r="AY98" i="21"/>
  <c r="AC118" i="21"/>
  <c r="AC125" i="21"/>
  <c r="AC136" i="21"/>
  <c r="G173" i="21"/>
  <c r="AC189" i="21"/>
  <c r="AY10" i="21"/>
  <c r="G24" i="21"/>
  <c r="AN26" i="21"/>
  <c r="G28" i="21"/>
  <c r="S32" i="21"/>
  <c r="AY41" i="21"/>
  <c r="AY44" i="21"/>
  <c r="AC79" i="21"/>
  <c r="G82" i="21"/>
  <c r="AY84" i="21"/>
  <c r="AC122" i="21"/>
  <c r="AC133" i="21"/>
  <c r="G177" i="21"/>
  <c r="G180" i="21"/>
  <c r="AN25" i="21"/>
  <c r="AN58" i="21"/>
  <c r="G60" i="21"/>
  <c r="S64" i="21"/>
  <c r="AC78" i="21"/>
  <c r="AY80" i="21"/>
  <c r="G86" i="21"/>
  <c r="S87" i="21"/>
  <c r="G116" i="21"/>
  <c r="G160" i="21"/>
  <c r="G163" i="21"/>
  <c r="G184" i="21"/>
  <c r="AC187" i="21"/>
  <c r="AC9" i="21"/>
  <c r="S13" i="21"/>
  <c r="G20" i="21"/>
  <c r="S21" i="21"/>
  <c r="AY28" i="21"/>
  <c r="S35" i="21"/>
  <c r="AN41" i="21"/>
  <c r="G48" i="21"/>
  <c r="AC54" i="21"/>
  <c r="AY60" i="21"/>
  <c r="AY82" i="21"/>
  <c r="S84" i="21"/>
  <c r="AC90" i="21"/>
  <c r="AC100" i="21"/>
  <c r="AN101" i="21"/>
  <c r="AN114" i="21"/>
  <c r="AC165" i="21"/>
  <c r="AC175" i="21"/>
  <c r="G185" i="21"/>
  <c r="G194" i="21"/>
  <c r="S10" i="21"/>
  <c r="S12" i="21"/>
  <c r="G14" i="21"/>
  <c r="AN23" i="21"/>
  <c r="AY24" i="21"/>
  <c r="AY29" i="21"/>
  <c r="S31" i="21"/>
  <c r="S36" i="21"/>
  <c r="AN37" i="21"/>
  <c r="AN42" i="21"/>
  <c r="G44" i="21"/>
  <c r="G49" i="21"/>
  <c r="AC50" i="21"/>
  <c r="AC55" i="21"/>
  <c r="AY56" i="21"/>
  <c r="AY61" i="21"/>
  <c r="S63" i="21"/>
  <c r="AC68" i="21"/>
  <c r="AN69" i="21"/>
  <c r="S72" i="21"/>
  <c r="AY77" i="21"/>
  <c r="G89" i="21"/>
  <c r="AC116" i="21"/>
  <c r="G172" i="21"/>
  <c r="G197" i="21"/>
  <c r="G16" i="21"/>
  <c r="AC67" i="21"/>
  <c r="S89" i="21"/>
  <c r="G107" i="21"/>
  <c r="G113" i="21"/>
  <c r="AC127" i="21"/>
  <c r="AC134" i="21"/>
  <c r="AC137" i="21"/>
  <c r="AC152" i="21"/>
  <c r="AC191" i="21"/>
  <c r="AC13" i="21"/>
  <c r="AY18" i="21"/>
  <c r="AC20" i="21"/>
  <c r="S23" i="21"/>
  <c r="S27" i="21"/>
  <c r="S28" i="21"/>
  <c r="AN33" i="21"/>
  <c r="AN34" i="21"/>
  <c r="S43" i="21"/>
  <c r="S44" i="21"/>
  <c r="AC46" i="21"/>
  <c r="AC47" i="21"/>
  <c r="AN49" i="21"/>
  <c r="AY52" i="21"/>
  <c r="AY53" i="21"/>
  <c r="G56" i="21"/>
  <c r="G57" i="21"/>
  <c r="S59" i="21"/>
  <c r="S60" i="21"/>
  <c r="AY72" i="21"/>
  <c r="AY76" i="21"/>
  <c r="AC99" i="21"/>
  <c r="AN105" i="21"/>
  <c r="G115" i="21"/>
  <c r="G166" i="21"/>
  <c r="G178" i="21"/>
  <c r="AB9" i="32"/>
  <c r="F61" i="22" s="1"/>
  <c r="AN9" i="21"/>
  <c r="S17" i="21"/>
  <c r="G25" i="21"/>
  <c r="AC30" i="21"/>
  <c r="AC31" i="21"/>
  <c r="AY36" i="21"/>
  <c r="AY37" i="21"/>
  <c r="G40" i="21"/>
  <c r="G41" i="21"/>
  <c r="AN50" i="21"/>
  <c r="AC62" i="21"/>
  <c r="AC63" i="21"/>
  <c r="AN65" i="21"/>
  <c r="AN66" i="21"/>
  <c r="AN67" i="21"/>
  <c r="AY73" i="21"/>
  <c r="G81" i="21"/>
  <c r="AN90" i="21"/>
  <c r="AY93" i="21"/>
  <c r="G96" i="21"/>
  <c r="AN111" i="21"/>
  <c r="AC113" i="21"/>
  <c r="AC146" i="21"/>
  <c r="G159" i="21"/>
  <c r="AC163" i="21"/>
  <c r="G171" i="21"/>
  <c r="G183" i="21"/>
  <c r="I55" i="38"/>
  <c r="S11" i="21"/>
  <c r="AY12" i="21"/>
  <c r="S14" i="21"/>
  <c r="AN16" i="21"/>
  <c r="G18" i="21"/>
  <c r="AN19" i="21"/>
  <c r="AC22" i="21"/>
  <c r="S24" i="21"/>
  <c r="AY69" i="21"/>
  <c r="AY74" i="21"/>
  <c r="G76" i="21"/>
  <c r="G78" i="21"/>
  <c r="AC84" i="21"/>
  <c r="AC87" i="21"/>
  <c r="AN89" i="21"/>
  <c r="G93" i="21"/>
  <c r="S95" i="21"/>
  <c r="S97" i="21"/>
  <c r="AC98" i="21"/>
  <c r="AY101" i="21"/>
  <c r="AC104" i="21"/>
  <c r="G110" i="21"/>
  <c r="AC117" i="21"/>
  <c r="AC126" i="21"/>
  <c r="AC129" i="21"/>
  <c r="AC132" i="21"/>
  <c r="G138" i="21"/>
  <c r="G144" i="21"/>
  <c r="G150" i="21"/>
  <c r="AC161" i="21"/>
  <c r="AC173" i="21"/>
  <c r="G176" i="21"/>
  <c r="G188" i="21"/>
  <c r="G193" i="21"/>
  <c r="G196" i="21"/>
  <c r="G200" i="21"/>
  <c r="Q8" i="41"/>
  <c r="AN10" i="21"/>
  <c r="G12" i="21"/>
  <c r="AN13" i="21"/>
  <c r="AC17" i="21"/>
  <c r="AN21" i="21"/>
  <c r="AC23" i="21"/>
  <c r="AC26" i="21"/>
  <c r="AC27" i="21"/>
  <c r="AN29" i="21"/>
  <c r="AN30" i="21"/>
  <c r="AY32" i="21"/>
  <c r="AY33" i="21"/>
  <c r="G36" i="21"/>
  <c r="G37" i="21"/>
  <c r="S39" i="21"/>
  <c r="S40" i="21"/>
  <c r="AC42" i="21"/>
  <c r="AC43" i="21"/>
  <c r="AN45" i="21"/>
  <c r="AN46" i="21"/>
  <c r="AY48" i="21"/>
  <c r="AY49" i="21"/>
  <c r="G52" i="21"/>
  <c r="G53" i="21"/>
  <c r="S55" i="21"/>
  <c r="S56" i="21"/>
  <c r="AC58" i="21"/>
  <c r="AC59" i="21"/>
  <c r="AN61" i="21"/>
  <c r="AN62" i="21"/>
  <c r="AY64" i="21"/>
  <c r="AY65" i="21"/>
  <c r="AY66" i="21"/>
  <c r="G72" i="21"/>
  <c r="G73" i="21"/>
  <c r="G74" i="21"/>
  <c r="AC82" i="21"/>
  <c r="AY88" i="21"/>
  <c r="G109" i="21"/>
  <c r="I53" i="38"/>
  <c r="S79" i="21"/>
  <c r="S81" i="21"/>
  <c r="AN85" i="21"/>
  <c r="AN86" i="21"/>
  <c r="AY90" i="21"/>
  <c r="G92" i="21"/>
  <c r="G94" i="21"/>
  <c r="G106" i="21"/>
  <c r="AC107" i="21"/>
  <c r="G112" i="21"/>
  <c r="AC141" i="21"/>
  <c r="AC159" i="21"/>
  <c r="G164" i="21"/>
  <c r="G169" i="21"/>
  <c r="AC171" i="21"/>
  <c r="AC183" i="21"/>
  <c r="G186" i="21"/>
  <c r="G191" i="21"/>
  <c r="AC11" i="21"/>
  <c r="S15" i="21"/>
  <c r="AY16" i="21"/>
  <c r="S18" i="21"/>
  <c r="AY20" i="21"/>
  <c r="AN22" i="21"/>
  <c r="AC24" i="21"/>
  <c r="G68" i="21"/>
  <c r="G70" i="21"/>
  <c r="S71" i="21"/>
  <c r="S76" i="21"/>
  <c r="AC80" i="21"/>
  <c r="AN87" i="21"/>
  <c r="S93" i="21"/>
  <c r="AC95" i="21"/>
  <c r="G102" i="21"/>
  <c r="AC103" i="21"/>
  <c r="AN104" i="21"/>
  <c r="AC121" i="21"/>
  <c r="G130" i="21"/>
  <c r="AC138" i="21"/>
  <c r="G154" i="21"/>
  <c r="G162" i="21"/>
  <c r="G167" i="21"/>
  <c r="G179" i="21"/>
  <c r="AC181" i="21"/>
  <c r="G201" i="21"/>
  <c r="G10" i="21"/>
  <c r="AN11" i="21"/>
  <c r="AC15" i="21"/>
  <c r="S19" i="21"/>
  <c r="G21" i="21"/>
  <c r="AY22" i="21"/>
  <c r="S68" i="21"/>
  <c r="AC71" i="21"/>
  <c r="AC74" i="21"/>
  <c r="AC76" i="21"/>
  <c r="AN77" i="21"/>
  <c r="G84" i="21"/>
  <c r="S91" i="21"/>
  <c r="AN95" i="21"/>
  <c r="AY96" i="21"/>
  <c r="AY97" i="21"/>
  <c r="G108" i="21"/>
  <c r="AC109" i="21"/>
  <c r="G122" i="21"/>
  <c r="AC142" i="21"/>
  <c r="AC145" i="21"/>
  <c r="AC154" i="21"/>
  <c r="AC167" i="21"/>
  <c r="G170" i="21"/>
  <c r="G175" i="21"/>
  <c r="AC179" i="21"/>
  <c r="G182" i="21"/>
  <c r="G187" i="21"/>
  <c r="AB8" i="32"/>
  <c r="F60" i="22" s="1"/>
  <c r="I54" i="38"/>
  <c r="AA5" i="26"/>
  <c r="AA7" i="26" s="1" a="1"/>
  <c r="AA7" i="26" s="1"/>
  <c r="Q6" i="41"/>
  <c r="G158" i="21"/>
  <c r="G165" i="21"/>
  <c r="AC169" i="21"/>
  <c r="G174" i="21"/>
  <c r="G181" i="21"/>
  <c r="AC185" i="21"/>
  <c r="G190" i="21"/>
  <c r="G195" i="21"/>
  <c r="AC197" i="21"/>
  <c r="AC195" i="21"/>
  <c r="G202" i="21"/>
  <c r="AC193" i="21"/>
  <c r="G198" i="21"/>
  <c r="AY94" i="21"/>
  <c r="S100" i="21"/>
  <c r="AN103" i="21"/>
  <c r="AN107" i="21"/>
  <c r="G126" i="21"/>
  <c r="G134" i="21"/>
  <c r="G142" i="21"/>
  <c r="AC155" i="21"/>
  <c r="AC112" i="21"/>
  <c r="G118" i="21"/>
  <c r="AC123" i="21"/>
  <c r="G132" i="21"/>
  <c r="AC139" i="21"/>
  <c r="G148" i="21"/>
  <c r="AC150" i="21"/>
  <c r="AC153" i="21"/>
  <c r="AC158" i="21"/>
  <c r="AC160" i="21"/>
  <c r="AC162" i="21"/>
  <c r="AC164" i="21"/>
  <c r="AC166" i="21"/>
  <c r="AC168" i="21"/>
  <c r="AC170" i="21"/>
  <c r="AC172" i="21"/>
  <c r="AC174" i="21"/>
  <c r="AC176" i="21"/>
  <c r="AC178" i="21"/>
  <c r="AC180" i="21"/>
  <c r="AC182" i="21"/>
  <c r="AC184" i="21"/>
  <c r="AC186" i="21"/>
  <c r="AC188" i="21"/>
  <c r="AC190" i="21"/>
  <c r="AC192" i="21"/>
  <c r="AC194" i="21"/>
  <c r="AC196" i="21"/>
  <c r="G199" i="21"/>
  <c r="S80" i="21"/>
  <c r="S83" i="21"/>
  <c r="AC88" i="21"/>
  <c r="AC91" i="21"/>
  <c r="AC92" i="21"/>
  <c r="AN97" i="21"/>
  <c r="AN98" i="21"/>
  <c r="AN99" i="21"/>
  <c r="AC105" i="21"/>
  <c r="AN106" i="21"/>
  <c r="AC110" i="21"/>
  <c r="AC120" i="21"/>
  <c r="G128" i="21"/>
  <c r="AC130" i="21"/>
  <c r="AC143" i="21"/>
  <c r="G146" i="21"/>
  <c r="F44" i="37"/>
  <c r="I44" i="37" s="1"/>
  <c r="AF19" i="32"/>
  <c r="AA13" i="32"/>
  <c r="AB13" i="32" s="1"/>
  <c r="F65" i="22" s="1"/>
  <c r="Y17" i="32"/>
  <c r="AC10" i="32" s="1"/>
  <c r="G62" i="22" s="1"/>
  <c r="AB10" i="32"/>
  <c r="F62" i="22" s="1"/>
  <c r="Y21" i="32"/>
  <c r="Y20" i="32" s="1"/>
  <c r="AC12" i="32" s="1"/>
  <c r="G64" i="22" s="1"/>
  <c r="AB12" i="32"/>
  <c r="F64" i="22" s="1"/>
  <c r="J32" i="54"/>
  <c r="H45" i="38"/>
  <c r="I45" i="38" s="1"/>
  <c r="Q7" i="41"/>
  <c r="G155" i="21"/>
  <c r="G153" i="21"/>
  <c r="G151" i="21"/>
  <c r="G149" i="21"/>
  <c r="G147" i="21"/>
  <c r="G145" i="21"/>
  <c r="G143" i="21"/>
  <c r="G141" i="21"/>
  <c r="G139" i="21"/>
  <c r="G137" i="21"/>
  <c r="G135" i="21"/>
  <c r="G133" i="21"/>
  <c r="G131" i="21"/>
  <c r="G129" i="21"/>
  <c r="G127" i="21"/>
  <c r="G125" i="21"/>
  <c r="G123" i="21"/>
  <c r="G121" i="21"/>
  <c r="G119" i="21"/>
  <c r="G117" i="21"/>
  <c r="AC115" i="21"/>
  <c r="G114" i="21"/>
  <c r="AN112" i="21"/>
  <c r="AC111" i="21"/>
  <c r="S110" i="21"/>
  <c r="S109" i="21"/>
  <c r="S108" i="21"/>
  <c r="S107" i="21"/>
  <c r="S106" i="21"/>
  <c r="S105" i="21"/>
  <c r="S104" i="21"/>
  <c r="S103" i="21"/>
  <c r="S102" i="21"/>
  <c r="AC101" i="21"/>
  <c r="AN100" i="21"/>
  <c r="AY99" i="21"/>
  <c r="G99" i="21"/>
  <c r="S98" i="21"/>
  <c r="AC97" i="21"/>
  <c r="AN96" i="21"/>
  <c r="AY95" i="21"/>
  <c r="G95" i="21"/>
  <c r="S94" i="21"/>
  <c r="AC93" i="21"/>
  <c r="AN92" i="21"/>
  <c r="AY91" i="21"/>
  <c r="G91" i="21"/>
  <c r="S90" i="21"/>
  <c r="AC89" i="21"/>
  <c r="AN88" i="21"/>
  <c r="AY87" i="21"/>
  <c r="G87" i="21"/>
  <c r="S86" i="21"/>
  <c r="AC85" i="21"/>
  <c r="AN84" i="21"/>
  <c r="AY83" i="21"/>
  <c r="G83" i="21"/>
  <c r="S82" i="21"/>
  <c r="AC81" i="21"/>
  <c r="AN80" i="21"/>
  <c r="AY79" i="21"/>
  <c r="G79" i="21"/>
  <c r="S78" i="21"/>
  <c r="AC77" i="21"/>
  <c r="AN76" i="21"/>
  <c r="AY75" i="21"/>
  <c r="G75" i="21"/>
  <c r="S74" i="21"/>
  <c r="AC73" i="21"/>
  <c r="AN72" i="21"/>
  <c r="AY71" i="21"/>
  <c r="G71" i="21"/>
  <c r="S70" i="21"/>
  <c r="AC69" i="21"/>
  <c r="AN68" i="21"/>
  <c r="AY67" i="21"/>
  <c r="G67" i="21"/>
  <c r="S66" i="21"/>
  <c r="AC156" i="21"/>
  <c r="G152" i="21"/>
  <c r="AC147" i="21"/>
  <c r="AC140" i="21"/>
  <c r="G136" i="21"/>
  <c r="AC131" i="21"/>
  <c r="AC124" i="21"/>
  <c r="G120" i="21"/>
  <c r="AN115" i="21"/>
  <c r="G111" i="21"/>
  <c r="AN108" i="21"/>
  <c r="AC106" i="21"/>
  <c r="G103" i="21"/>
  <c r="G101" i="21"/>
  <c r="S99" i="21"/>
  <c r="AC96" i="21"/>
  <c r="AN94" i="21"/>
  <c r="AY92" i="21"/>
  <c r="G90" i="21"/>
  <c r="S88" i="21"/>
  <c r="AC86" i="21"/>
  <c r="AN83" i="21"/>
  <c r="AY81" i="21"/>
  <c r="G80" i="21"/>
  <c r="S77" i="21"/>
  <c r="AC75" i="21"/>
  <c r="AN73" i="21"/>
  <c r="AY70" i="21"/>
  <c r="G69" i="21"/>
  <c r="S67" i="21"/>
  <c r="AC65" i="21"/>
  <c r="AN64" i="21"/>
  <c r="AY63" i="21"/>
  <c r="G63" i="21"/>
  <c r="S62" i="21"/>
  <c r="AC61" i="21"/>
  <c r="AN60" i="21"/>
  <c r="AY59" i="21"/>
  <c r="G59" i="21"/>
  <c r="S58" i="21"/>
  <c r="AC57" i="21"/>
  <c r="AN56" i="21"/>
  <c r="AY55" i="21"/>
  <c r="G55" i="21"/>
  <c r="S54" i="21"/>
  <c r="AC53" i="21"/>
  <c r="AN52" i="21"/>
  <c r="AY51" i="21"/>
  <c r="G51" i="21"/>
  <c r="S50" i="21"/>
  <c r="AC49" i="21"/>
  <c r="AN48" i="21"/>
  <c r="AY47" i="21"/>
  <c r="G47" i="21"/>
  <c r="S46" i="21"/>
  <c r="AC45" i="21"/>
  <c r="AN44" i="21"/>
  <c r="AY43" i="21"/>
  <c r="G43" i="21"/>
  <c r="S42" i="21"/>
  <c r="AC41" i="21"/>
  <c r="AN40" i="21"/>
  <c r="AY39" i="21"/>
  <c r="G39" i="21"/>
  <c r="S38" i="21"/>
  <c r="AC37" i="21"/>
  <c r="AN36" i="21"/>
  <c r="AY35" i="21"/>
  <c r="G35" i="21"/>
  <c r="S34" i="21"/>
  <c r="AC33" i="21"/>
  <c r="AN32" i="21"/>
  <c r="AY31" i="21"/>
  <c r="G31" i="21"/>
  <c r="S30" i="21"/>
  <c r="AC29" i="21"/>
  <c r="AN28" i="21"/>
  <c r="AY27" i="21"/>
  <c r="G27" i="21"/>
  <c r="S26" i="21"/>
  <c r="AC25" i="21"/>
  <c r="AN24" i="21"/>
  <c r="AY23" i="21"/>
  <c r="G23" i="21"/>
  <c r="S22" i="21"/>
  <c r="AC21" i="21"/>
  <c r="AN20" i="21"/>
  <c r="AY19" i="21"/>
  <c r="G19" i="21"/>
  <c r="AC18" i="21"/>
  <c r="AY17" i="21"/>
  <c r="G17" i="21"/>
  <c r="AC16" i="21"/>
  <c r="AY15" i="21"/>
  <c r="G15" i="21"/>
  <c r="AC14" i="21"/>
  <c r="AY13" i="21"/>
  <c r="G13" i="21"/>
  <c r="AC12" i="21"/>
  <c r="AY11" i="21"/>
  <c r="G11" i="21"/>
  <c r="AC10" i="21"/>
  <c r="AY9" i="21"/>
  <c r="G9" i="21"/>
  <c r="G156" i="21"/>
  <c r="AC151" i="21"/>
  <c r="AC144" i="21"/>
  <c r="G140" i="21"/>
  <c r="AC135" i="21"/>
  <c r="AC128" i="21"/>
  <c r="G124" i="21"/>
  <c r="AC119" i="21"/>
  <c r="AN113" i="21"/>
  <c r="AN110" i="21"/>
  <c r="AC108" i="21"/>
  <c r="G105" i="21"/>
  <c r="AN102" i="21"/>
  <c r="AY100" i="21"/>
  <c r="G98" i="21"/>
  <c r="S96" i="21"/>
  <c r="AC94" i="21"/>
  <c r="AN91" i="21"/>
  <c r="AY89" i="21"/>
  <c r="G88" i="21"/>
  <c r="S85" i="21"/>
  <c r="AC83" i="21"/>
  <c r="AN81" i="21"/>
  <c r="AY78" i="21"/>
  <c r="G77" i="21"/>
  <c r="S75" i="21"/>
  <c r="AC72" i="21"/>
  <c r="AN70" i="21"/>
  <c r="AY68" i="21"/>
  <c r="G66" i="21"/>
  <c r="S65" i="21"/>
  <c r="AC64" i="21"/>
  <c r="AN63" i="21"/>
  <c r="AY62" i="21"/>
  <c r="G62" i="21"/>
  <c r="S61" i="21"/>
  <c r="AC60" i="21"/>
  <c r="AN59" i="21"/>
  <c r="AY58" i="21"/>
  <c r="G58" i="21"/>
  <c r="S57" i="21"/>
  <c r="AC56" i="21"/>
  <c r="AN55" i="21"/>
  <c r="AY54" i="21"/>
  <c r="G54" i="21"/>
  <c r="S53" i="21"/>
  <c r="AC52" i="21"/>
  <c r="AN51" i="21"/>
  <c r="AY50" i="21"/>
  <c r="G50" i="21"/>
  <c r="S49" i="21"/>
  <c r="AC48" i="21"/>
  <c r="AN47" i="21"/>
  <c r="AY46" i="21"/>
  <c r="G46" i="21"/>
  <c r="S45" i="21"/>
  <c r="AC44" i="21"/>
  <c r="AN43" i="21"/>
  <c r="AY42" i="21"/>
  <c r="G42" i="21"/>
  <c r="S41" i="21"/>
  <c r="AC40" i="21"/>
  <c r="AN39" i="21"/>
  <c r="AY38" i="21"/>
  <c r="G38" i="21"/>
  <c r="S37" i="21"/>
  <c r="AC36" i="21"/>
  <c r="AN35" i="21"/>
  <c r="AY34" i="21"/>
  <c r="G34" i="21"/>
  <c r="S33" i="21"/>
  <c r="AC32" i="21"/>
  <c r="AN31" i="21"/>
  <c r="AY30" i="21"/>
  <c r="G30" i="21"/>
  <c r="S29" i="21"/>
  <c r="AC28" i="21"/>
  <c r="AN27" i="21"/>
  <c r="AY26" i="21"/>
  <c r="G26" i="21"/>
  <c r="S25" i="21"/>
  <c r="B8" i="29"/>
  <c r="K1" i="29"/>
  <c r="Q15" i="40"/>
  <c r="Q16" i="40" s="1"/>
  <c r="D43" i="38"/>
  <c r="Y22" i="32"/>
  <c r="AC13" i="32" s="1"/>
  <c r="G65" i="22" s="1"/>
  <c r="I12" i="38"/>
  <c r="D25" i="38"/>
  <c r="I46" i="38"/>
  <c r="I56" i="38"/>
  <c r="D20" i="38"/>
  <c r="I42" i="38"/>
  <c r="M210" i="43"/>
  <c r="Y18" i="32"/>
  <c r="AC11" i="32" s="1"/>
  <c r="G63" i="22" s="1"/>
  <c r="B55" i="37"/>
  <c r="H37" i="37"/>
  <c r="I37" i="37" s="1"/>
  <c r="H38" i="37"/>
  <c r="I38" i="37" s="1"/>
  <c r="H6" i="51"/>
  <c r="J1" i="51" s="1"/>
  <c r="AB7" i="26"/>
  <c r="C139" i="27"/>
  <c r="E41" i="50"/>
  <c r="A34" i="39"/>
  <c r="E34" i="51"/>
  <c r="A64" i="45"/>
  <c r="I45" i="37"/>
  <c r="A84" i="27" a="1"/>
  <c r="A84" i="27" s="1"/>
  <c r="M2" i="32"/>
  <c r="AB3" i="32"/>
  <c r="AF7" i="32"/>
  <c r="D25" i="54"/>
  <c r="Q5" i="41"/>
  <c r="Q9" i="41"/>
  <c r="A3" i="38"/>
  <c r="Q11" i="41" s="1" a="1"/>
  <c r="Q11" i="41" s="1"/>
  <c r="I27" i="38"/>
  <c r="D24" i="38"/>
  <c r="I47" i="38"/>
  <c r="I48" i="38"/>
  <c r="D69" i="37"/>
  <c r="C33" i="37"/>
  <c r="D33" i="37" s="1"/>
  <c r="I60" i="16"/>
  <c r="I58" i="16"/>
  <c r="H5" i="30"/>
  <c r="J4" i="30"/>
  <c r="B52" i="26"/>
  <c r="B51" i="26"/>
  <c r="B35" i="26"/>
  <c r="B30" i="26"/>
  <c r="F26" i="26"/>
  <c r="B23" i="26"/>
  <c r="B21" i="26"/>
  <c r="C11" i="26"/>
  <c r="I12" i="50"/>
  <c r="AF4" i="32" a="1"/>
  <c r="AF4" i="32" s="1"/>
  <c r="A1" i="36" a="1"/>
  <c r="A1" i="36" s="1"/>
  <c r="A64" i="36" s="1"/>
  <c r="A118" i="27"/>
  <c r="C32" i="37"/>
  <c r="D32" i="37" s="1"/>
  <c r="I43" i="37"/>
  <c r="A122" i="27"/>
  <c r="B122" i="27"/>
  <c r="H62" i="37"/>
  <c r="I62" i="37" s="1"/>
  <c r="A123" i="27"/>
  <c r="B123" i="27"/>
  <c r="H63" i="37"/>
  <c r="I63" i="37" s="1"/>
  <c r="A124" i="27"/>
  <c r="B124" i="27"/>
  <c r="H64" i="37"/>
  <c r="I64" i="37" s="1"/>
  <c r="F80" i="27"/>
  <c r="A82" i="27" s="1"/>
  <c r="C65" i="37"/>
  <c r="A125" i="27"/>
  <c r="B125" i="27"/>
  <c r="H65" i="37"/>
  <c r="I65" i="37" s="1"/>
  <c r="D66" i="37"/>
  <c r="A126" i="27"/>
  <c r="B126" i="27"/>
  <c r="H66" i="37"/>
  <c r="I66" i="37" s="1"/>
  <c r="D67" i="37"/>
  <c r="A127" i="27"/>
  <c r="B127" i="27"/>
  <c r="H67" i="37"/>
  <c r="I67" i="37" s="1"/>
  <c r="B15" i="26"/>
  <c r="B11" i="26"/>
  <c r="B10" i="26"/>
  <c r="F172" i="27" s="1"/>
  <c r="A44" i="50"/>
  <c r="G37" i="52"/>
  <c r="G35" i="52"/>
  <c r="G36" i="52" s="1"/>
  <c r="F182" i="39"/>
  <c r="E9" i="39"/>
  <c r="D9" i="39"/>
  <c r="C9" i="39"/>
  <c r="B9" i="39"/>
  <c r="E22" i="39"/>
  <c r="C22" i="39"/>
  <c r="C21" i="39"/>
  <c r="E28" i="39"/>
  <c r="C28" i="39"/>
  <c r="C27" i="39"/>
  <c r="D20" i="29"/>
  <c r="D19" i="29"/>
  <c r="F18" i="29"/>
  <c r="F17" i="29"/>
  <c r="D27" i="29"/>
  <c r="D26" i="29"/>
  <c r="D23" i="29"/>
  <c r="D22" i="29"/>
  <c r="G2" i="38"/>
  <c r="K1" i="38" s="1"/>
  <c r="Q1" i="41"/>
  <c r="A38" i="51"/>
  <c r="H210" i="43"/>
  <c r="G9" i="43" s="1"/>
  <c r="H9" i="43" s="1"/>
  <c r="I11" i="43"/>
  <c r="R7" i="26" a="1"/>
  <c r="Y7" i="26" a="1"/>
  <c r="Q7" i="26" a="1"/>
  <c r="T7" i="26" a="1"/>
  <c r="S7" i="26" a="1"/>
  <c r="AE7" i="26" a="1"/>
  <c r="V7" i="26" a="1"/>
  <c r="AD7" i="26" a="1"/>
  <c r="W7" i="26" a="1"/>
  <c r="P7" i="26" a="1"/>
  <c r="L7" i="26" a="1"/>
  <c r="O7" i="26" a="1"/>
  <c r="U7" i="26" a="1"/>
  <c r="X7" i="26" a="1"/>
  <c r="N7" i="26" a="1"/>
  <c r="Z7" i="26" a="1"/>
  <c r="AC7" i="26" a="1"/>
  <c r="M7" i="26" a="1"/>
  <c r="I57" i="38" l="1"/>
  <c r="U7" i="26"/>
  <c r="S7" i="26"/>
  <c r="P7" i="26"/>
  <c r="M7" i="26"/>
  <c r="R7" i="26"/>
  <c r="AE7" i="26"/>
  <c r="N7" i="26"/>
  <c r="Y7" i="26"/>
  <c r="V7" i="26"/>
  <c r="T7" i="26"/>
  <c r="L7" i="26"/>
  <c r="W7" i="26"/>
  <c r="O7" i="26"/>
  <c r="AC7" i="26"/>
  <c r="Q7" i="26"/>
  <c r="A63" i="36"/>
  <c r="A65" i="37"/>
  <c r="A119" i="27" s="1"/>
  <c r="Z7" i="26"/>
  <c r="X7" i="26"/>
  <c r="AD7" i="26"/>
  <c r="D32" i="38"/>
  <c r="B173" i="27"/>
  <c r="G69" i="22"/>
  <c r="G81" i="22" s="1"/>
  <c r="A61" i="36"/>
  <c r="I49" i="38"/>
  <c r="A12" i="39"/>
  <c r="A62" i="36"/>
  <c r="AF2" i="32"/>
  <c r="H1" i="37"/>
  <c r="K1" i="37" s="1"/>
  <c r="I62" i="16"/>
  <c r="I39" i="37"/>
  <c r="I46" i="37"/>
  <c r="I210" i="43"/>
  <c r="L11" i="43"/>
  <c r="A182" i="29"/>
  <c r="C138" i="29"/>
  <c r="I126" i="29"/>
  <c r="A130" i="29"/>
  <c r="B172" i="27"/>
  <c r="H170" i="27"/>
  <c r="I68" i="37"/>
  <c r="C55" i="37"/>
  <c r="A64" i="37"/>
  <c r="D64" i="37" s="1"/>
  <c r="A63" i="37"/>
  <c r="D63" i="37" s="1"/>
  <c r="A62" i="37"/>
  <c r="D62" i="37" s="1"/>
  <c r="A61" i="37"/>
  <c r="D61" i="37" s="1"/>
  <c r="A60" i="37"/>
  <c r="D60" i="37" s="1"/>
  <c r="A39" i="37"/>
  <c r="D39" i="37" s="1"/>
  <c r="A31" i="37"/>
  <c r="D31" i="37" s="1"/>
  <c r="F30" i="37"/>
  <c r="I30" i="37" s="1"/>
  <c r="I32" i="37" s="1"/>
  <c r="A27" i="37"/>
  <c r="D27" i="37" s="1"/>
  <c r="A26" i="37"/>
  <c r="D26" i="37" s="1"/>
  <c r="F25" i="37"/>
  <c r="I25" i="37" s="1"/>
  <c r="A25" i="37"/>
  <c r="D25" i="37" s="1"/>
  <c r="F24" i="37"/>
  <c r="I24" i="37" s="1"/>
  <c r="D24" i="37"/>
  <c r="F23" i="37"/>
  <c r="I23" i="37" s="1"/>
  <c r="A23" i="37"/>
  <c r="D23" i="37" s="1"/>
  <c r="F22" i="37"/>
  <c r="I22" i="37" s="1"/>
  <c r="A22" i="37"/>
  <c r="D22" i="37" s="1"/>
  <c r="F21" i="37"/>
  <c r="I21" i="37" s="1"/>
  <c r="A21" i="37"/>
  <c r="D21" i="37" s="1"/>
  <c r="I20" i="37"/>
  <c r="A20" i="37"/>
  <c r="D20" i="37" s="1"/>
  <c r="F19" i="37"/>
  <c r="I19" i="37" s="1"/>
  <c r="A19" i="37"/>
  <c r="D19" i="37" s="1"/>
  <c r="F18" i="37"/>
  <c r="I18" i="37" s="1"/>
  <c r="A18" i="37"/>
  <c r="D18" i="37" s="1"/>
  <c r="F17" i="37"/>
  <c r="I17" i="37" s="1"/>
  <c r="A17" i="37"/>
  <c r="D17" i="37" s="1"/>
  <c r="F16" i="37"/>
  <c r="I16" i="37" s="1"/>
  <c r="A16" i="37"/>
  <c r="D16" i="37" s="1"/>
  <c r="F15" i="37"/>
  <c r="I15" i="37" s="1"/>
  <c r="A15" i="37"/>
  <c r="D15" i="37" s="1"/>
  <c r="F14" i="37"/>
  <c r="I14" i="37" s="1"/>
  <c r="A14" i="37"/>
  <c r="D14" i="37" s="1"/>
  <c r="F13" i="37"/>
  <c r="I13" i="37" s="1"/>
  <c r="A13" i="37"/>
  <c r="D13" i="37" s="1"/>
  <c r="F12" i="37"/>
  <c r="I12" i="37" s="1"/>
  <c r="A12" i="37"/>
  <c r="D12" i="37" s="1"/>
  <c r="F11" i="37"/>
  <c r="I11" i="37" s="1"/>
  <c r="A11" i="37"/>
  <c r="D11" i="37" s="1"/>
  <c r="F10" i="37"/>
  <c r="I10" i="37" s="1"/>
  <c r="A10" i="37"/>
  <c r="D10" i="37" s="1"/>
  <c r="A4" i="37"/>
  <c r="AF25" i="32" s="1" a="1"/>
  <c r="AF25" i="32" s="1"/>
  <c r="A1" i="37"/>
  <c r="A100" i="36"/>
  <c r="A99" i="36"/>
  <c r="A84" i="36"/>
  <c r="A83" i="36"/>
  <c r="A82" i="36"/>
  <c r="A81" i="36"/>
  <c r="A80" i="36"/>
  <c r="A79" i="36"/>
  <c r="A78" i="36"/>
  <c r="A77" i="36"/>
  <c r="A76" i="36"/>
  <c r="A75" i="36"/>
  <c r="A74" i="36"/>
  <c r="A73" i="36"/>
  <c r="A72" i="36"/>
  <c r="A71" i="36"/>
  <c r="A70" i="36"/>
  <c r="A69" i="36"/>
  <c r="A60" i="36"/>
  <c r="A59" i="36"/>
  <c r="A58" i="36"/>
  <c r="A57" i="36"/>
  <c r="A56" i="36"/>
  <c r="A55" i="36"/>
  <c r="A51" i="36"/>
  <c r="A54" i="37" s="1"/>
  <c r="D54" i="37" s="1"/>
  <c r="A50" i="36"/>
  <c r="A53" i="37" s="1"/>
  <c r="D53" i="37" s="1"/>
  <c r="A49" i="36"/>
  <c r="A52" i="37" s="1"/>
  <c r="D52" i="37" s="1"/>
  <c r="A48" i="36"/>
  <c r="A51" i="37" s="1"/>
  <c r="D51" i="37" s="1"/>
  <c r="A47" i="36"/>
  <c r="A50" i="37" s="1"/>
  <c r="D50" i="37" s="1"/>
  <c r="A46" i="36"/>
  <c r="A49" i="37" s="1"/>
  <c r="D49" i="37" s="1"/>
  <c r="A45" i="36"/>
  <c r="A48" i="37" s="1"/>
  <c r="D48" i="37" s="1"/>
  <c r="A44" i="36"/>
  <c r="A55" i="37" s="1"/>
  <c r="A43" i="36"/>
  <c r="A47" i="37" s="1"/>
  <c r="D47" i="37" s="1"/>
  <c r="A42" i="36"/>
  <c r="A46" i="37" s="1"/>
  <c r="D46" i="37" s="1"/>
  <c r="A41" i="36"/>
  <c r="A45" i="37" s="1"/>
  <c r="D45" i="37" s="1"/>
  <c r="A40" i="36"/>
  <c r="A44" i="37" s="1"/>
  <c r="D44" i="37" s="1"/>
  <c r="A39" i="36"/>
  <c r="A38" i="36"/>
  <c r="A42" i="37" s="1"/>
  <c r="D42" i="37" s="1"/>
  <c r="A37" i="36"/>
  <c r="A41" i="37" s="1"/>
  <c r="D41" i="37" s="1"/>
  <c r="A36" i="36"/>
  <c r="A40" i="37" s="1"/>
  <c r="D40" i="37" s="1"/>
  <c r="A32" i="36"/>
  <c r="A31" i="36"/>
  <c r="A30" i="36"/>
  <c r="A29" i="36"/>
  <c r="A28" i="36"/>
  <c r="A27" i="36"/>
  <c r="A26" i="36"/>
  <c r="A25" i="36"/>
  <c r="A24" i="36"/>
  <c r="A23" i="36"/>
  <c r="A22" i="36"/>
  <c r="A21" i="36"/>
  <c r="A20" i="36"/>
  <c r="A19" i="36"/>
  <c r="A18" i="36"/>
  <c r="A17" i="36"/>
  <c r="A16" i="36"/>
  <c r="A15" i="36"/>
  <c r="A14" i="36"/>
  <c r="A13" i="36"/>
  <c r="A12" i="36"/>
  <c r="A11" i="36"/>
  <c r="A10" i="36"/>
  <c r="A9" i="36"/>
  <c r="A8" i="36"/>
  <c r="C1" i="36"/>
  <c r="B70" i="37" s="1"/>
  <c r="C70" i="37" s="1"/>
  <c r="D70" i="37" s="1"/>
  <c r="G58" i="38" l="1"/>
  <c r="C54" i="38" s="1"/>
  <c r="C56" i="38" s="1"/>
  <c r="I10" i="26"/>
  <c r="A143" i="29" s="1"/>
  <c r="D65" i="37"/>
  <c r="D71" i="37" s="1"/>
  <c r="I26" i="37"/>
  <c r="A43" i="37"/>
  <c r="D43" i="37" s="1"/>
  <c r="D34" i="37"/>
  <c r="I56" i="37"/>
  <c r="I57" i="37" s="1"/>
  <c r="D55" i="37"/>
  <c r="G85" i="22"/>
  <c r="A188" i="29" l="1"/>
  <c r="D56" i="37"/>
  <c r="G68" i="37" s="1"/>
  <c r="F86" i="22" a="1"/>
  <c r="F86" i="22" l="1"/>
  <c r="H70" i="37"/>
  <c r="H71"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Leolca</author>
    <author>leonardo lozada</author>
  </authors>
  <commentList>
    <comment ref="D6" authorId="0" shapeId="0" xr:uid="{68BB4875-0A61-43F2-902D-9939B483C0B4}">
      <text>
        <r>
          <rPr>
            <b/>
            <sz val="9"/>
            <color indexed="81"/>
            <rFont val="Tahoma"/>
            <family val="2"/>
          </rPr>
          <t>Leolca:</t>
        </r>
        <r>
          <rPr>
            <sz val="9"/>
            <color indexed="81"/>
            <rFont val="Tahoma"/>
            <family val="2"/>
          </rPr>
          <t xml:space="preserve">
PRECIO POR KILO DEL ACERO</t>
        </r>
      </text>
    </comment>
    <comment ref="P6" authorId="0" shapeId="0" xr:uid="{497979DB-7887-4AE3-9024-7C9968F4F12D}">
      <text>
        <r>
          <rPr>
            <b/>
            <sz val="9"/>
            <color indexed="81"/>
            <rFont val="Tahoma"/>
            <family val="2"/>
          </rPr>
          <t>Leolca:</t>
        </r>
        <r>
          <rPr>
            <sz val="9"/>
            <color indexed="81"/>
            <rFont val="Tahoma"/>
            <family val="2"/>
          </rPr>
          <t xml:space="preserve">
presio del kg con jairo</t>
        </r>
      </text>
    </comment>
    <comment ref="B14" authorId="0" shapeId="0" xr:uid="{71F40EA0-D92E-48FE-A63F-BD1A0C1EF5D5}">
      <text>
        <r>
          <rPr>
            <b/>
            <sz val="9"/>
            <color indexed="81"/>
            <rFont val="Tahoma"/>
            <family val="2"/>
          </rPr>
          <t>Leolca:</t>
        </r>
        <r>
          <rPr>
            <sz val="9"/>
            <color indexed="81"/>
            <rFont val="Tahoma"/>
            <family val="2"/>
          </rPr>
          <t xml:space="preserve">
O TRAVESAÑO</t>
        </r>
      </text>
    </comment>
    <comment ref="D15" authorId="0" shapeId="0" xr:uid="{3E1560E9-6F36-4FD4-BC1B-938A997B5913}">
      <text>
        <r>
          <rPr>
            <b/>
            <sz val="9"/>
            <color indexed="81"/>
            <rFont val="Tahoma"/>
            <family val="2"/>
          </rPr>
          <t>Leolca:</t>
        </r>
        <r>
          <rPr>
            <sz val="9"/>
            <color indexed="81"/>
            <rFont val="Tahoma"/>
            <family val="2"/>
          </rPr>
          <t xml:space="preserve">
EL JUEGO DE 14 PZAS DE ALETAS PESA 54 KG</t>
        </r>
      </text>
    </comment>
    <comment ref="B16" authorId="0" shapeId="0" xr:uid="{2B1655B6-7E62-4274-ABD8-6614A111CB78}">
      <text>
        <r>
          <rPr>
            <b/>
            <sz val="9"/>
            <color indexed="81"/>
            <rFont val="Tahoma"/>
            <family val="2"/>
          </rPr>
          <t>Leolca:</t>
        </r>
        <r>
          <rPr>
            <sz val="9"/>
            <color indexed="81"/>
            <rFont val="Tahoma"/>
            <family val="2"/>
          </rPr>
          <t xml:space="preserve">
SE HACE CON CANAL U DE 6" 12.20 KM 6 MTS
SE LLEVA 4 TROZOS DE 1.11 M</t>
        </r>
      </text>
    </comment>
    <comment ref="D18" authorId="0" shapeId="0" xr:uid="{E13B707C-C151-42C2-96CF-2E678A1A2B9B}">
      <text>
        <r>
          <rPr>
            <b/>
            <sz val="9"/>
            <color indexed="81"/>
            <rFont val="Tahoma"/>
            <family val="2"/>
          </rPr>
          <t>Leolca:</t>
        </r>
        <r>
          <rPr>
            <sz val="9"/>
            <color indexed="81"/>
            <rFont val="Tahoma"/>
            <family val="2"/>
          </rPr>
          <t xml:space="preserve">
CADA PESTAÑA PESA 3.75KG</t>
        </r>
      </text>
    </comment>
    <comment ref="B19" authorId="0" shapeId="0" xr:uid="{9D453B1D-D53C-4F6F-8639-9A6A6EAFBEE0}">
      <text>
        <r>
          <rPr>
            <b/>
            <sz val="9"/>
            <color indexed="81"/>
            <rFont val="Tahoma"/>
            <family val="2"/>
          </rPr>
          <t>Leolca:</t>
        </r>
        <r>
          <rPr>
            <sz val="9"/>
            <color indexed="81"/>
            <rFont val="Tahoma"/>
            <family val="2"/>
          </rPr>
          <t xml:space="preserve">
CHECAR SI ES POR KILO O PIEZA Y CUANTO</t>
        </r>
      </text>
    </comment>
    <comment ref="D19" authorId="0" shapeId="0" xr:uid="{C4D2794B-A138-4FDD-A626-34AE44FA2DA3}">
      <text>
        <r>
          <rPr>
            <b/>
            <sz val="9"/>
            <color indexed="81"/>
            <rFont val="Tahoma"/>
            <family val="2"/>
          </rPr>
          <t>Leolca:</t>
        </r>
        <r>
          <rPr>
            <sz val="9"/>
            <color indexed="81"/>
            <rFont val="Tahoma"/>
            <family val="2"/>
          </rPr>
          <t xml:space="preserve">
EN 30 DE OCTUBRE EL PRECIO POR PAR ES DE $145</t>
        </r>
      </text>
    </comment>
    <comment ref="D21" authorId="0" shapeId="0" xr:uid="{0DBFEB52-4FF8-4EA8-832D-45EEDC1659C4}">
      <text>
        <r>
          <rPr>
            <b/>
            <sz val="9"/>
            <color indexed="81"/>
            <rFont val="Tahoma"/>
            <family val="2"/>
          </rPr>
          <t>Leolca:</t>
        </r>
        <r>
          <rPr>
            <sz val="9"/>
            <color indexed="81"/>
            <rFont val="Tahoma"/>
            <family val="2"/>
          </rPr>
          <t xml:space="preserve">
6 KG POR LOS 4PZAS</t>
        </r>
      </text>
    </comment>
    <comment ref="D22" authorId="0" shapeId="0" xr:uid="{3BE1B001-9A9F-4966-A991-CF1CFA5D5715}">
      <text>
        <r>
          <rPr>
            <b/>
            <sz val="9"/>
            <color indexed="81"/>
            <rFont val="Tahoma"/>
            <family val="2"/>
          </rPr>
          <t>Leolca:</t>
        </r>
        <r>
          <rPr>
            <sz val="9"/>
            <color indexed="81"/>
            <rFont val="Tahoma"/>
            <family val="2"/>
          </rPr>
          <t xml:space="preserve">
5.86KG POR PAR</t>
        </r>
      </text>
    </comment>
    <comment ref="D27" authorId="0" shapeId="0" xr:uid="{D910A2BB-E63F-46BF-AAB3-B461E577CEA9}">
      <text>
        <r>
          <rPr>
            <b/>
            <sz val="9"/>
            <color indexed="81"/>
            <rFont val="Tahoma"/>
            <family val="2"/>
          </rPr>
          <t>Leolca:</t>
        </r>
        <r>
          <rPr>
            <sz val="9"/>
            <color indexed="81"/>
            <rFont val="Tahoma"/>
            <family val="2"/>
          </rPr>
          <t xml:space="preserve">
SEGÚN JAIRO</t>
        </r>
      </text>
    </comment>
    <comment ref="D32" authorId="0" shapeId="0" xr:uid="{EC4C9E33-9251-48BF-96A5-5199240E3324}">
      <text>
        <r>
          <rPr>
            <b/>
            <sz val="9"/>
            <color indexed="81"/>
            <rFont val="Tahoma"/>
            <family val="2"/>
          </rPr>
          <t>Leolca:</t>
        </r>
        <r>
          <rPr>
            <sz val="9"/>
            <color indexed="81"/>
            <rFont val="Tahoma"/>
            <family val="2"/>
          </rPr>
          <t xml:space="preserve">
132kg YA POR LA 4 PIEZAS Q LLEVA</t>
        </r>
      </text>
    </comment>
    <comment ref="C42" authorId="0" shapeId="0" xr:uid="{3DCEDB52-2FF6-4983-BBCA-C48691BFF73C}">
      <text>
        <r>
          <rPr>
            <b/>
            <sz val="9"/>
            <color indexed="81"/>
            <rFont val="Tahoma"/>
            <family val="2"/>
          </rPr>
          <t>Leolca:</t>
        </r>
        <r>
          <rPr>
            <sz val="9"/>
            <color indexed="81"/>
            <rFont val="Tahoma"/>
            <family val="2"/>
          </rPr>
          <t xml:space="preserve">
$816 C/IVA LA PZA
SALEN 5 TROZOS DE 1.20 MTS DE UNA PZA DE 6MTS</t>
        </r>
      </text>
    </comment>
    <comment ref="C43" authorId="0" shapeId="0" xr:uid="{78827456-F59F-441E-AA40-9ED71D77BB16}">
      <text>
        <r>
          <rPr>
            <b/>
            <sz val="9"/>
            <color indexed="81"/>
            <rFont val="Tahoma"/>
            <family val="2"/>
          </rPr>
          <t>Leolca:</t>
        </r>
        <r>
          <rPr>
            <sz val="9"/>
            <color indexed="81"/>
            <rFont val="Tahoma"/>
            <family val="2"/>
          </rPr>
          <t xml:space="preserve">
tpi solucion en aceero factura A-13
placa 1/4 x 4 x 40 772 peso x placa, 15 placas
11580 tn.
según factura de fortacero fmex181048
03/11/23 
entrego 16 placas 1/4 x 4" x 12.20mts c/u pesa 755.63 
PRECIO POR KG $23.37 YA CON IVA</t>
        </r>
      </text>
    </comment>
    <comment ref="C44" authorId="0" shapeId="0" xr:uid="{B2708BCB-2250-4673-8B82-193D24E298D3}">
      <text>
        <r>
          <rPr>
            <b/>
            <sz val="9"/>
            <color indexed="81"/>
            <rFont val="Tahoma"/>
            <family val="2"/>
          </rPr>
          <t>Leolca:</t>
        </r>
        <r>
          <rPr>
            <sz val="9"/>
            <color indexed="81"/>
            <rFont val="Tahoma"/>
            <family val="2"/>
          </rPr>
          <t xml:space="preserve">
PRESIO DE SOLERA $7519.00 POR PZA</t>
        </r>
      </text>
    </comment>
    <comment ref="C45" authorId="0" shapeId="0" xr:uid="{803D19B4-EE59-4C25-AD2C-E3BB3E37612C}">
      <text>
        <r>
          <rPr>
            <b/>
            <sz val="9"/>
            <color indexed="81"/>
            <rFont val="Tahoma"/>
            <family val="2"/>
          </rPr>
          <t>Leolca:</t>
        </r>
        <r>
          <rPr>
            <sz val="9"/>
            <color indexed="81"/>
            <rFont val="Tahoma"/>
            <family val="2"/>
          </rPr>
          <t xml:space="preserve">
2 PZAS POR REMOLQUE
PRESIO YA CON IVA</t>
        </r>
      </text>
    </comment>
    <comment ref="C46" authorId="0" shapeId="0" xr:uid="{CDF11EF3-5D96-45C5-B075-6B47346A8D0E}">
      <text>
        <r>
          <rPr>
            <b/>
            <sz val="9"/>
            <color indexed="81"/>
            <rFont val="Tahoma"/>
            <family val="2"/>
          </rPr>
          <t>Leolca:</t>
        </r>
        <r>
          <rPr>
            <sz val="9"/>
            <color indexed="81"/>
            <rFont val="Tahoma"/>
            <family val="2"/>
          </rPr>
          <t xml:space="preserve">
DE UNA PZA DE 6MT SALE 1 PZ DE 4.2 MTRS</t>
        </r>
      </text>
    </comment>
    <comment ref="C47" authorId="0" shapeId="0" xr:uid="{BDB04864-5DBE-4723-B673-D802F69F27A7}">
      <text>
        <r>
          <rPr>
            <b/>
            <sz val="9"/>
            <color indexed="81"/>
            <rFont val="Tahoma"/>
            <family val="2"/>
          </rPr>
          <t>Leolca:</t>
        </r>
        <r>
          <rPr>
            <sz val="9"/>
            <color indexed="81"/>
            <rFont val="Tahoma"/>
            <family val="2"/>
          </rPr>
          <t xml:space="preserve">
YA CON IVA POR PZA</t>
        </r>
      </text>
    </comment>
    <comment ref="C48" authorId="0" shapeId="0" xr:uid="{340D2763-9A6E-4920-97F4-B3341ACF9A8B}">
      <text>
        <r>
          <rPr>
            <b/>
            <sz val="9"/>
            <color indexed="81"/>
            <rFont val="Tahoma"/>
            <family val="2"/>
          </rPr>
          <t>Leolca:</t>
        </r>
        <r>
          <rPr>
            <sz val="9"/>
            <color indexed="81"/>
            <rFont val="Tahoma"/>
            <family val="2"/>
          </rPr>
          <t xml:space="preserve">
UNA PIZA CUESTA $1597.35
EN UNA PIZA DE 6MTRS SALEN DOS TROZOS DE 3MTRS</t>
        </r>
      </text>
    </comment>
    <comment ref="C49" authorId="0" shapeId="0" xr:uid="{C8FAD674-5071-4777-B653-4D1578C7FAD6}">
      <text>
        <r>
          <rPr>
            <b/>
            <sz val="9"/>
            <color indexed="81"/>
            <rFont val="Tahoma"/>
            <family val="2"/>
          </rPr>
          <t>Leolca:</t>
        </r>
        <r>
          <rPr>
            <sz val="9"/>
            <color indexed="81"/>
            <rFont val="Tahoma"/>
            <family val="2"/>
          </rPr>
          <t xml:space="preserve">
PRESIO DE UNA PZA ES DE $840 C/IVA
DE UNA PZA DE 6 MTS SALEN 5 TROZOZ DE 1.2MTS</t>
        </r>
      </text>
    </comment>
    <comment ref="C50" authorId="0" shapeId="0" xr:uid="{9A1FE90B-63D3-4003-AE6D-A5F584C61DDE}">
      <text>
        <r>
          <rPr>
            <b/>
            <sz val="9"/>
            <color indexed="81"/>
            <rFont val="Tahoma"/>
            <family val="2"/>
          </rPr>
          <t>Leolca:</t>
        </r>
        <r>
          <rPr>
            <sz val="9"/>
            <color indexed="81"/>
            <rFont val="Tahoma"/>
            <family val="2"/>
          </rPr>
          <t xml:space="preserve">
PRECIO DE PZA $257.6 CON IVA
1 PIZA DE 6 MTS SALEN 4 TROSOS DE 1.5MTS</t>
        </r>
      </text>
    </comment>
    <comment ref="C51" authorId="0" shapeId="0" xr:uid="{9CBF79D8-82C3-4F5F-AC33-4777699142D2}">
      <text>
        <r>
          <rPr>
            <b/>
            <sz val="9"/>
            <color indexed="81"/>
            <rFont val="Tahoma"/>
            <family val="2"/>
          </rPr>
          <t>Leolca:</t>
        </r>
        <r>
          <rPr>
            <sz val="9"/>
            <color indexed="81"/>
            <rFont val="Tahoma"/>
            <family val="2"/>
          </rPr>
          <t xml:space="preserve">
LA PZA CUESTA $350
SALEN 5 TROOS DE 1.20 MTRS POR PIEZA DE 6MTRS</t>
        </r>
      </text>
    </comment>
    <comment ref="B52" authorId="0" shapeId="0" xr:uid="{F3CB2C2C-119C-4C79-8B48-1F7EB9EC93B6}">
      <text>
        <r>
          <rPr>
            <b/>
            <sz val="9"/>
            <color indexed="81"/>
            <rFont val="Tahoma"/>
            <family val="2"/>
          </rPr>
          <t>Leolca:</t>
        </r>
        <r>
          <rPr>
            <sz val="9"/>
            <color indexed="81"/>
            <rFont val="Tahoma"/>
            <family val="2"/>
          </rPr>
          <t xml:space="preserve">
1.27 MTS POR REMOLQUE 
PARA PORTA LODERAS CORREDIZA</t>
        </r>
      </text>
    </comment>
    <comment ref="C52" authorId="0" shapeId="0" xr:uid="{CED4A0B3-E627-4D96-BE36-0D48655927FA}">
      <text>
        <r>
          <rPr>
            <b/>
            <sz val="9"/>
            <color indexed="81"/>
            <rFont val="Tahoma"/>
            <family val="2"/>
          </rPr>
          <t>Leolca:</t>
        </r>
        <r>
          <rPr>
            <sz val="9"/>
            <color indexed="81"/>
            <rFont val="Tahoma"/>
            <family val="2"/>
          </rPr>
          <t xml:space="preserve">
EL PRECIO POR PZA $860.36 C/IVA
DE UNA PZA SALEN 5 TROZOS DE 1.2 MTS</t>
        </r>
      </text>
    </comment>
    <comment ref="C53" authorId="0" shapeId="0" xr:uid="{87E371D1-D703-47D6-9C83-4B9BE9606A4C}">
      <text>
        <r>
          <rPr>
            <b/>
            <sz val="9"/>
            <color indexed="81"/>
            <rFont val="Tahoma"/>
            <family val="2"/>
          </rPr>
          <t>Leolca:</t>
        </r>
        <r>
          <rPr>
            <sz val="9"/>
            <color indexed="81"/>
            <rFont val="Tahoma"/>
            <family val="2"/>
          </rPr>
          <t xml:space="preserve">
PRECIO DE UNA PZA 337.31 C/IVA
DE UNA PZA DE 6MTRS SALEN 5 TROZOS DE 1.2 MTS</t>
        </r>
      </text>
    </comment>
    <comment ref="B54" authorId="0" shapeId="0" xr:uid="{F7504826-2869-4CEB-9E2A-67F05422C08E}">
      <text>
        <r>
          <rPr>
            <b/>
            <sz val="9"/>
            <color indexed="81"/>
            <rFont val="Tahoma"/>
            <family val="2"/>
          </rPr>
          <t>Leolca:</t>
        </r>
        <r>
          <rPr>
            <sz val="9"/>
            <color indexed="81"/>
            <rFont val="Tahoma"/>
            <family val="2"/>
          </rPr>
          <t xml:space="preserve">
PRECIO POR PZA $257.62
CADA SOLERA PESA 7.69KG 
SELLEVA 2.2MTS X REMOLQUE
</t>
        </r>
      </text>
    </comment>
    <comment ref="C55" authorId="0" shapeId="0" xr:uid="{76018EB8-5F45-4F2E-BFAF-392CC1A5CC75}">
      <text>
        <r>
          <rPr>
            <b/>
            <sz val="9"/>
            <color indexed="81"/>
            <rFont val="Tahoma"/>
            <family val="2"/>
          </rPr>
          <t>Leolca:</t>
        </r>
        <r>
          <rPr>
            <sz val="9"/>
            <color indexed="81"/>
            <rFont val="Tahoma"/>
            <family val="2"/>
          </rPr>
          <t xml:space="preserve">
PRESIO DE 1 PZA $1017.03 C/IVA
DE 1 PZA DE 6MTS SALEN 5 TROZOS DE 1.2MTS</t>
        </r>
      </text>
    </comment>
    <comment ref="B56" authorId="0" shapeId="0" xr:uid="{09EBEC1B-C754-4407-9B0F-77C44EF02211}">
      <text>
        <r>
          <rPr>
            <b/>
            <sz val="9"/>
            <color indexed="81"/>
            <rFont val="Tahoma"/>
            <family val="2"/>
          </rPr>
          <t>Leolca:</t>
        </r>
        <r>
          <rPr>
            <sz val="9"/>
            <color indexed="81"/>
            <rFont val="Tahoma"/>
            <family val="2"/>
          </rPr>
          <t xml:space="preserve">
SI VA SIN FRENTE NO LLEVA Y SI LLEVA FRENTE 
LLEVA 2.1 MTS</t>
        </r>
      </text>
    </comment>
    <comment ref="C56" authorId="0" shapeId="0" xr:uid="{8BFE6D0A-0BE4-417E-9208-5FE84395CAC2}">
      <text>
        <r>
          <rPr>
            <b/>
            <sz val="9"/>
            <color indexed="81"/>
            <rFont val="Tahoma"/>
            <family val="2"/>
          </rPr>
          <t>Leolca:</t>
        </r>
        <r>
          <rPr>
            <sz val="9"/>
            <color indexed="81"/>
            <rFont val="Tahoma"/>
            <family val="2"/>
          </rPr>
          <t xml:space="preserve">
PRECIO DE $349.16 POR PZAS
SALEN 3 TROZOS DE 2.1 MTS POR PZAS</t>
        </r>
      </text>
    </comment>
    <comment ref="C57" authorId="0" shapeId="0" xr:uid="{3047B11E-1F55-47FC-8F10-F9C97EE2E11B}">
      <text>
        <r>
          <rPr>
            <b/>
            <sz val="9"/>
            <color indexed="81"/>
            <rFont val="Tahoma"/>
            <family val="2"/>
          </rPr>
          <t>Leolca:</t>
        </r>
        <r>
          <rPr>
            <sz val="9"/>
            <color indexed="81"/>
            <rFont val="Tahoma"/>
            <family val="2"/>
          </rPr>
          <t xml:space="preserve">
PZA DE 6MTS CUESTA $917
SON 5 TROZOS 1.2MTS POR PZA</t>
        </r>
      </text>
    </comment>
    <comment ref="C64" authorId="0" shapeId="0" xr:uid="{C37E1FBF-FA2F-4DE8-8282-95ADF5CF7C73}">
      <text>
        <r>
          <rPr>
            <b/>
            <sz val="9"/>
            <color indexed="81"/>
            <rFont val="Tahoma"/>
            <family val="2"/>
          </rPr>
          <t>Leolca:</t>
        </r>
        <r>
          <rPr>
            <sz val="9"/>
            <color indexed="81"/>
            <rFont val="Tahoma"/>
            <family val="2"/>
          </rPr>
          <t xml:space="preserve">
</t>
        </r>
      </text>
    </comment>
    <comment ref="C84" authorId="0" shapeId="0" xr:uid="{97BCB7D6-4E5D-41B2-AA53-9B77C1C2095C}">
      <text>
        <r>
          <rPr>
            <b/>
            <sz val="9"/>
            <color indexed="81"/>
            <rFont val="Tahoma"/>
            <family val="2"/>
          </rPr>
          <t>Leolca:</t>
        </r>
        <r>
          <rPr>
            <sz val="9"/>
            <color indexed="81"/>
            <rFont val="Tahoma"/>
            <family val="2"/>
          </rPr>
          <t xml:space="preserve">
SEGÚN FACTURA FPACH38260 DE AZTNOR DEL 06/11/23</t>
        </r>
      </text>
    </comment>
    <comment ref="I85" authorId="0" shapeId="0" xr:uid="{09E2392A-A34A-40B2-AB58-179C7F570340}">
      <text>
        <r>
          <rPr>
            <b/>
            <sz val="9"/>
            <color indexed="81"/>
            <rFont val="Tahoma"/>
            <family val="2"/>
          </rPr>
          <t>Leolca:</t>
        </r>
        <r>
          <rPr>
            <sz val="9"/>
            <color indexed="81"/>
            <rFont val="Tahoma"/>
            <family val="2"/>
          </rPr>
          <t xml:space="preserve">
$ 18750 MAS IVA 
$21750 CON IVA</t>
        </r>
      </text>
    </comment>
    <comment ref="C89" authorId="0" shapeId="0" xr:uid="{EF12D286-3486-4011-BB4C-B6B3F7574508}">
      <text>
        <r>
          <rPr>
            <b/>
            <sz val="9"/>
            <color indexed="81"/>
            <rFont val="Tahoma"/>
            <family val="2"/>
          </rPr>
          <t>Leolca:</t>
        </r>
        <r>
          <rPr>
            <sz val="9"/>
            <color indexed="81"/>
            <rFont val="Tahoma"/>
            <family val="2"/>
          </rPr>
          <t xml:space="preserve">
$19,883 SIN IVA</t>
        </r>
      </text>
    </comment>
    <comment ref="C94" authorId="0" shapeId="0" xr:uid="{C7F67085-2A40-4D8A-9301-0F34C1C4BD3B}">
      <text>
        <r>
          <rPr>
            <b/>
            <sz val="9"/>
            <color indexed="81"/>
            <rFont val="Tahoma"/>
            <family val="2"/>
          </rPr>
          <t>Leolca:</t>
        </r>
        <r>
          <rPr>
            <sz val="9"/>
            <color indexed="81"/>
            <rFont val="Tahoma"/>
            <family val="2"/>
          </rPr>
          <t xml:space="preserve">
$5333.68 PRECIO DE PAR DE PATINES
</t>
        </r>
      </text>
    </comment>
    <comment ref="C136" authorId="1" shapeId="0" xr:uid="{AC732293-B0F9-432A-B6A5-56DE57544387}">
      <text>
        <r>
          <rPr>
            <b/>
            <sz val="9"/>
            <color indexed="81"/>
            <rFont val="Tahoma"/>
            <family val="2"/>
          </rPr>
          <t>leonardo lozada:</t>
        </r>
        <r>
          <rPr>
            <sz val="9"/>
            <color indexed="81"/>
            <rFont val="Tahoma"/>
            <family val="2"/>
          </rPr>
          <t xml:space="preserve">
5890+IVA</t>
        </r>
      </text>
    </comment>
    <comment ref="C180" authorId="0" shapeId="0" xr:uid="{22CB3B53-F0E3-4DA3-AFCA-0C236F3C67DA}">
      <text>
        <r>
          <rPr>
            <b/>
            <sz val="9"/>
            <color indexed="81"/>
            <rFont val="Tahoma"/>
            <family val="2"/>
          </rPr>
          <t>Leolca:</t>
        </r>
        <r>
          <rPr>
            <sz val="9"/>
            <color indexed="81"/>
            <rFont val="Tahoma"/>
            <family val="2"/>
          </rPr>
          <t xml:space="preserve">
SEGU LA FACTURA FV-0060910 03/11/23 DE PROMARE</t>
        </r>
      </text>
    </comment>
    <comment ref="C181" authorId="0" shapeId="0" xr:uid="{AE448162-0DF6-4295-9AF5-DB92A13CD8C6}">
      <text>
        <r>
          <rPr>
            <b/>
            <sz val="9"/>
            <color indexed="81"/>
            <rFont val="Tahoma"/>
            <family val="2"/>
          </rPr>
          <t>Leolca:</t>
        </r>
        <r>
          <rPr>
            <sz val="9"/>
            <color indexed="81"/>
            <rFont val="Tahoma"/>
            <family val="2"/>
          </rPr>
          <t xml:space="preserve">
$4582.00 TENIA</t>
        </r>
      </text>
    </comment>
    <comment ref="C192" authorId="0" shapeId="0" xr:uid="{114046CF-5075-4F69-A29C-8AC0B4C8E0B6}">
      <text>
        <r>
          <rPr>
            <b/>
            <sz val="9"/>
            <color indexed="81"/>
            <rFont val="Tahoma"/>
            <family val="2"/>
          </rPr>
          <t>Leolca:</t>
        </r>
        <r>
          <rPr>
            <sz val="9"/>
            <color indexed="81"/>
            <rFont val="Tahoma"/>
            <family val="2"/>
          </rPr>
          <t xml:space="preserve">
PRECIO DE LLANTAS ESTABA EN 3700</t>
        </r>
      </text>
    </comment>
    <comment ref="B203" authorId="0" shapeId="0" xr:uid="{AE041015-8D64-4DBA-A046-3424C44441CA}">
      <text>
        <r>
          <rPr>
            <b/>
            <sz val="9"/>
            <color indexed="81"/>
            <rFont val="Tahoma"/>
            <family val="2"/>
          </rPr>
          <t>Leolca:</t>
        </r>
        <r>
          <rPr>
            <sz val="9"/>
            <color indexed="81"/>
            <rFont val="Tahoma"/>
            <family val="2"/>
          </rPr>
          <t xml:space="preserve">
POLINERA</t>
        </r>
      </text>
    </comment>
    <comment ref="B210" authorId="0" shapeId="0" xr:uid="{01336C8C-6250-4660-ACD4-48F4C4D95300}">
      <text>
        <r>
          <rPr>
            <b/>
            <sz val="9"/>
            <color indexed="81"/>
            <rFont val="Tahoma"/>
            <family val="2"/>
          </rPr>
          <t>Leolca:</t>
        </r>
        <r>
          <rPr>
            <sz val="9"/>
            <color indexed="81"/>
            <rFont val="Tahoma"/>
            <family val="2"/>
          </rPr>
          <t xml:space="preserve">
16 parte trasera
20 parte laterales</t>
        </r>
      </text>
    </comment>
    <comment ref="C218" authorId="0" shapeId="0" xr:uid="{3EFAF0FC-6701-4B72-B058-EDDA0717C097}">
      <text>
        <r>
          <rPr>
            <b/>
            <sz val="9"/>
            <color indexed="81"/>
            <rFont val="Tahoma"/>
            <family val="2"/>
          </rPr>
          <t>Leolca:</t>
        </r>
        <r>
          <rPr>
            <sz val="9"/>
            <color indexed="81"/>
            <rFont val="Tahoma"/>
            <family val="2"/>
          </rPr>
          <t xml:space="preserve">
SISTE PSI MERITOR $12989.56 MAS IVA $15067.89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Leolca</author>
  </authors>
  <commentList>
    <comment ref="A42" authorId="0" shapeId="0" xr:uid="{BCFC83F8-19D1-4116-A919-ECF944441517}">
      <text>
        <r>
          <rPr>
            <b/>
            <sz val="9"/>
            <color indexed="81"/>
            <rFont val="Tahoma"/>
            <family val="2"/>
          </rPr>
          <t>Leolca:</t>
        </r>
        <r>
          <rPr>
            <sz val="9"/>
            <color indexed="81"/>
            <rFont val="Tahoma"/>
            <family val="2"/>
          </rPr>
          <t xml:space="preserve">
3 MTS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Leolca</author>
  </authors>
  <commentList>
    <comment ref="B20" authorId="0" shapeId="0" xr:uid="{9D672125-E8F4-4E29-A602-CC64548280F2}">
      <text>
        <r>
          <rPr>
            <b/>
            <sz val="9"/>
            <color indexed="81"/>
            <rFont val="Tahoma"/>
            <family val="2"/>
          </rPr>
          <t>Leolca:</t>
        </r>
        <r>
          <rPr>
            <sz val="9"/>
            <color indexed="81"/>
            <rFont val="Tahoma"/>
            <family val="2"/>
          </rPr>
          <t xml:space="preserve">
MEDIDAS 48 ALTO X 90 ANCHO X 1.80 LARGO</t>
        </r>
      </text>
    </comment>
    <comment ref="B39" authorId="0" shapeId="0" xr:uid="{B96CE859-E9C0-4E79-90D1-D022C0059FBB}">
      <text>
        <r>
          <rPr>
            <b/>
            <sz val="9"/>
            <color indexed="81"/>
            <rFont val="Tahoma"/>
            <family val="2"/>
          </rPr>
          <t>Leolca:</t>
        </r>
        <r>
          <rPr>
            <sz val="9"/>
            <color indexed="81"/>
            <rFont val="Tahoma"/>
            <family val="2"/>
          </rPr>
          <t xml:space="preserve">
SE  LLEVA 4 TROZOS DE 1.11 M </t>
        </r>
      </text>
    </comment>
    <comment ref="B40" authorId="0" shapeId="0" xr:uid="{FC4C1E3B-95F3-4990-AAC2-68084CA6AF81}">
      <text>
        <r>
          <rPr>
            <b/>
            <sz val="9"/>
            <color indexed="81"/>
            <rFont val="Tahoma"/>
            <family val="2"/>
          </rPr>
          <t>Leolca:</t>
        </r>
        <r>
          <rPr>
            <sz val="9"/>
            <color indexed="81"/>
            <rFont val="Tahoma"/>
            <family val="2"/>
          </rPr>
          <t xml:space="preserve">
SE LLEVA 1.20 M POR PLATAFORMA</t>
        </r>
      </text>
    </comment>
    <comment ref="B44" authorId="0" shapeId="0" xr:uid="{73F49498-83B4-4E63-B946-B9664AC04110}">
      <text>
        <r>
          <rPr>
            <b/>
            <sz val="9"/>
            <color indexed="81"/>
            <rFont val="Tahoma"/>
            <family val="2"/>
          </rPr>
          <t>Leolca:</t>
        </r>
        <r>
          <rPr>
            <sz val="9"/>
            <color indexed="81"/>
            <rFont val="Tahoma"/>
            <family val="2"/>
          </rPr>
          <t xml:space="preserve">
SE LLEVA 4.2 M POR PLATAFORMA</t>
        </r>
      </text>
    </comment>
    <comment ref="A46" authorId="0" shapeId="0" xr:uid="{CF16F699-BA5B-490D-9D38-D8BAFA82BD2F}">
      <text>
        <r>
          <rPr>
            <b/>
            <sz val="9"/>
            <color indexed="81"/>
            <rFont val="Tahoma"/>
            <family val="2"/>
          </rPr>
          <t>Leolca:</t>
        </r>
        <r>
          <rPr>
            <sz val="9"/>
            <color indexed="81"/>
            <rFont val="Tahoma"/>
            <family val="2"/>
          </rPr>
          <t xml:space="preserve">
SON 3 METROS POR REMOLQUE</t>
        </r>
      </text>
    </comment>
    <comment ref="B49" authorId="0" shapeId="0" xr:uid="{0B2D84E5-05AC-425E-A80B-F218DC96A442}">
      <text>
        <r>
          <rPr>
            <b/>
            <sz val="9"/>
            <color indexed="81"/>
            <rFont val="Tahoma"/>
            <family val="2"/>
          </rPr>
          <t>Leolca:</t>
        </r>
        <r>
          <rPr>
            <sz val="9"/>
            <color indexed="81"/>
            <rFont val="Tahoma"/>
            <family val="2"/>
          </rPr>
          <t xml:space="preserve">
1.27 MTS POR REMOLQUE 
PARA PORTA LODERAS CORREDIZA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Armadora Leolca</author>
  </authors>
  <commentList>
    <comment ref="Q7" authorId="0" shapeId="0" xr:uid="{A97EF402-1179-4011-8547-FC0D8B2670BD}">
      <text>
        <r>
          <rPr>
            <b/>
            <sz val="9"/>
            <color indexed="81"/>
            <rFont val="Tahoma"/>
            <family val="2"/>
          </rPr>
          <t>Armadora Leolca:</t>
        </r>
        <r>
          <rPr>
            <sz val="9"/>
            <color indexed="81"/>
            <rFont val="Tahoma"/>
            <family val="2"/>
          </rPr>
          <t xml:space="preserve">
EMPRESA Y/O CONTACTO</t>
        </r>
      </text>
    </comment>
    <comment ref="Q8" authorId="0" shapeId="0" xr:uid="{BF08CC70-2B82-42D3-AE72-BEA03576E96C}">
      <text>
        <r>
          <rPr>
            <b/>
            <sz val="9"/>
            <color indexed="81"/>
            <rFont val="Tahoma"/>
            <family val="2"/>
          </rPr>
          <t>Armadora Leolca:</t>
        </r>
        <r>
          <rPr>
            <sz val="9"/>
            <color indexed="81"/>
            <rFont val="Tahoma"/>
            <family val="2"/>
          </rPr>
          <t xml:space="preserve">
CALLE, No., COLONIA </t>
        </r>
      </text>
    </comment>
    <comment ref="Q9" authorId="0" shapeId="0" xr:uid="{36531F8F-FD62-4D0B-9F47-9B8D49446CFA}">
      <text>
        <r>
          <rPr>
            <b/>
            <sz val="9"/>
            <color indexed="81"/>
            <rFont val="Tahoma"/>
            <family val="2"/>
          </rPr>
          <t>Armadora Leolca:</t>
        </r>
        <r>
          <rPr>
            <sz val="9"/>
            <color indexed="81"/>
            <rFont val="Tahoma"/>
            <family val="2"/>
          </rPr>
          <t xml:space="preserve">
MUNICIPIO, ESTADO, PAIS.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Leolca</author>
  </authors>
  <commentList>
    <comment ref="B12" authorId="0" shapeId="0" xr:uid="{9D8CEBFE-8B65-4013-BA38-B63FEAE7433E}">
      <text>
        <r>
          <rPr>
            <b/>
            <sz val="9"/>
            <color indexed="81"/>
            <rFont val="Tahoma"/>
            <family val="2"/>
          </rPr>
          <t>Leolca:</t>
        </r>
        <r>
          <rPr>
            <sz val="9"/>
            <color indexed="81"/>
            <rFont val="Tahoma"/>
            <family val="2"/>
          </rPr>
          <t xml:space="preserve">
PARA CABALLETES 6 TROZOS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Leolca</author>
  </authors>
  <commentList>
    <comment ref="B13" authorId="0" shapeId="0" xr:uid="{BC982121-CE19-4F32-B3E2-9D3218684529}">
      <text>
        <r>
          <rPr>
            <b/>
            <sz val="9"/>
            <color indexed="81"/>
            <rFont val="Tahoma"/>
            <family val="2"/>
          </rPr>
          <t>Leolca:</t>
        </r>
        <r>
          <rPr>
            <sz val="9"/>
            <color indexed="81"/>
            <rFont val="Tahoma"/>
            <family val="2"/>
          </rPr>
          <t xml:space="preserve">
.15CM X 2.60 MTS .39 MTS
.39MTS 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THINKPAD</author>
  </authors>
  <commentList>
    <comment ref="L4" authorId="0" shapeId="0" xr:uid="{BD7523F6-2FCC-4E91-9A13-B8665B548335}">
      <text>
        <r>
          <rPr>
            <b/>
            <sz val="9"/>
            <color indexed="81"/>
            <rFont val="Tahoma"/>
            <family val="2"/>
          </rPr>
          <t>THINKPAD:</t>
        </r>
        <r>
          <rPr>
            <sz val="9"/>
            <color indexed="81"/>
            <rFont val="Tahoma"/>
            <family val="2"/>
          </rPr>
          <t xml:space="preserve">
INSERTAR EN CADA CELDA UN NUMERO O LETRA SEGÚN SEA EL CASO</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THINKPAD</author>
    <author>Leolca</author>
  </authors>
  <commentList>
    <comment ref="B11" authorId="0" shapeId="0" xr:uid="{AB038D08-B2F5-4FE3-9E7C-6F15B47A4C0F}">
      <text>
        <r>
          <rPr>
            <b/>
            <sz val="9"/>
            <color indexed="81"/>
            <rFont val="Tahoma"/>
            <family val="2"/>
          </rPr>
          <t>THINKPAD:</t>
        </r>
        <r>
          <rPr>
            <sz val="9"/>
            <color indexed="81"/>
            <rFont val="Tahoma"/>
            <family val="2"/>
          </rPr>
          <t xml:space="preserve">
ARACELI MARTINEZ HERNANDEZ</t>
        </r>
      </text>
    </comment>
    <comment ref="B12" authorId="0" shapeId="0" xr:uid="{EEB3DD25-73DF-4B12-A75D-161B12C17BDF}">
      <text>
        <r>
          <rPr>
            <b/>
            <sz val="9"/>
            <color indexed="81"/>
            <rFont val="Tahoma"/>
            <family val="2"/>
          </rPr>
          <t>THINKPAD:</t>
        </r>
        <r>
          <rPr>
            <sz val="9"/>
            <color indexed="81"/>
            <rFont val="Tahoma"/>
            <family val="2"/>
          </rPr>
          <t xml:space="preserve">
ARACELI MARTINEZ HERNANDEZ</t>
        </r>
      </text>
    </comment>
    <comment ref="G12" authorId="0" shapeId="0" xr:uid="{300D41AF-6F41-45B7-A7EC-8162D769EB15}">
      <text>
        <r>
          <rPr>
            <b/>
            <sz val="9"/>
            <color indexed="81"/>
            <rFont val="Tahoma"/>
            <family val="2"/>
          </rPr>
          <t>THINKPAD:</t>
        </r>
        <r>
          <rPr>
            <sz val="9"/>
            <color indexed="81"/>
            <rFont val="Tahoma"/>
            <family val="2"/>
          </rPr>
          <t xml:space="preserve">
EL P/U ES DE $210,000.00  Y
SE LE SUMO EL ADEUDO DE $18MIL DE LOS CHASIS DEL 2022</t>
        </r>
      </text>
    </comment>
    <comment ref="B63" authorId="1" shapeId="0" xr:uid="{B9379D16-C762-483D-A0BA-192A1675D828}">
      <text>
        <r>
          <rPr>
            <b/>
            <sz val="9"/>
            <color indexed="81"/>
            <rFont val="Tahoma"/>
            <family val="2"/>
          </rPr>
          <t>Leolca:</t>
        </r>
        <r>
          <rPr>
            <sz val="9"/>
            <color indexed="81"/>
            <rFont val="Tahoma"/>
            <family val="2"/>
          </rPr>
          <t xml:space="preserve">
EN HOJA DE SALIDA SALIO A NOMBRE DE KAERI ESTRADA CRUZ</t>
        </r>
      </text>
    </comment>
    <comment ref="B91" authorId="1" shapeId="0" xr:uid="{E6EE4097-FFF0-413A-9D2F-03C8664E4AED}">
      <text>
        <r>
          <rPr>
            <b/>
            <sz val="9"/>
            <color indexed="81"/>
            <rFont val="Tahoma"/>
            <family val="2"/>
          </rPr>
          <t>Leolca:</t>
        </r>
        <r>
          <rPr>
            <sz val="9"/>
            <color indexed="81"/>
            <rFont val="Tahoma"/>
            <family val="2"/>
          </rPr>
          <t xml:space="preserve">
EN LA HOJA DE SALIDA SALIO A NOMBRE SE CESAR VALDEZ EN COLOR AMARILLO</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THINKPAD</author>
  </authors>
  <commentList>
    <comment ref="G30" authorId="0" shapeId="0" xr:uid="{045B187B-4104-4B8C-9260-D82EEBE153BF}">
      <text>
        <r>
          <rPr>
            <b/>
            <sz val="9"/>
            <color indexed="81"/>
            <rFont val="Tahoma"/>
            <family val="2"/>
          </rPr>
          <t>THINKPAD:</t>
        </r>
        <r>
          <rPr>
            <sz val="9"/>
            <color indexed="81"/>
            <rFont val="Tahoma"/>
            <family val="2"/>
          </rPr>
          <t xml:space="preserve">
EN ESTADO DE CUENTA TIENE 26/09/22 Y FACTURA 1356</t>
        </r>
      </text>
    </comment>
    <comment ref="G49" authorId="0" shapeId="0" xr:uid="{BDF6D35E-75DD-4E90-8D13-92810F0D2DF4}">
      <text>
        <r>
          <rPr>
            <b/>
            <sz val="9"/>
            <color indexed="81"/>
            <rFont val="Tahoma"/>
            <family val="2"/>
          </rPr>
          <t>THINKPAD:</t>
        </r>
        <r>
          <rPr>
            <sz val="9"/>
            <color indexed="81"/>
            <rFont val="Tahoma"/>
            <family val="2"/>
          </rPr>
          <t xml:space="preserve">
ESTE DOLLIN DE GABINO MALDONADO MORALES ESTA PAGADO JUNTO CON LOS ANTICIPOS DE LOS FOLIOS NM299174 Y NM299176
SOLO CUENTA CON UN ADEUDO DE $18MIL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Armadora Leolca</author>
    <author>Leolca</author>
    <author>THINKPAD</author>
  </authors>
  <commentList>
    <comment ref="D9" authorId="0" shapeId="0" xr:uid="{41817CAB-871F-408C-889F-E28029169938}">
      <text>
        <r>
          <rPr>
            <b/>
            <sz val="9"/>
            <color indexed="81"/>
            <rFont val="Tahoma"/>
            <family val="2"/>
          </rPr>
          <t>Armadora Leolca:</t>
        </r>
        <r>
          <rPr>
            <sz val="9"/>
            <color indexed="81"/>
            <rFont val="Tahoma"/>
            <family val="2"/>
          </rPr>
          <t xml:space="preserve">
EMPRESA Y/O CONTACTO</t>
        </r>
      </text>
    </comment>
    <comment ref="E9" authorId="0" shapeId="0" xr:uid="{BCEF8235-5000-416A-95A5-D4E528E721B9}">
      <text>
        <r>
          <rPr>
            <b/>
            <sz val="9"/>
            <color indexed="81"/>
            <rFont val="Tahoma"/>
            <family val="2"/>
          </rPr>
          <t>Armadora Leolca:</t>
        </r>
        <r>
          <rPr>
            <sz val="9"/>
            <color indexed="81"/>
            <rFont val="Tahoma"/>
            <family val="2"/>
          </rPr>
          <t xml:space="preserve">
CALLE, No., COLONIA </t>
        </r>
      </text>
    </comment>
    <comment ref="F9" authorId="0" shapeId="0" xr:uid="{4FEB7DD5-5593-40AA-9CC8-0CC44C8717CA}">
      <text>
        <r>
          <rPr>
            <b/>
            <sz val="9"/>
            <color indexed="81"/>
            <rFont val="Tahoma"/>
            <family val="2"/>
          </rPr>
          <t>Armadora Leolca:</t>
        </r>
        <r>
          <rPr>
            <sz val="9"/>
            <color indexed="81"/>
            <rFont val="Tahoma"/>
            <family val="2"/>
          </rPr>
          <t xml:space="preserve">
MUNICIPIO, ESTADO, PAIS. </t>
        </r>
      </text>
    </comment>
    <comment ref="H38" authorId="1" shapeId="0" xr:uid="{15D2B674-DDDA-4FED-8D2E-40D09E02C2C6}">
      <text>
        <r>
          <rPr>
            <b/>
            <sz val="9"/>
            <color indexed="81"/>
            <rFont val="Tahoma"/>
            <family val="2"/>
          </rPr>
          <t>Leolca:</t>
        </r>
        <r>
          <rPr>
            <sz val="9"/>
            <color indexed="81"/>
            <rFont val="Tahoma"/>
            <family val="2"/>
          </rPr>
          <t xml:space="preserve">
CONTACTO DIANA JIMENEZ 773 103 0083</t>
        </r>
      </text>
    </comment>
    <comment ref="B76" authorId="2" shapeId="0" xr:uid="{FCFCED5A-6C77-4146-B18D-C314F6C357A6}">
      <text>
        <r>
          <rPr>
            <b/>
            <sz val="9"/>
            <color indexed="81"/>
            <rFont val="Tahoma"/>
            <family val="2"/>
          </rPr>
          <t>THINKPAD:</t>
        </r>
        <r>
          <rPr>
            <sz val="9"/>
            <color indexed="81"/>
            <rFont val="Tahoma"/>
            <family val="2"/>
          </rPr>
          <t xml:space="preserve">
PASCUAL</t>
        </r>
      </text>
    </comment>
    <comment ref="B84" authorId="2" shapeId="0" xr:uid="{EDC1AD39-18FA-4496-B302-8F961E83C6D5}">
      <text>
        <r>
          <rPr>
            <b/>
            <sz val="9"/>
            <color indexed="81"/>
            <rFont val="Tahoma"/>
            <family val="2"/>
          </rPr>
          <t>THINKPAD:</t>
        </r>
        <r>
          <rPr>
            <sz val="9"/>
            <color indexed="81"/>
            <rFont val="Tahoma"/>
            <family val="2"/>
          </rPr>
          <t xml:space="preserve">
HECTOR URIBE</t>
        </r>
      </text>
    </comment>
    <comment ref="B94" authorId="2" shapeId="0" xr:uid="{3DB74CE6-3989-490A-AEAF-9C13161F26FE}">
      <text>
        <r>
          <rPr>
            <b/>
            <sz val="9"/>
            <color indexed="81"/>
            <rFont val="Tahoma"/>
            <family val="2"/>
          </rPr>
          <t>THINKPAD:</t>
        </r>
        <r>
          <rPr>
            <sz val="9"/>
            <color indexed="81"/>
            <rFont val="Tahoma"/>
            <family val="2"/>
          </rPr>
          <t xml:space="preserve">
JORGE ISLAS</t>
        </r>
      </text>
    </comment>
    <comment ref="B96" authorId="2" shapeId="0" xr:uid="{46B124E7-88D0-4FF7-8E0D-3C91ED4AE25C}">
      <text>
        <r>
          <rPr>
            <b/>
            <sz val="9"/>
            <color indexed="81"/>
            <rFont val="Tahoma"/>
            <family val="2"/>
          </rPr>
          <t>THINKPAD:</t>
        </r>
        <r>
          <rPr>
            <sz val="9"/>
            <color indexed="81"/>
            <rFont val="Tahoma"/>
            <family val="2"/>
          </rPr>
          <t xml:space="preserve">
CERVANTES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FE33750-BFAE-45D3-91F7-0877AD405FFC}" name="Consulta - Page001" description="Conexión a la consulta 'Page001' en el libro." type="100" refreshedVersion="8" minRefreshableVersion="5">
    <extLst>
      <ext xmlns:x15="http://schemas.microsoft.com/office/spreadsheetml/2010/11/main" uri="{DE250136-89BD-433C-8126-D09CA5730AF9}">
        <x15:connection id="f1f5354e-7fb2-4e9c-82e4-d868cf47fa87"/>
      </ext>
    </extLst>
  </connection>
  <connection id="2" xr16:uid="{92C84553-E372-4DA3-BB38-65BB41FC0845}" name="Consulta - Page002" description="Conexión a la consulta 'Page002' en el libro." type="100" refreshedVersion="8" minRefreshableVersion="5">
    <extLst>
      <ext xmlns:x15="http://schemas.microsoft.com/office/spreadsheetml/2010/11/main" uri="{DE250136-89BD-433C-8126-D09CA5730AF9}">
        <x15:connection id="b01320e8-bbfd-4ebe-b582-b9b75abdd027"/>
      </ext>
    </extLst>
  </connection>
  <connection id="3" xr16:uid="{17898422-617E-4EDB-8CC1-A8B638B1FA40}" name="Consulta - Page003" description="Conexión a la consulta 'Page003' en el libro." type="100" refreshedVersion="8" minRefreshableVersion="5">
    <extLst>
      <ext xmlns:x15="http://schemas.microsoft.com/office/spreadsheetml/2010/11/main" uri="{DE250136-89BD-433C-8126-D09CA5730AF9}">
        <x15:connection id="52d7da92-6879-4dd6-aac4-07521306f6aa"/>
      </ext>
    </extLst>
  </connection>
  <connection id="4" xr16:uid="{046F31B9-78FE-43BD-9771-ABB9A23E0E78}" name="Consulta - Table001 (Page 1)" description="Conexión a la consulta 'Table001 (Page 1)' en el libro." type="100" refreshedVersion="8" minRefreshableVersion="5">
    <extLst>
      <ext xmlns:x15="http://schemas.microsoft.com/office/spreadsheetml/2010/11/main" uri="{DE250136-89BD-433C-8126-D09CA5730AF9}">
        <x15:connection id="d019fa59-9ae8-4272-a11f-abd26499169c"/>
      </ext>
    </extLst>
  </connection>
  <connection id="5" xr16:uid="{891FA2BC-A447-445F-879D-1273C3120BB3}" name="Consulta - Table002 (Page 3)" description="Conexión a la consulta 'Table002 (Page 3)' en el libro." type="100" refreshedVersion="8" minRefreshableVersion="5">
    <extLst>
      <ext xmlns:x15="http://schemas.microsoft.com/office/spreadsheetml/2010/11/main" uri="{DE250136-89BD-433C-8126-D09CA5730AF9}">
        <x15:connection id="b52c21dd-ef14-4bb8-95c1-f415dfcba490"/>
      </ext>
    </extLst>
  </connection>
  <connection id="6" xr16:uid="{D9F22BC0-E806-42C2-A8F2-609D8E57E2DA}" name="Consulta - Table004 (Page 3)" description="Conexión a la consulta 'Table004 (Page 3)' en el libro." type="100" refreshedVersion="8" minRefreshableVersion="5">
    <extLst>
      <ext xmlns:x15="http://schemas.microsoft.com/office/spreadsheetml/2010/11/main" uri="{DE250136-89BD-433C-8126-D09CA5730AF9}">
        <x15:connection id="d444f3d3-be85-4444-8fdc-104b15cec7bc"/>
      </ext>
    </extLst>
  </connection>
  <connection id="7" xr16:uid="{F078B37B-422D-41FA-BA96-30F0DF387F41}" sourceFile="C:\Users\THINKPAD\Documents\Leolca\Leolca.xlsm" keepAlive="1" name="Leolca" type="5" refreshedVersion="8" background="1">
    <dbPr connection="Provider=Microsoft.ACE.OLEDB.12.0;User ID=Admin;Data Source=C:\Users\THINKPAD\Documents\Leolca\Leolca.xlsm;Mode=Share Deny Write;Extended Properties=&quot;HDR=YES;&quot;;Jet OLEDB:System database=&quot;&quot;;Jet OLEDB:Registry Path=&quot;&quot;;Jet OLEDB:Engine Type=35;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PRODUCTOS$" commandType="3"/>
  </connection>
  <connection id="8" xr16:uid="{B7FBA7E8-A743-4957-9736-052E5F4B7063}" keepAlive="1" name="ThisWorkbookDataModel" description="Modelo de dato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xr16:uid="{19C112E2-2307-4E8A-98F4-575B62EFC67B}" name="WorksheetConnection_Leolca.xlsm!extras" type="102" refreshedVersion="8" minRefreshableVersion="5">
    <extLst>
      <ext xmlns:x15="http://schemas.microsoft.com/office/spreadsheetml/2010/11/main" uri="{DE250136-89BD-433C-8126-D09CA5730AF9}">
        <x15:connection id="extras">
          <x15:rangePr sourceName="_xlcn.WorksheetConnection_Leolca.xlsmextras1"/>
        </x15:connection>
      </ext>
    </extLst>
  </connection>
  <connection id="10" xr16:uid="{1513153C-7694-4BC4-9C64-6FC94122645E}" name="WorksheetConnection_Leolca.xlsm!otros" type="102" refreshedVersion="8" minRefreshableVersion="5">
    <extLst>
      <ext xmlns:x15="http://schemas.microsoft.com/office/spreadsheetml/2010/11/main" uri="{DE250136-89BD-433C-8126-D09CA5730AF9}">
        <x15:connection id="otros">
          <x15:rangePr sourceName="_xlcn.WorksheetConnection_Leolca.xlsmotros1"/>
        </x15:connection>
      </ext>
    </extLst>
  </connection>
  <connection id="11" xr16:uid="{86E9AAFA-22DA-4DF7-9631-51BE8F64E6C7}" name="WorksheetConnection_Leolca.xlsm!piramide" type="102" refreshedVersion="8" minRefreshableVersion="5">
    <extLst>
      <ext xmlns:x15="http://schemas.microsoft.com/office/spreadsheetml/2010/11/main" uri="{DE250136-89BD-433C-8126-D09CA5730AF9}">
        <x15:connection id="piramide">
          <x15:rangePr sourceName="_xlcn.WorksheetConnection_Leolca.xlsmpiramide1"/>
        </x15:connection>
      </ext>
    </extLst>
  </connection>
  <connection id="12" xr16:uid="{4DA93DD2-4F2E-40FB-977A-12977343189A}" name="WorksheetConnection_Leolca.xlsm!Tabla24" type="102" refreshedVersion="8" minRefreshableVersion="5">
    <extLst>
      <ext xmlns:x15="http://schemas.microsoft.com/office/spreadsheetml/2010/11/main" uri="{DE250136-89BD-433C-8126-D09CA5730AF9}">
        <x15:connection id="Tabla24">
          <x15:rangePr sourceName="_xlcn.WorksheetConnection_Leolca.xlsmTabla241"/>
        </x15:connection>
      </ext>
    </extLst>
  </connection>
  <connection id="13" xr16:uid="{2823278E-2A63-4EFA-AA68-B5EBC29BC6F4}" name="WorksheetConnection_Leolca.xlsm!truckzone" type="102" refreshedVersion="8" minRefreshableVersion="5">
    <extLst>
      <ext xmlns:x15="http://schemas.microsoft.com/office/spreadsheetml/2010/11/main" uri="{DE250136-89BD-433C-8126-D09CA5730AF9}">
        <x15:connection id="truckzone">
          <x15:rangePr sourceName="_xlcn.WorksheetConnection_Leolca.xlsmtruckzone1"/>
        </x15:connection>
      </ext>
    </extLst>
  </connection>
  <connection id="14" xr16:uid="{EDCF497D-339E-4DEA-9618-39848A7E23ED}" name="WorksheetConnection_Presupuesto y Cotizaciones Leolca.xlsm!ACERO" type="102" refreshedVersion="8" minRefreshableVersion="5">
    <extLst>
      <ext xmlns:x15="http://schemas.microsoft.com/office/spreadsheetml/2010/11/main" uri="{DE250136-89BD-433C-8126-D09CA5730AF9}">
        <x15:connection id="ACERO 1" autoDelete="1">
          <x15:rangePr sourceName="_xlcn.WorksheetConnection_PresupuestoyCotizacionesLeolca.xlsmACERO1"/>
        </x15:connection>
      </ext>
    </extLst>
  </connection>
  <connection id="15" xr16:uid="{C7787DAC-2C34-473A-A032-653BA6E4070D}" name="WorksheetConnection_Presupuesto y Cotizaciones Leolca.xlsm!CHASIS" type="102" refreshedVersion="8" minRefreshableVersion="5">
    <extLst>
      <ext xmlns:x15="http://schemas.microsoft.com/office/spreadsheetml/2010/11/main" uri="{DE250136-89BD-433C-8126-D09CA5730AF9}">
        <x15:connection id="CHASIS" autoDelete="1">
          <x15:rangePr sourceName="_xlcn.WorksheetConnection_PresupuestoyCotizacionesLeolca.xlsmCHASIS1"/>
        </x15:connection>
      </ext>
    </extLst>
  </connection>
  <connection id="16" xr16:uid="{2E037B67-932D-4CF8-BCF1-D6BD4A6C52BE}" name="WorksheetConnection_Presupuesto y Cotizaciones Leolca.xlsm!clientes" type="102" refreshedVersion="8" minRefreshableVersion="5">
    <extLst>
      <ext xmlns:x15="http://schemas.microsoft.com/office/spreadsheetml/2010/11/main" uri="{DE250136-89BD-433C-8126-D09CA5730AF9}">
        <x15:connection id="clientes" autoDelete="1">
          <x15:rangePr sourceName="_xlcn.WorksheetConnection_PresupuestoyCotizacionesLeolca.xlsmclientes1"/>
        </x15:connection>
      </ext>
    </extLst>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56">
    <s v="ThisWorkbookDataModel"/>
    <s v="{[PRESUP].[NUM. DE EJES].&amp;[2]}"/>
    <s v="{[PRESUP].[LARGO].&amp;[40 FT]}"/>
    <s v="{[PRESUP].[NOMBRE].&amp;[PLATAFORMA 2 40 FT]}"/>
    <s v="{[piramide].[CLASE].&amp;[PIRAMIDE]}"/>
    <s v="{[otros].[CLASE].&amp;[OTROS]}"/>
    <s v="{[truckzone].[CLASE].&amp;[TRUCKZONE]}"/>
    <s v="{[ACERO 1].[CLASE].&amp;[ACERO]}"/>
    <s v="{[Tabla24].[NOMBRE].&amp;[PLATAFORMA 2 35 FT]}"/>
    <s v="{[Tabla24].[NUM. DE EJES].[All]}"/>
    <s v="{[Tabla24].[LARGO].[All]}"/>
    <s v="{[CHASIS].[CLIENTE].&amp;[HELIBERIO ORTEGA]}"/>
    <s v="{[clientes].[CLIENTE].&amp;[ALBERTO EZPINOZA IRAPUATO]}"/>
    <s v="{[clientes].[CLIENTE].&amp;[DANIELA GARRIDO GUERRA]}"/>
    <s v="{[clientes].[CLIENTE].&amp;}"/>
    <s v="{[clientes].[CLIENTE].&amp;[REYMUNDO PEREZ]}"/>
    <s v="{[clientes].[CLIENTE].&amp;[RENE CORTEZ  ORTEGA]}"/>
    <s v="{[clientes].[CLIENTE].&amp;[JOSE MALDONADO]}"/>
    <s v="{[clientes].[CLIENTE].&amp;[BRYAN HERNANDEZ]}"/>
    <s v="{[clientes].[CLIENTE].&amp;[EFRAIN SANCHEZ]}"/>
    <s v="{[clientes].[CLIENTE].&amp;[RICARDO MARTINEZ]}"/>
    <s v="{[clientes].[CLIENTE].&amp;,[clientes].[CLIENTE].&amp;[MARCIAL CASTRO]}"/>
    <s v="{[clientes].[CLIENTE].&amp;,[clientes].[CLIENTE].&amp;[EFRAIN SANCHEZ]}"/>
    <s v="{[clientes].[CLIENTE].&amp;[ARMANDO PONCE PLATA]}"/>
    <s v="{[clientes].[CLIENTE].&amp;[FRANCISCO ORTEGA]}"/>
    <s v="{[clientes].[CLIENTE].&amp;[EDUARDO GARRIDO]}"/>
    <s v="{[clientes].[CLIENTE].&amp;[MARCIAL CASTRO]}"/>
    <s v="{[clientes].[CLIENTE].&amp;[RAFAEL ROJAS]}"/>
    <s v="{[clientes].[CLIENTE].&amp;[MA. DE LOURDES GARRIDO GALINDO]}"/>
    <s v="{[clientes].[CLIENTE].&amp;[PASCUAL AGUILAR]}"/>
    <s v="{[clientes].[CLIENTE].&amp;[AMANDO ORTEGA DE LA FUENTE]}"/>
    <s v="{[clientes].[CLIENTE].&amp;[BERNARDO VERGARA]}"/>
    <s v="{[clientes].[CLIENTE].&amp;[GAVINO MALDONADO]}"/>
    <s v="{[clientes].[CLIENTE].&amp;[FERNANDO AGUILAR]}"/>
    <s v="{[clientes].[CLIENTE].&amp;[MIGUEL DAVILA]}"/>
    <s v="{[clientes].[CLIENTE].&amp;[JESUS BONILLA]}"/>
    <s v="{[clientes].[CLIENTE].&amp;[DIANA JIMENEZ]}"/>
    <s v="{[clientes].[CLIENTE].&amp;[YOVANY VALDEZ]}"/>
    <s v="{[clientes].[CLIENTE].&amp;[DANIEL CORTEZ]}"/>
    <s v="{[clientes].[CLIENTE].&amp;[GRUPO LOZAGUI SA DE CV]}"/>
    <s v="{[clientes].[CLIENTE].&amp;[JAIME GARCIA]}"/>
    <s v="{[clientes].[CLIENTE].&amp;[VICTOR ALFONSO GONZALEZ MAIZ]}"/>
    <s v="{[clientes].[CLIENTE].&amp;[VENANCIO DOMINGUEZ]}"/>
    <s v="{[clientes].[CLIENTE].&amp;[EVA CORTEZ ORTEGA]}"/>
    <s v="{[clientes].[CLIENTE].&amp;[MOISES HERNANDEZ]}"/>
    <s v="{[clientes].[CLIENTE].&amp;[MANUEL HERNANDEZ VARGAS]}"/>
    <s v="{[clientes].[CLIENTE].&amp;[JOSE ANTONIO LOPEZ AMADOR]}"/>
    <s v="{[clientes].[CLIENTE].&amp;[ING. IVAN VARGAS]}"/>
    <s v="{[clientes].[CLIENTE].&amp;[JORGE VILLEGAS]}"/>
    <s v="{[clientes].[CLIENTE].&amp;[FRANCISCO ORTEGA BARRERA]}"/>
    <s v="{[clientes].[CLIENTE].&amp;[LEONEL NAVA VARGAS]}"/>
    <s v="{[clientes].[CLIENTE].&amp;[REYES VERGARA]}"/>
    <s v="{[clientes].[CLIENTE].&amp;[JOSE MIGUEL HUERTA]}"/>
    <s v="{[clientes].[CLIENTE].&amp;[NICOLAS URIBE GAYOSSO]}"/>
    <s v="{[clientes].[CLIENTE].&amp;,[clientes].[CLIENTE].&amp;[REYES VERGARA]}"/>
    <s v="{[Tabla24].[NOMBRE].&amp;[PLATAFORMA 2 40 FT]}"/>
  </metadataStrings>
  <mdxMetadata count="55">
    <mdx n="0" f="s">
      <ms ns="1" c="0"/>
    </mdx>
    <mdx n="0" f="s">
      <ms ns="2" c="0"/>
    </mdx>
    <mdx n="0" f="s">
      <ms ns="3" c="0"/>
    </mdx>
    <mdx n="0" f="s">
      <ms ns="4" c="0"/>
    </mdx>
    <mdx n="0" f="s">
      <ms ns="5" c="0"/>
    </mdx>
    <mdx n="0" f="s">
      <ms ns="6" c="0"/>
    </mdx>
    <mdx n="0" f="s">
      <ms ns="7" c="0"/>
    </mdx>
    <mdx n="0" f="s">
      <ms ns="8" c="0"/>
    </mdx>
    <mdx n="0" f="s">
      <ms ns="9" c="0"/>
    </mdx>
    <mdx n="0" f="s">
      <ms ns="10" c="0"/>
    </mdx>
    <mdx n="0" f="s">
      <ms ns="11" c="0"/>
    </mdx>
    <mdx n="0" f="s">
      <ms ns="12" c="0"/>
    </mdx>
    <mdx n="0" f="s">
      <ms ns="13" c="0"/>
    </mdx>
    <mdx n="0" f="s">
      <ms ns="14" c="0"/>
    </mdx>
    <mdx n="0" f="s">
      <ms ns="15" c="0"/>
    </mdx>
    <mdx n="0" f="s">
      <ms ns="16" c="0"/>
    </mdx>
    <mdx n="0" f="s">
      <ms ns="17" c="0"/>
    </mdx>
    <mdx n="0" f="s">
      <ms ns="18" c="0"/>
    </mdx>
    <mdx n="0" f="s">
      <ms ns="19" c="0"/>
    </mdx>
    <mdx n="0" f="s">
      <ms ns="20" c="0"/>
    </mdx>
    <mdx n="0" f="s">
      <ms ns="21" c="0"/>
    </mdx>
    <mdx n="0" f="s">
      <ms ns="22" c="0"/>
    </mdx>
    <mdx n="0" f="s">
      <ms ns="23" c="0"/>
    </mdx>
    <mdx n="0" f="s">
      <ms ns="24" c="0"/>
    </mdx>
    <mdx n="0" f="s">
      <ms ns="25" c="0"/>
    </mdx>
    <mdx n="0" f="s">
      <ms ns="26" c="0"/>
    </mdx>
    <mdx n="0" f="s">
      <ms ns="27" c="0"/>
    </mdx>
    <mdx n="0" f="s">
      <ms ns="28" c="0"/>
    </mdx>
    <mdx n="0" f="s">
      <ms ns="29" c="0"/>
    </mdx>
    <mdx n="0" f="s">
      <ms ns="30" c="0"/>
    </mdx>
    <mdx n="0" f="s">
      <ms ns="31" c="0"/>
    </mdx>
    <mdx n="0" f="s">
      <ms ns="32" c="0"/>
    </mdx>
    <mdx n="0" f="s">
      <ms ns="33" c="0"/>
    </mdx>
    <mdx n="0" f="s">
      <ms ns="34" c="0"/>
    </mdx>
    <mdx n="0" f="s">
      <ms ns="35" c="0"/>
    </mdx>
    <mdx n="0" f="s">
      <ms ns="36" c="0"/>
    </mdx>
    <mdx n="0" f="s">
      <ms ns="37" c="0"/>
    </mdx>
    <mdx n="0" f="s">
      <ms ns="38" c="0"/>
    </mdx>
    <mdx n="0" f="s">
      <ms ns="39" c="0"/>
    </mdx>
    <mdx n="0" f="s">
      <ms ns="40" c="0"/>
    </mdx>
    <mdx n="0" f="s">
      <ms ns="41" c="0"/>
    </mdx>
    <mdx n="0" f="s">
      <ms ns="42" c="0"/>
    </mdx>
    <mdx n="0" f="s">
      <ms ns="43" c="0"/>
    </mdx>
    <mdx n="0" f="s">
      <ms ns="44" c="0"/>
    </mdx>
    <mdx n="0" f="s">
      <ms ns="45" c="0"/>
    </mdx>
    <mdx n="0" f="s">
      <ms ns="46" c="0"/>
    </mdx>
    <mdx n="0" f="s">
      <ms ns="47" c="0"/>
    </mdx>
    <mdx n="0" f="s">
      <ms ns="48" c="0"/>
    </mdx>
    <mdx n="0" f="s">
      <ms ns="49" c="0"/>
    </mdx>
    <mdx n="0" f="s">
      <ms ns="50" c="0"/>
    </mdx>
    <mdx n="0" f="s">
      <ms ns="51" c="0"/>
    </mdx>
    <mdx n="0" f="s">
      <ms ns="52" c="0"/>
    </mdx>
    <mdx n="0" f="s">
      <ms ns="53" c="0"/>
    </mdx>
    <mdx n="0" f="s">
      <ms ns="54" c="0"/>
    </mdx>
    <mdx n="0" f="s">
      <ms ns="55" c="0"/>
    </mdx>
  </mdxMetadata>
  <futureMetadata name="XLDAPR" count="1">
    <bk>
      <extLst>
        <ext uri="{bdbb8cdc-fa1e-496e-a857-3c3f30c029c3}">
          <xda:dynamicArrayProperties fDynamic="1" fCollapsed="0"/>
        </ext>
      </extLst>
    </bk>
  </futureMetadata>
  <cellMetadata count="1">
    <bk>
      <rc t="2" v="0"/>
    </bk>
  </cellMetadata>
  <valueMetadata count="55">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valueMetadata>
</metadata>
</file>

<file path=xl/sharedStrings.xml><?xml version="1.0" encoding="utf-8"?>
<sst xmlns="http://schemas.openxmlformats.org/spreadsheetml/2006/main" count="23885" uniqueCount="2652">
  <si>
    <t>NIV</t>
  </si>
  <si>
    <t>CLIENTE</t>
  </si>
  <si>
    <t>IMPORTE</t>
  </si>
  <si>
    <t>DETALLE</t>
  </si>
  <si>
    <t>DOLLY</t>
  </si>
  <si>
    <t>Total general</t>
  </si>
  <si>
    <t>Total</t>
  </si>
  <si>
    <t>Valores</t>
  </si>
  <si>
    <t>BORDA DELANTERA</t>
  </si>
  <si>
    <t>BORDA TRASERA</t>
  </si>
  <si>
    <t>PORTA PLACA</t>
  </si>
  <si>
    <t>CARTABON PARA ESTRIBO</t>
  </si>
  <si>
    <t>SOLERA PARA CARTABON</t>
  </si>
  <si>
    <t>LODERA DEL CENTRO</t>
  </si>
  <si>
    <t>JUEGO PORTALODERA</t>
  </si>
  <si>
    <t>SOLERA PARA ESTRIBU</t>
  </si>
  <si>
    <t>SEPARADOR CENTRO</t>
  </si>
  <si>
    <t>PUENTE PARA SUSPENSIÓN</t>
  </si>
  <si>
    <t>BUCHACA</t>
  </si>
  <si>
    <t>ALETAS (ALERONES)</t>
  </si>
  <si>
    <t>PUENTES PARA PLANCHA</t>
  </si>
  <si>
    <t>BASES PARA ESTRIBO</t>
  </si>
  <si>
    <t>JUEGO BASE/PATIN</t>
  </si>
  <si>
    <t>TRAVESAÑOS</t>
  </si>
  <si>
    <t>PLACA P/QUINTA</t>
  </si>
  <si>
    <t>PAR/PESTAÑAS</t>
  </si>
  <si>
    <t>PAR/FLEJES</t>
  </si>
  <si>
    <t>CAJA DE HERRAMIENTAS</t>
  </si>
  <si>
    <t>TUBO 1 1/4</t>
  </si>
  <si>
    <t>PLACA 1 1/4</t>
  </si>
  <si>
    <t>SOLERA DE 1/2" X 3"</t>
  </si>
  <si>
    <t>SOLERA DE 1/2" X 6" X 12m</t>
  </si>
  <si>
    <t>CANAL DE 6" X 12m</t>
  </si>
  <si>
    <t>CANAL DE 6" PERNO</t>
  </si>
  <si>
    <t>CANAL DE 4"</t>
  </si>
  <si>
    <t>GANCHO PARA LAZO</t>
  </si>
  <si>
    <t>SOLERAS DE 3/8" X 2</t>
  </si>
  <si>
    <t>LAMINA PORTA LLANTAS 1/2 X 3"</t>
  </si>
  <si>
    <t>REDONDA PORTALLANTAS</t>
  </si>
  <si>
    <t>CARGADORES</t>
  </si>
  <si>
    <t>SUSPENSIÓN COMPLETA</t>
  </si>
  <si>
    <t>EJES</t>
  </si>
  <si>
    <t>KIT DE ABS Y CONEXIONES</t>
  </si>
  <si>
    <t>PERNO REY</t>
  </si>
  <si>
    <t>PATIN HJ</t>
  </si>
  <si>
    <t>BASE PARA PATIN</t>
  </si>
  <si>
    <t>CINTA REFLEJANTE</t>
  </si>
  <si>
    <t>ROTULACION</t>
  </si>
  <si>
    <t>TANQUE DE AIRE</t>
  </si>
  <si>
    <t>MATRACAS/WINCHES</t>
  </si>
  <si>
    <t>PZAS</t>
  </si>
  <si>
    <t>CO2</t>
  </si>
  <si>
    <t>MICROTUBULAR</t>
  </si>
  <si>
    <t>CONSUMIBLE</t>
  </si>
  <si>
    <t>TOPES HULE 3 BARRENOS</t>
  </si>
  <si>
    <t>DISCO DE CORTADORA</t>
  </si>
  <si>
    <t>DISCOS LAMINADOS #7</t>
  </si>
  <si>
    <t>DISCOS DE DESBASTE #9</t>
  </si>
  <si>
    <t>CARDA DE COPA TRENZADA</t>
  </si>
  <si>
    <t>HOJAS DE LIJA</t>
  </si>
  <si>
    <t>KIT PLAFONES</t>
  </si>
  <si>
    <t>LODERAS</t>
  </si>
  <si>
    <t>PIJAS/BROCAS</t>
  </si>
  <si>
    <t>PISO PLASTICO</t>
  </si>
  <si>
    <t>PISO MADERA</t>
  </si>
  <si>
    <t>PINTURA Y MANO DE OBRA</t>
  </si>
  <si>
    <t>LUCES</t>
  </si>
  <si>
    <t>TORNILLOS</t>
  </si>
  <si>
    <t>MATERIAL COMPLEMENTARIO</t>
  </si>
  <si>
    <t>GANCHO HOLLAN</t>
  </si>
  <si>
    <t>JALON</t>
  </si>
  <si>
    <t>RIEL</t>
  </si>
  <si>
    <t>CONCHA 1.20m</t>
  </si>
  <si>
    <t>LARGO</t>
  </si>
  <si>
    <t>NUM. DE EJES</t>
  </si>
  <si>
    <t>40 FT</t>
  </si>
  <si>
    <t>PRECIO $ C/U</t>
  </si>
  <si>
    <t>MATERIAL / ACCESORIO</t>
  </si>
  <si>
    <t>IMP POR POYECTO</t>
  </si>
  <si>
    <t>IMP POR POYECTO_</t>
  </si>
  <si>
    <t>OBSERVACION</t>
  </si>
  <si>
    <t>TIPO</t>
  </si>
  <si>
    <t>PLATAFORMA</t>
  </si>
  <si>
    <t>GRIS</t>
  </si>
  <si>
    <t>TOTAL</t>
  </si>
  <si>
    <t>IVA 16%</t>
  </si>
  <si>
    <t>CLASE</t>
  </si>
  <si>
    <t>ACERO</t>
  </si>
  <si>
    <t>PIRAMIDE</t>
  </si>
  <si>
    <t>TRUCKZONE</t>
  </si>
  <si>
    <t>OTROS</t>
  </si>
  <si>
    <t>EXTRAS</t>
  </si>
  <si>
    <t>NUMERO DE UNIDAD</t>
  </si>
  <si>
    <t>COLOR:</t>
  </si>
  <si>
    <t>RET-4%</t>
  </si>
  <si>
    <t>CORREO</t>
  </si>
  <si>
    <t>NOMBRE</t>
  </si>
  <si>
    <t>FOTO 1</t>
  </si>
  <si>
    <t>FOTO 2</t>
  </si>
  <si>
    <t>2</t>
  </si>
  <si>
    <t>PLATAFORMA 2 40 FT</t>
  </si>
  <si>
    <t>PLATAFORMA 2 42 FT</t>
  </si>
  <si>
    <t>PLATAFORMA 3 40 FT</t>
  </si>
  <si>
    <t>P</t>
  </si>
  <si>
    <t>Etiquetas de fila</t>
  </si>
  <si>
    <t>ANCHO DE CARGA</t>
  </si>
  <si>
    <t>ALTO</t>
  </si>
  <si>
    <t>MODELO</t>
  </si>
  <si>
    <t>MARCA</t>
  </si>
  <si>
    <t>FOLIO</t>
  </si>
  <si>
    <t>"REMOLQUES LEOLCA"</t>
  </si>
  <si>
    <t xml:space="preserve">San Miguel Ayotla a </t>
  </si>
  <si>
    <t>INFORMACIÓN DEL SOLICITANTE.</t>
  </si>
  <si>
    <t>Contacto:</t>
  </si>
  <si>
    <t xml:space="preserve">INFORMACIÓN DEL EQUIPO. </t>
  </si>
  <si>
    <t>GENERALES</t>
  </si>
  <si>
    <t>CAJA DE HERRAMIENTA, GANCHO HOLLAND, RIEL CON 10 MATRACAS, DOBLE PATIN HOLLAND, PISO DE PLASTICO.</t>
  </si>
  <si>
    <t xml:space="preserve">Banda de rozamiento: Solera estructural de ¼” * ½” a lo largo de la unidad sobre las buchacas. </t>
  </si>
  <si>
    <t xml:space="preserve">CONSTRUCCIÓN 
</t>
  </si>
  <si>
    <t xml:space="preserve">Borda lateral: Canal estructural A-36 de 6” a todo lo largo de la unidad. </t>
  </si>
  <si>
    <t>Buchacas: Fabricada de acero dulce en calibre ¼” *3”*4” para recibir los postes de las redilas.</t>
  </si>
  <si>
    <t>Defensa: Tipo estribo soldada a las vigas principales, con canal estructural de 6”.</t>
  </si>
  <si>
    <t>Loderas: 2 piezas. De plástico, localizadas en la parte posterior.</t>
  </si>
  <si>
    <t xml:space="preserve"> </t>
  </si>
  <si>
    <t xml:space="preserve">SUSPENSIÓN  </t>
  </si>
  <si>
    <t>Laterales: 2 plafones color rojo y 2 plafones color ámbar.</t>
  </si>
  <si>
    <t>Traseros: 2 direccionales, 4 cuartos, 2 alto, 1 porta-placa, 3 rojos tres marías en el centro.</t>
  </si>
  <si>
    <t>Cinta reflejante: En costados y defensa trasera.</t>
  </si>
  <si>
    <t>ACABADOS</t>
  </si>
  <si>
    <t>LUCES:</t>
  </si>
  <si>
    <t xml:space="preserve"> Plafones: tipo led´s marca TRO-GRIM</t>
  </si>
  <si>
    <t xml:space="preserve">RIEL CON 10 MATRACAS </t>
  </si>
  <si>
    <t xml:space="preserve">CAJA DE HERRAMIENTA </t>
  </si>
  <si>
    <t xml:space="preserve">DOBLE PATIN HOLLAND </t>
  </si>
  <si>
    <t xml:space="preserve">NO INCLUYE: </t>
  </si>
  <si>
    <t>Cantidad de unidades cotizadas:</t>
  </si>
  <si>
    <t xml:space="preserve">Subtotal: </t>
  </si>
  <si>
    <t xml:space="preserve">IVA: </t>
  </si>
  <si>
    <t xml:space="preserve">Total: </t>
  </si>
  <si>
    <t>TODAS NUESTRA UNIDADES CUMPLEN CON LAS NORMAS VIGENTES EN MÉXICO.</t>
  </si>
  <si>
    <t>FORMA DE PAGO</t>
  </si>
  <si>
    <t>Los depósitos se realizarán a la siguiente cuenta:</t>
  </si>
  <si>
    <t>Sin otro asunto que tratar quedo a sus órdenes.</t>
  </si>
  <si>
    <t>Atte:</t>
  </si>
  <si>
    <t xml:space="preserve"> SUSPENSIÓN HENDRICKSON, CONCHA A 1.20 M,</t>
  </si>
  <si>
    <t>TEL/CEL</t>
  </si>
  <si>
    <t>KIT BASE P/TANQUE</t>
  </si>
  <si>
    <t>BASE PARA ESTRIBO</t>
  </si>
  <si>
    <t>PTR 4*4 PARA ESTRIBU</t>
  </si>
  <si>
    <t>PAR BASES PARA PORTALLANTAS</t>
  </si>
  <si>
    <t>JUEGO BASE L P/PATIN</t>
  </si>
  <si>
    <t>BUCHACAS P/PATIN</t>
  </si>
  <si>
    <t>JALON P/GANCHO DE ARRASTRE</t>
  </si>
  <si>
    <t>RETRACTIL</t>
  </si>
  <si>
    <t>REDILAS</t>
  </si>
  <si>
    <t>SOLERA DE 1/2" X 3" P/ESQUINEROS</t>
  </si>
  <si>
    <t>TUBO 1 1/2 CED 40</t>
  </si>
  <si>
    <t>RINES DE ACERO</t>
  </si>
  <si>
    <t>RINES DE ALUMINIO</t>
  </si>
  <si>
    <t>SIN LLANTAS</t>
  </si>
  <si>
    <t>MANO DE OBRA PINTURA</t>
  </si>
  <si>
    <t>MANO DE OBRA PISO</t>
  </si>
  <si>
    <t>MANO DE OBRA LUZ</t>
  </si>
  <si>
    <t>MANO DE OBRA GENERAL</t>
  </si>
  <si>
    <t>MONTADA DE LLANTAS</t>
  </si>
  <si>
    <t>45 FT</t>
  </si>
  <si>
    <t>ANGULO 1/8 *1 1/2 PORTALLANTAS</t>
  </si>
  <si>
    <t>PTR 4*4 PARA ESTRIBO</t>
  </si>
  <si>
    <t>PORTALODERAS</t>
  </si>
  <si>
    <t>JUEGO ALETAS (ALERONES)</t>
  </si>
  <si>
    <t>PAR/PESTANAS</t>
  </si>
  <si>
    <t>PAR FLEJES</t>
  </si>
  <si>
    <t>PUENTES PARA SUSPENSION</t>
  </si>
  <si>
    <t>BUCHACAS</t>
  </si>
  <si>
    <t>BUCHACAS PARA PATIN</t>
  </si>
  <si>
    <t>JALON P/ GANCHO DE ARRASTRE</t>
  </si>
  <si>
    <t>48 FT</t>
  </si>
  <si>
    <t>MANO DE OBRA DE AIRE</t>
  </si>
  <si>
    <t>PLACA 1/4</t>
  </si>
  <si>
    <t>SOLERA DE 1/2"' 3"</t>
  </si>
  <si>
    <t>SOLERA DE 1/2" 6"'12M</t>
  </si>
  <si>
    <t>CANAL DE 6"'12M</t>
  </si>
  <si>
    <t>GANCHO PARA IAZO</t>
  </si>
  <si>
    <t>SOLERAS DE 3/8"'2</t>
  </si>
  <si>
    <t>SOLERA PORTALLANTAS 1/2'3</t>
  </si>
  <si>
    <t>REDONDO PORTALLANTAS YJALON</t>
  </si>
  <si>
    <t>ANGULO 1/8 "1 1/2 PORTALLANTAS</t>
  </si>
  <si>
    <t>SOLERA 1/2".3 P/ESQUINEROS</t>
  </si>
  <si>
    <t>TUBO I 1/2 CED 40</t>
  </si>
  <si>
    <t>CARGADORES DE 4"</t>
  </si>
  <si>
    <t>PERNO REY HOLLAND</t>
  </si>
  <si>
    <t>SUSPENSION FLEET MASTER,</t>
  </si>
  <si>
    <t>EJES FLEET MASTER,</t>
  </si>
  <si>
    <t>PAR DE PATINES AMPRO</t>
  </si>
  <si>
    <t>MATRACAS</t>
  </si>
  <si>
    <t>ABS 3 EJES</t>
  </si>
  <si>
    <t>CANTIDAD DE UNIDAD</t>
  </si>
  <si>
    <t xml:space="preserve">ALMA DE LODERA PLACA 1/4 80 cm *30 </t>
  </si>
  <si>
    <t>ANGULO DE 1/8*1 1/2</t>
  </si>
  <si>
    <t>BUCHACA P/BASE DE GATA DE MATRACA</t>
  </si>
  <si>
    <t>CANAL 3"</t>
  </si>
  <si>
    <t>KIT DOLLY</t>
  </si>
  <si>
    <t>PLACA 1/4 DE 35cm*1 M P/QUINTA</t>
  </si>
  <si>
    <t>PLACA 1/4 DE 110cm*125 M P/LANZA</t>
  </si>
  <si>
    <t>PLACA 3/8 DE 14 cm*2.55M P/CHASIS</t>
  </si>
  <si>
    <t>PTR DE 3 CAL 9</t>
  </si>
  <si>
    <t>REDONDO U 5/8 PARA CADENA</t>
  </si>
  <si>
    <t>REFUERZO DE SUSPENSIÓN SOLERA 1/2*6"</t>
  </si>
  <si>
    <t>REFUERZO PARA PLATOS SOLERA 1/2*3"</t>
  </si>
  <si>
    <t>SOL 1/2 X 3 DE 14 cm P/ATIZADORES</t>
  </si>
  <si>
    <t>SOL 3/8 X 2 P/ATIZADORES</t>
  </si>
  <si>
    <t>SOLERA DE 1/2 POR 6" A 12 M</t>
  </si>
  <si>
    <t>SOLERA DE 3/16*1 1/2</t>
  </si>
  <si>
    <t>FLEJES PARA LODERAS</t>
  </si>
  <si>
    <t>BASE PARA TANQUE DE AIRE</t>
  </si>
  <si>
    <t>SUSPENSION HENDRRICKSON</t>
  </si>
  <si>
    <t>SUSPENSION AMPRO</t>
  </si>
  <si>
    <t>EJES AMPRO</t>
  </si>
  <si>
    <t>QUINTA HOLLAND</t>
  </si>
  <si>
    <t>DONA</t>
  </si>
  <si>
    <t>GATA DE MATRACA</t>
  </si>
  <si>
    <t>KIT DE ABS, CONEXIONES Y MANGUERAS</t>
  </si>
  <si>
    <t>MICROALAMBRE</t>
  </si>
  <si>
    <t>DISCO DE CORTE, DESBASTE, LAMINADO Y LIJAS</t>
  </si>
  <si>
    <t>CADENA 3/8</t>
  </si>
  <si>
    <t>CADENA 1/2</t>
  </si>
  <si>
    <t>KIT DE TORNILLOS PARA PORTA LODERA</t>
  </si>
  <si>
    <t>KIT DE TORNILLOS PARA QUINTA RUEDA</t>
  </si>
  <si>
    <t>KIT DE TORNILLOS PARA DONA</t>
  </si>
  <si>
    <t>JUEGO DE BISAGRAS</t>
  </si>
  <si>
    <t>BUJES CONICOS PARA LANZA</t>
  </si>
  <si>
    <t>TORN PERNO</t>
  </si>
  <si>
    <t>PLAFONES DE 4"</t>
  </si>
  <si>
    <t>MANO OBRA AIRE</t>
  </si>
  <si>
    <t>ARNES Y MANO DE OBRA</t>
  </si>
  <si>
    <t>PAPELERIA Y PLACA</t>
  </si>
  <si>
    <t>REFLEJANTE Y ROTULACION</t>
  </si>
  <si>
    <t>LUZ</t>
  </si>
  <si>
    <t>GAS</t>
  </si>
  <si>
    <t>DIESEL</t>
  </si>
  <si>
    <t>PTR 4"4 PARA ESTRIBO</t>
  </si>
  <si>
    <t>MEG° BASE L P/PATIN</t>
  </si>
  <si>
    <t>42 FT</t>
  </si>
  <si>
    <t>-</t>
  </si>
  <si>
    <t>BANDEROLAS</t>
  </si>
  <si>
    <t>CABLEADO</t>
  </si>
  <si>
    <t>TUBO  1 1/4</t>
  </si>
  <si>
    <t>ABS 2 EJES</t>
  </si>
  <si>
    <t>35 FT</t>
  </si>
  <si>
    <t>EXPIDIO:</t>
  </si>
  <si>
    <t>EXPIDIO</t>
  </si>
  <si>
    <t>Marcos Jaurez Sosa</t>
  </si>
  <si>
    <t xml:space="preserve">  </t>
  </si>
  <si>
    <t>CARTA FACTURA</t>
  </si>
  <si>
    <t>San Miguel Ayotla, Ahuazotepec, Puebla</t>
  </si>
  <si>
    <t>A quien corresponda.</t>
  </si>
  <si>
    <t xml:space="preserve">A través de la presente hacemos constar que hemos vendido.  </t>
  </si>
  <si>
    <t xml:space="preserve">A: </t>
  </si>
  <si>
    <t xml:space="preserve">Quien tiene su domicilio en: </t>
  </si>
  <si>
    <t xml:space="preserve">CALLE, No., COLONIA </t>
  </si>
  <si>
    <t xml:space="preserve">De la ciudad de: </t>
  </si>
  <si>
    <t xml:space="preserve">MUNICIPIO, ESTADO, PAIS. </t>
  </si>
  <si>
    <t xml:space="preserve">C. P. </t>
  </si>
  <si>
    <t xml:space="preserve">R. F. C.  </t>
  </si>
  <si>
    <t>Nota: Incluye o no llantas y rines (especificar marca</t>
  </si>
  <si>
    <t xml:space="preserve">Subtotal:  </t>
  </si>
  <si>
    <t xml:space="preserve">IVA:  </t>
  </si>
  <si>
    <t xml:space="preserve">Total:  </t>
  </si>
  <si>
    <t xml:space="preserve">Atentamente:  </t>
  </si>
  <si>
    <t>Representante Legal.</t>
  </si>
  <si>
    <t>Leonardo Lozada Carmona.</t>
  </si>
  <si>
    <t>ARMADORA LEOLCA S.A. DE C.V.</t>
  </si>
  <si>
    <r>
      <t xml:space="preserve"> </t>
    </r>
    <r>
      <rPr>
        <sz val="11"/>
        <color rgb="FF000000"/>
        <rFont val="Calibri"/>
        <family val="2"/>
      </rPr>
      <t xml:space="preserve"> </t>
    </r>
  </si>
  <si>
    <r>
      <t>Secretaría de Comunicaciones y Transportes.</t>
    </r>
    <r>
      <rPr>
        <b/>
        <sz val="11"/>
        <color rgb="FF000000"/>
        <rFont val="Calibri"/>
        <family val="2"/>
      </rPr>
      <t xml:space="preserve">  </t>
    </r>
  </si>
  <si>
    <t xml:space="preserve">Importe con letra: </t>
  </si>
  <si>
    <t>CLIENTE:</t>
  </si>
  <si>
    <t>3.5 FT</t>
  </si>
  <si>
    <t>Tipo</t>
  </si>
  <si>
    <t xml:space="preserve">CONCEPTO: SEMI REMOLQUE </t>
  </si>
  <si>
    <t xml:space="preserve">TIPO </t>
  </si>
  <si>
    <t>Pais</t>
  </si>
  <si>
    <t>México</t>
  </si>
  <si>
    <t>Fecha de fabricaion</t>
  </si>
  <si>
    <t>Peso Vehicular</t>
  </si>
  <si>
    <t>N/A</t>
  </si>
  <si>
    <t xml:space="preserve">CDE ejes traseros: </t>
  </si>
  <si>
    <t xml:space="preserve">CDE ejes delanteros: </t>
  </si>
  <si>
    <t xml:space="preserve">Tamaño de llantas: </t>
  </si>
  <si>
    <t>11R24.5</t>
  </si>
  <si>
    <t xml:space="preserve">Ancho: </t>
  </si>
  <si>
    <t>2.6 M.</t>
  </si>
  <si>
    <t xml:space="preserve">PBVD: </t>
  </si>
  <si>
    <t xml:space="preserve">Presión de inflado: </t>
  </si>
  <si>
    <t>830 KPa.</t>
  </si>
  <si>
    <t xml:space="preserve">Alto: </t>
  </si>
  <si>
    <t>1.30 M.</t>
  </si>
  <si>
    <t>Modelo ABS:</t>
  </si>
  <si>
    <t xml:space="preserve">Tipo de suspensión: </t>
  </si>
  <si>
    <t>Neumática</t>
  </si>
  <si>
    <t>Desglose del CDE de ejes delanteros y traseros (DatosOpcionales)</t>
  </si>
  <si>
    <t xml:space="preserve">Capacidad de suspensión: </t>
  </si>
  <si>
    <t xml:space="preserve">Capacidad de rines: </t>
  </si>
  <si>
    <t xml:space="preserve">Capacidad de llantas: </t>
  </si>
  <si>
    <t>Capacidad de eje en posición de montaje</t>
  </si>
  <si>
    <t>Capacidad de espigas de eje:</t>
  </si>
  <si>
    <t>Presión de inflado:</t>
  </si>
  <si>
    <t>13,607.70 Kg.</t>
  </si>
  <si>
    <t>14,152.01 Kg.</t>
  </si>
  <si>
    <t>11,996.55 Kg.</t>
  </si>
  <si>
    <t>Capacidad de llantas:</t>
  </si>
  <si>
    <t>Capacidad de eje en posición de montaje:</t>
  </si>
  <si>
    <t>CONSTANCIA DE PESOS Y DIMENSIONES (NOM-012).</t>
  </si>
  <si>
    <t>Secretaría de Comunicaciones y Transportes.</t>
  </si>
  <si>
    <t>Unidad tipo:</t>
  </si>
  <si>
    <t>Marca:</t>
  </si>
  <si>
    <t>Modelo:</t>
  </si>
  <si>
    <t>Serie:</t>
  </si>
  <si>
    <t>Atentamente:</t>
  </si>
  <si>
    <t>Representante Legal</t>
  </si>
  <si>
    <t>Leonardo Lozada Carmona</t>
  </si>
  <si>
    <t>Fecha de emisión:</t>
  </si>
  <si>
    <t>Bendix</t>
  </si>
  <si>
    <t xml:space="preserve">Capacidad de carga: </t>
  </si>
  <si>
    <t>30,000 Lb.</t>
  </si>
  <si>
    <t>Número de llantas:</t>
  </si>
  <si>
    <t>Sistema ABS:</t>
  </si>
  <si>
    <t>A QUIEN CORRESPONDA:</t>
  </si>
  <si>
    <t>SIN OTRO PARTICULAR POR EL MOMENTO, ME DESPIDO DE USTED.</t>
  </si>
  <si>
    <t>ATENTAMENTE:</t>
  </si>
  <si>
    <r>
      <t xml:space="preserve">Se extiende la presente constancia para los fines legales que a su propietario convengan con un vencimiento de 30 días naturales. </t>
    </r>
    <r>
      <rPr>
        <sz val="10"/>
        <color rgb="FF000000"/>
        <rFont val="Calibri"/>
        <family val="2"/>
      </rPr>
      <t xml:space="preserve"> </t>
    </r>
  </si>
  <si>
    <t>PLATAFORMA 2 45 FT</t>
  </si>
  <si>
    <t>PLATAFORMA 3 48 FT</t>
  </si>
  <si>
    <t>DOLLY 2 3.5 FT</t>
  </si>
  <si>
    <t>PLATAFORMA 3 42 FT</t>
  </si>
  <si>
    <t>PLATAFORMA 2 48 FT</t>
  </si>
  <si>
    <t>PLATAFORMA 2 35 FT</t>
  </si>
  <si>
    <t>FOTO</t>
  </si>
  <si>
    <t>CONCEPTO: SEMI REMOLQUE TIPO PLATAFORMA, 40 FT, 2 EJES</t>
  </si>
  <si>
    <t xml:space="preserve">JUEGO PATINES </t>
  </si>
  <si>
    <t>PORTALLANTAS CANASTILLA</t>
  </si>
  <si>
    <t>LLANTAS</t>
  </si>
  <si>
    <t>1 Módulo, 2 Sensores</t>
  </si>
  <si>
    <t>Longitud</t>
  </si>
  <si>
    <t>Dato unico seleccionar las celda color naranja</t>
  </si>
  <si>
    <t>color</t>
  </si>
  <si>
    <t>foto</t>
  </si>
  <si>
    <t>color 2</t>
  </si>
  <si>
    <t>Rojo</t>
  </si>
  <si>
    <t>Gris</t>
  </si>
  <si>
    <t>negro</t>
  </si>
  <si>
    <t>Naranja</t>
  </si>
  <si>
    <t>INDICE(fotos!$F$4:$F$6,COINCIDIR(PRESUPUESTO!$C$5,fotos!$E$4:$E$6,0))</t>
  </si>
  <si>
    <t>Negro</t>
  </si>
  <si>
    <t>Color</t>
  </si>
  <si>
    <t>Amarillo</t>
  </si>
  <si>
    <t>Rosa</t>
  </si>
  <si>
    <t>Verde</t>
  </si>
  <si>
    <t>Azul</t>
  </si>
  <si>
    <t>Morado</t>
  </si>
  <si>
    <t>Blanco</t>
  </si>
  <si>
    <t>Café</t>
  </si>
  <si>
    <t>Color 2</t>
  </si>
  <si>
    <t>AMPRO</t>
  </si>
  <si>
    <t>SUSPENSION</t>
  </si>
  <si>
    <t>HENDRICKS</t>
  </si>
  <si>
    <t>ALTA FM</t>
  </si>
  <si>
    <t>ALTA HENDRICKS</t>
  </si>
  <si>
    <t>PATINES</t>
  </si>
  <si>
    <t>HJ</t>
  </si>
  <si>
    <t>HOLLAND</t>
  </si>
  <si>
    <t>PISO</t>
  </si>
  <si>
    <t>GANCHO</t>
  </si>
  <si>
    <t>BESTIA</t>
  </si>
  <si>
    <t>PREMIER</t>
  </si>
  <si>
    <t>FRENTE</t>
  </si>
  <si>
    <t>CONCHA LAMINADA</t>
  </si>
  <si>
    <t>CONCHA MADERA</t>
  </si>
  <si>
    <t>BURRO LAMINADO</t>
  </si>
  <si>
    <t>BURRO MADERA</t>
  </si>
  <si>
    <t>RINES</t>
  </si>
  <si>
    <t>CANTIDAD</t>
  </si>
  <si>
    <t>MEDIDA</t>
  </si>
  <si>
    <t>MATERIAL  / ACCESORIO</t>
  </si>
  <si>
    <t>PRECIO c/u</t>
  </si>
  <si>
    <t>Marca de ejes?</t>
  </si>
  <si>
    <t xml:space="preserve">INCLUYE: </t>
  </si>
  <si>
    <t xml:space="preserve">                Color(s) Seleccionados:</t>
  </si>
  <si>
    <t>EMPRESA</t>
  </si>
  <si>
    <t>CALLE</t>
  </si>
  <si>
    <t>MUNICIPIO</t>
  </si>
  <si>
    <t xml:space="preserve">ROBERTO LOPEZ AGUILAR </t>
  </si>
  <si>
    <t xml:space="preserve">JULIETA </t>
  </si>
  <si>
    <t xml:space="preserve">ASYARETH </t>
  </si>
  <si>
    <t>DAMARIS</t>
  </si>
  <si>
    <t>CLAFONES</t>
  </si>
  <si>
    <t>CATIDAD</t>
  </si>
  <si>
    <t>CARRITO</t>
  </si>
  <si>
    <t>Extras</t>
  </si>
  <si>
    <t>TOTAL GENERAL</t>
  </si>
  <si>
    <t>SIN REDILAS</t>
  </si>
  <si>
    <t>FLEET MASTER</t>
  </si>
  <si>
    <t>SIN GANCHO</t>
  </si>
  <si>
    <t>SIN FRENTE</t>
  </si>
  <si>
    <t>POLINERA</t>
  </si>
  <si>
    <t>CAJA DE HRRTAS CHICA</t>
  </si>
  <si>
    <t>BICECLETERA</t>
  </si>
  <si>
    <t>PORTALLANTAS</t>
  </si>
  <si>
    <t>CANASTILLA</t>
  </si>
  <si>
    <t>$ C/U</t>
  </si>
  <si>
    <t>All</t>
  </si>
  <si>
    <t>SIN</t>
  </si>
  <si>
    <t>3A9HU38581PM299033</t>
  </si>
  <si>
    <t>CON</t>
  </si>
  <si>
    <t>SI/NO</t>
  </si>
  <si>
    <t>RINES Y LLANTAS</t>
  </si>
  <si>
    <t>LLANTAS CEREX</t>
  </si>
  <si>
    <t>LLANTAS FIRESTONE</t>
  </si>
  <si>
    <t>LLANTAS ROYAL BLACK</t>
  </si>
  <si>
    <t>LLANTAS BF GOODRICH</t>
  </si>
  <si>
    <t>LLANTAS CHINAS</t>
  </si>
  <si>
    <t>LLANTAS VALIANT</t>
  </si>
  <si>
    <t>SIN RINES</t>
  </si>
  <si>
    <t>GASTOS INDIRECTOS</t>
  </si>
  <si>
    <t>PISO PINO</t>
  </si>
  <si>
    <t>PISO ENCINO</t>
  </si>
  <si>
    <t>PISO LAMINADO</t>
  </si>
  <si>
    <t>PISO LAMIN C/MADERA</t>
  </si>
  <si>
    <t>PISO LAMIN C/PLASTICO</t>
  </si>
  <si>
    <t>PISO ENCINO  CENT PLAST  LADOS</t>
  </si>
  <si>
    <t>ADICIONALES</t>
  </si>
  <si>
    <t>med1</t>
  </si>
  <si>
    <t>MD2</t>
  </si>
  <si>
    <t>MANO DE OBRA</t>
  </si>
  <si>
    <t>MED</t>
  </si>
  <si>
    <t xml:space="preserve">C.P. </t>
  </si>
  <si>
    <t>CANTIDAD DE UNIDAD(ES)</t>
  </si>
  <si>
    <t>PORTALODERA</t>
  </si>
  <si>
    <t xml:space="preserve">CAJA DE HERRAMIENTAS </t>
  </si>
  <si>
    <t>PUENTES PARA SUSPENSIÓN</t>
  </si>
  <si>
    <t xml:space="preserve">BASE PARA PATÍN </t>
  </si>
  <si>
    <t xml:space="preserve"> JALON P/ GANCHO DE ARRASTRE</t>
  </si>
  <si>
    <t>ACERO PIRÁMIDE</t>
  </si>
  <si>
    <t>SOLERA DE 1/2"* 6" *12M</t>
  </si>
  <si>
    <t>GANCHO PARA LAZO 1/2</t>
  </si>
  <si>
    <t>SOLERAS DE 3/8" *2</t>
  </si>
  <si>
    <t>SOLERA PORTALLANTAS 1/2*3</t>
  </si>
  <si>
    <t>ANGULO 1/8 *1  1/2 PORTALLANTAS</t>
  </si>
  <si>
    <t>SOLERA 1 1/2"*3/16 P/ESQUINEROS</t>
  </si>
  <si>
    <t>TUBO 1  1/2 CED 40</t>
  </si>
  <si>
    <t>ROTULACIÓN</t>
  </si>
  <si>
    <t>MATRACA CORREDIZA</t>
  </si>
  <si>
    <t>MATRACA SOLDABLE</t>
  </si>
  <si>
    <t>ABS</t>
  </si>
  <si>
    <t>KIT DE ABS Y CONEXIONES 2 EJES</t>
  </si>
  <si>
    <t>KIT DE ABS Y CONEXIONES 3 EJES</t>
  </si>
  <si>
    <t>SUSPENSIÓN</t>
  </si>
  <si>
    <t>SUSPENSIÓN FLEET MASTER</t>
  </si>
  <si>
    <t>SUSPENSIÓN AMPRO</t>
  </si>
  <si>
    <t>SUSPENSIÓN HENDRICKSON</t>
  </si>
  <si>
    <t>SUSPENSIÓN ALTA FLEET MASTER</t>
  </si>
  <si>
    <t>SUSPENSIÓN ALTA HENDRICKSON</t>
  </si>
  <si>
    <t>EJES FLEET MASTER</t>
  </si>
  <si>
    <t>PATÍN HOLLAND</t>
  </si>
  <si>
    <t>PATÍN HJ</t>
  </si>
  <si>
    <t>PATIN AMPRO</t>
  </si>
  <si>
    <t>DISCOS DE CORTADORA</t>
  </si>
  <si>
    <t xml:space="preserve">PISO DE MADERA DE PINO, </t>
  </si>
  <si>
    <t xml:space="preserve">PISO DE PLÁSTICO, </t>
  </si>
  <si>
    <t xml:space="preserve">PISO LAMINADO, </t>
  </si>
  <si>
    <t xml:space="preserve">PISO LAMINADO CON BASE DE PLÁSTICO, </t>
  </si>
  <si>
    <t>GANCHO PREMIER</t>
  </si>
  <si>
    <t>GANCHO BESTIA</t>
  </si>
  <si>
    <t>GANCHO HOLLAND</t>
  </si>
  <si>
    <t>SISTEMA RETRÁCTIL</t>
  </si>
  <si>
    <t>REFUERZOS</t>
  </si>
  <si>
    <t>CANDADO</t>
  </si>
  <si>
    <t>REDILAS DE 70 CM</t>
  </si>
  <si>
    <t>REDILAS DE 80 CM</t>
  </si>
  <si>
    <t>REDILAS DE 90 CM</t>
  </si>
  <si>
    <t>CONCHA A 1.20 M</t>
  </si>
  <si>
    <t>CONCHA LISA REFORZADA A 1.20 M</t>
  </si>
  <si>
    <t>CONCHA A 1.40 M</t>
  </si>
  <si>
    <t>CONCHA A 1.50 M</t>
  </si>
  <si>
    <t>BURRO A 1.20 M</t>
  </si>
  <si>
    <t xml:space="preserve">RINES </t>
  </si>
  <si>
    <t>1</t>
  </si>
  <si>
    <t>CON RIEL</t>
  </si>
  <si>
    <t>SIN SISTEMA RETRÁCTIL</t>
  </si>
  <si>
    <t>SIN RIEL</t>
  </si>
  <si>
    <t>PROPORCIONA CLIENTE</t>
  </si>
  <si>
    <t>Columna1</t>
  </si>
  <si>
    <t>CAN DE UNIDADS</t>
  </si>
  <si>
    <t/>
  </si>
  <si>
    <t>CONCAT</t>
  </si>
  <si>
    <t>CONCEPTO</t>
  </si>
  <si>
    <t>CONCEPTO:</t>
  </si>
  <si>
    <t>SIN MATRACAS</t>
  </si>
  <si>
    <t>FECHA</t>
  </si>
  <si>
    <t>NO. FOLIO</t>
  </si>
  <si>
    <t>TOTAL:</t>
  </si>
  <si>
    <t>PRECIO DE VENTA</t>
  </si>
  <si>
    <t>SIN SUSPENSIÓN</t>
  </si>
  <si>
    <t>ACERO DOLLY</t>
  </si>
  <si>
    <t>TRACTOZONE DOLLY</t>
  </si>
  <si>
    <t>ACERO PLANAS</t>
  </si>
  <si>
    <t>EL BENJA</t>
  </si>
  <si>
    <t>BISAGRA PARA DOLLY</t>
  </si>
  <si>
    <t>PINTURA PARA DOLLY</t>
  </si>
  <si>
    <t>TRO GRIM PARA DOLLY</t>
  </si>
  <si>
    <t>MANO DE OBRA PARA DOLLY</t>
  </si>
  <si>
    <t>OTROS PARA DOLLY</t>
  </si>
  <si>
    <t>EXTRAS PARA DOLLY</t>
  </si>
  <si>
    <t>CANTIDAD:</t>
  </si>
  <si>
    <t>TOTAL DEL PRESUPUESTO:</t>
  </si>
  <si>
    <t>No. FOLIO</t>
  </si>
  <si>
    <t xml:space="preserve">Vigas principales: Viga tipo “I” formada con alma de calibre de ¼” de acero alta resistencia 55 KSI y patines en calibre ½” *6” de alta resistencia 65 KSI, soldada automáticamente con peralte de 11” al frente, al centro 25 ¼” y en la parte trasera 22”. </t>
  </si>
  <si>
    <t xml:space="preserve">Puentes travesaños: Tipo "I" estructural de 4" peralte 80 KSI, atravesando las vigas principales, soldadas a estas y a las bordas laterales, localizadas a cada 12".  Con 21 pzas. </t>
  </si>
  <si>
    <r>
      <t xml:space="preserve">Banco </t>
    </r>
    <r>
      <rPr>
        <b/>
        <sz val="12"/>
        <color rgb="FF000000"/>
        <rFont val="Calibri"/>
        <family val="2"/>
        <scheme val="minor"/>
      </rPr>
      <t xml:space="preserve">HSBC </t>
    </r>
    <r>
      <rPr>
        <sz val="12"/>
        <color rgb="FF000000"/>
        <rFont val="Calibri"/>
        <family val="2"/>
        <scheme val="minor"/>
      </rPr>
      <t xml:space="preserve">a nombre de </t>
    </r>
    <r>
      <rPr>
        <b/>
        <sz val="12"/>
        <color rgb="FF000000"/>
        <rFont val="Calibri"/>
        <family val="2"/>
        <scheme val="minor"/>
      </rPr>
      <t>ARMADORA LEOLCA</t>
    </r>
    <r>
      <rPr>
        <sz val="12"/>
        <color rgb="FF000000"/>
        <rFont val="Calibri"/>
        <family val="2"/>
        <scheme val="minor"/>
      </rPr>
      <t xml:space="preserve">.  </t>
    </r>
  </si>
  <si>
    <r>
      <t xml:space="preserve">Cuenta: </t>
    </r>
    <r>
      <rPr>
        <b/>
        <sz val="12"/>
        <color rgb="FF000000"/>
        <rFont val="Calibri"/>
        <family val="2"/>
        <scheme val="minor"/>
      </rPr>
      <t xml:space="preserve">4061746210. </t>
    </r>
  </si>
  <si>
    <t>Refuerzos tubulares: De tubo negro cédula 40 de 1 ½” de diámetro del extremo del puente travesaño a la parte inferior del alma de la viga.</t>
  </si>
  <si>
    <t>Acoplador superior: Fijo soldado entre las vigas principales, localizando el perno rey a 36” del puente frontal, con placa de 3/8” SAE 1010-20, con puentes de ¼” en acero de alta resistencia KSI 55.</t>
  </si>
  <si>
    <t>Frenos: Cámara de doble diafragma, tanque de aire y conectores frontales, marca BENDIX. Sistema de ABS, 1 módulo, 2 sensores.</t>
  </si>
  <si>
    <t>Pintura: esmalte color a elección del cliente, aplicado sobre primario. Protección anticorrosiva aplicada en toda la estructura.</t>
  </si>
  <si>
    <t>Entrega: La entrega de la unidad es en nuestras instalaciones.</t>
  </si>
  <si>
    <t>Vigencia de cotización: 8 días a partir de la elaboración.</t>
  </si>
  <si>
    <t>Representante legal.</t>
  </si>
  <si>
    <t>TEL. 55 3652 6280.</t>
  </si>
  <si>
    <t>CONTRATO DE COMPRA VENTA DE EQUIPOS.</t>
  </si>
  <si>
    <t>En San Miguel Ayotla, Ahuazotepec, Puebla a</t>
  </si>
  <si>
    <t>1.- SEMIRREMOLQUE</t>
  </si>
  <si>
    <t>Tipo: Plataforma.</t>
  </si>
  <si>
    <t>Marca: REMOLQUES LEOLCA</t>
  </si>
  <si>
    <t>Modelo: 2024</t>
  </si>
  <si>
    <t>Color: NARANJA</t>
  </si>
  <si>
    <t>NIV: 3A9AN3580RM299039</t>
  </si>
  <si>
    <t>2.- SEMIRREMOLQUE</t>
  </si>
  <si>
    <t>En las siguientes clausulas:</t>
  </si>
  <si>
    <t>La forma de pago será con una camioneta marca XXXXXX, modelo XXXX, con enganche de $200,000.00 M.N (doscientos mil pesos 00/100 M.N) con la siguiente relación: (cabe estipular que los pagos corren a partir del a fecha de entrega del equipo).</t>
  </si>
  <si>
    <t>CAMIONETA XXXXXXXXXXX</t>
  </si>
  <si>
    <t>LETRAS</t>
  </si>
  <si>
    <t>MONTO</t>
  </si>
  <si>
    <t>OBSERVACIONES</t>
  </si>
  <si>
    <r>
      <rPr>
        <b/>
        <sz val="11"/>
        <color theme="1"/>
        <rFont val="Calibri"/>
        <family val="2"/>
        <scheme val="minor"/>
      </rPr>
      <t>Segunda.</t>
    </r>
    <r>
      <rPr>
        <sz val="11"/>
        <color theme="1"/>
        <rFont val="Calibri"/>
        <family val="2"/>
        <scheme val="minor"/>
      </rPr>
      <t xml:space="preserve"> - El vendedor entrega materialmente al comprador la posesión del Semi-Remolque, haciéndose el adquirente cargo de cuantas responsabilidades puedan contraerse por la propiedad del equipo.</t>
    </r>
  </si>
  <si>
    <t>Tercera. - El vendedor se compromete a facilitar los documentos relativos al remolque (Carta factura de compra y normas 035 y 068 SCT).</t>
  </si>
  <si>
    <t>Cuarta. – El vendedor hará entrega de la factura del equipo al cubrir el monto total estipulado anteriormente mencionado.</t>
  </si>
  <si>
    <t>Quinta. – El comprador se compromete a realizar los pagos anteriormente especificados en fecha y forma, en caso de incumplimiento de pago, se le otorgarán 2 días hábiles como tolerancia, posterior a la fecha establecida para que efectué el pago, en caso de rebasar la fecha limite se le cobrara un interés de 10% sobre el monto de pago mensual establecido, por incumplimiento.</t>
  </si>
  <si>
    <t>Sexta. – Incumplimiento: en caso de incumplimiento de cualquiera de las obligaciones a cargo del comprador, asume en virtud del presente contrato y de sus anexos, el vendedor tendrá el derecho de elegir entre el cumplimiento forzoso del contrato o su recisión, sin necesidad de declaración judicial en tal sentido.</t>
  </si>
  <si>
    <t>Las partes convienen que será causa de rescisión del presente contrato y de sus anexos entre otros los siguientes:</t>
  </si>
  <si>
    <t>•  Se encuentre en los supuestos de ley respectivos para que sea declarado en quiebra, concurso mercantil o suspensión de pagos.</t>
  </si>
  <si>
    <t>•  Se abstenga de pagar una o más de las mensualidades convenidas a su cargo en cuyo caso tendrá que pagar los intereses que estos generen y al tercer mes de no realizar el pago este tendrá que liquidar el total del bien o regresarlo en cuyo caso se penalizará con el 50% del monto que a la fecha se haya pagado.</t>
  </si>
  <si>
    <t>Séptima. - Las partes conviene expresamente que el comprador asume cualquier riesgo por robo y pérdida parcial o totales, destrucción y daños en general que sufran los bienes vendidos.</t>
  </si>
  <si>
    <t>Octavo. - En caso de incumplimiento a sus obligaciones entre las partes de la interpretación del presente contrato, se someterán a los Juzgados y Tribunales, y para que así conste, firman el presente contrato de compraventa, en la fecha y lugar anteriormente indicados.</t>
  </si>
  <si>
    <t>Vendedor.</t>
  </si>
  <si>
    <t>Comprador.</t>
  </si>
  <si>
    <t>43 FT</t>
  </si>
  <si>
    <t>PLATAFORMA 3 43 FT</t>
  </si>
  <si>
    <t>10</t>
  </si>
  <si>
    <t>LLANTAS Y RINES DOLLY</t>
  </si>
  <si>
    <t>UNIDAD</t>
  </si>
  <si>
    <t>f</t>
  </si>
  <si>
    <t>PRODUCTO</t>
  </si>
  <si>
    <t>CANTIDAD/PROD</t>
  </si>
  <si>
    <t>CANT/RETRACTIL</t>
  </si>
  <si>
    <t>CANT/PATIN</t>
  </si>
  <si>
    <t>CANT/WINCHES</t>
  </si>
  <si>
    <t>CANT/RIN</t>
  </si>
  <si>
    <t>CANT/LLANTA</t>
  </si>
  <si>
    <t>FOL-09-09-23-01</t>
  </si>
  <si>
    <t>SEMIREMOLQUE TIPO: PLATAFORMA 42 FT 2 EJES, CON SUSPENSIÓN AMPRO, EJES FLEET MASTER, 2 PAR PATIN AMPRO, PISO LAMINADO,  CON RIEL, 10 MATRACA CORREDIZA, SIN GANCHO, SIN FRENTE, REDILAS DE 80 CM, 1 SISTEMA RETRÁCTIL, 8 RINES DE ACERO, 8 LLANTAS CHINAS</t>
  </si>
  <si>
    <t>AHUAZOTEPEC, PUEBLA, MEXICO</t>
  </si>
  <si>
    <t>QUERETARO, QUERETARO, MEXICO</t>
  </si>
  <si>
    <t>DOLLY 08-07-23-01</t>
  </si>
  <si>
    <t>FOL-06-09-23-00</t>
  </si>
  <si>
    <t>PEDRO DOMINGUEZ ROSAS</t>
  </si>
  <si>
    <t>776 767 8094</t>
  </si>
  <si>
    <t>transportesdominguez2@outlook.com</t>
  </si>
  <si>
    <t>FILIBERTA MUÑOZ RODRIGUEZ</t>
  </si>
  <si>
    <t>RODOLFO LUNA LUNA</t>
  </si>
  <si>
    <t>LULR690815M76</t>
  </si>
  <si>
    <t>ZACATLAN, PUEBLA, MEXICO</t>
  </si>
  <si>
    <t>CALLE PRINCIPAL S/N, METEPEC</t>
  </si>
  <si>
    <t>797 116 7130</t>
  </si>
  <si>
    <t>HEBERTO HERNANDEZ</t>
  </si>
  <si>
    <t>AHUZOTEPEC, PUEBLA, MEXICO</t>
  </si>
  <si>
    <t>ALONSO CUEVAS</t>
  </si>
  <si>
    <t>RAMON ROLDAN</t>
  </si>
  <si>
    <t>GUSTAVO ORTEGA</t>
  </si>
  <si>
    <t>RORA9809094R0</t>
  </si>
  <si>
    <t>ALDO ROJAS RAMIREZ</t>
  </si>
  <si>
    <t>CORREGIDORA, 8, CENTRO</t>
  </si>
  <si>
    <t>BERISTAIN AHUAZOTEPEC PUEBLA MEXICO</t>
  </si>
  <si>
    <t>MARIA AIDA GARCIA BACA</t>
  </si>
  <si>
    <t>GABA7107218S1</t>
  </si>
  <si>
    <t>FUENTES DE LOS FRAILES 11 COL: MORATILLA</t>
  </si>
  <si>
    <t>PUEBLA, PUEBLA, MEXICO</t>
  </si>
  <si>
    <t>ALEXA AGUILAR SUAREZ</t>
  </si>
  <si>
    <t>AUSA9802089K0</t>
  </si>
  <si>
    <t>TOMAS ALVA EDISON 1, COL: ESTRELLA</t>
  </si>
  <si>
    <t>TULANCINGO DE BRAVO HIDALGO MEXICO</t>
  </si>
  <si>
    <t>transportes.vosa@outlook.com</t>
  </si>
  <si>
    <t>TGG0610132E4</t>
  </si>
  <si>
    <t>TRANSPORTADORA GRUPO GYM</t>
  </si>
  <si>
    <t>CARRETERA QUERETARO S.L.P  KM 21 3, COL: ROSA DE JAUREGUI</t>
  </si>
  <si>
    <t>ALVARO ORTEGA BARRERA</t>
  </si>
  <si>
    <t>OEBA690629NK3</t>
  </si>
  <si>
    <t>MIGUEL HIDALGO 8, CENTRO</t>
  </si>
  <si>
    <t>ALVARO AGUILAR VAZQUEZ</t>
  </si>
  <si>
    <t>AUVA770904D30</t>
  </si>
  <si>
    <t>PRINCIPAL S/N</t>
  </si>
  <si>
    <t>LA ESTACION, AHUAZOTEPEC, PUELA, MEXICO</t>
  </si>
  <si>
    <t>ANTONIO GONZALEZ ORTIZ</t>
  </si>
  <si>
    <t>GOOA9602196R5</t>
  </si>
  <si>
    <t>CARR.TULANCINGO HUASCA KM 11, COL: METEPEC 1</t>
  </si>
  <si>
    <t>ACATLAN, HIDALGO, MEXICO</t>
  </si>
  <si>
    <t>ARDELIO SALAS ISLAS</t>
  </si>
  <si>
    <t>SAIA660127CIA</t>
  </si>
  <si>
    <t>Calle Francisco I. Madero S/N COL: CENTRO</t>
  </si>
  <si>
    <t>AMANDO ORTEGA DE LA FUENTE</t>
  </si>
  <si>
    <t>OEFA821029C78</t>
  </si>
  <si>
    <t>ADOLFO LOPEZ MATEOS MZ 9 LT 16</t>
  </si>
  <si>
    <t>ECATEPEC DE MORELOS, ED. MEX, MEXICO</t>
  </si>
  <si>
    <t>facturacion.ortega@gmail.com</t>
  </si>
  <si>
    <t>ARTEMIO MARTINEZ CASTILLA</t>
  </si>
  <si>
    <t>MACA821225F3A</t>
  </si>
  <si>
    <t>CARRETERA 350, COL: LAS LAJAS</t>
  </si>
  <si>
    <t>artemiomartinez25c@gmail.com</t>
  </si>
  <si>
    <t>CESAR  VALDEZ MARTINEZ</t>
  </si>
  <si>
    <t>VAMC751101LLA</t>
  </si>
  <si>
    <t>IGNACIO ZARAGOZA ORIENTE 12, COL: CENTRO</t>
  </si>
  <si>
    <t>noe_wiskly@hotmail.com</t>
  </si>
  <si>
    <t>CONSTANTINO PABLO ISLAS HERNANDEZ</t>
  </si>
  <si>
    <t>IAHC930512EE1</t>
  </si>
  <si>
    <t>20 DE NOVIEMBRE 21, COL: CENTRO</t>
  </si>
  <si>
    <t>VENTA GRANDE, HUAUCHINANGO, PUEBLA MEXICO</t>
  </si>
  <si>
    <t>DANIELA GARRIDO GUERRA</t>
  </si>
  <si>
    <t>GAGD010911TT3</t>
  </si>
  <si>
    <t>5 De Febrero No. 305, COL: CENTRO</t>
  </si>
  <si>
    <t>danielagarridoguerra@gmail.com</t>
  </si>
  <si>
    <t>EDITH HERNANDEZ DOMIGUEZ</t>
  </si>
  <si>
    <t>HEDE8302112N6</t>
  </si>
  <si>
    <t>PRIVADA DE INDEPENDENCIA S/N, COL: EL POSITO</t>
  </si>
  <si>
    <t>EFRAIN MARTINEZ MARTINEZ</t>
  </si>
  <si>
    <t>MAMX8406264P6</t>
  </si>
  <si>
    <t>JUSTO SIERRA 22, COL: AHUAZOTEPEC</t>
  </si>
  <si>
    <t>EFREN MUÑOZ AGUILAR</t>
  </si>
  <si>
    <t>MUAE690510CQ7</t>
  </si>
  <si>
    <t>AVENIDA FRANCISCO CRAVIOTO SUR 101, COL: SEGUNDA SECCION</t>
  </si>
  <si>
    <t>ELIZABETH MUÑOZ DOMINGUEZ</t>
  </si>
  <si>
    <t>MUDE980424687</t>
  </si>
  <si>
    <t>EMILIANO ZAPATA S/N, CENTRO</t>
  </si>
  <si>
    <t>ESMERALDA SOLEDAD CORTES FLORES</t>
  </si>
  <si>
    <t>COFE700426L95</t>
  </si>
  <si>
    <t>GUMERSINDO M HERNANDEZ 27</t>
  </si>
  <si>
    <t>TLAXCO, TLAXCALA, MEXICO</t>
  </si>
  <si>
    <t>ESTEBAN GONZALEZ ORTEGA</t>
  </si>
  <si>
    <t>GOOE4812263Y0</t>
  </si>
  <si>
    <t>AV. DE LOS TECNICOS 14, EL PARAISO</t>
  </si>
  <si>
    <t>HUAUCHINANGO, PUEBLA, MEXICO</t>
  </si>
  <si>
    <t>MURF700822GX3</t>
  </si>
  <si>
    <t>LOS PINOS S/N, DE PUEBLA</t>
  </si>
  <si>
    <t>SANTA ANA NOPALUCAN, TLAXCALA, MEXICO</t>
  </si>
  <si>
    <t>GENARO GONZALEZ GUZMAN</t>
  </si>
  <si>
    <t>GOGG710919IW3</t>
  </si>
  <si>
    <t>MORELOS No. Ext. 23-C</t>
  </si>
  <si>
    <t>beris3g@hotmail.com</t>
  </si>
  <si>
    <t>GERMAN MORALES OBREGON</t>
  </si>
  <si>
    <t>MOOG951007PF2</t>
  </si>
  <si>
    <t>CISNES NORTE MANZANA 17 LOTE 5, VILLAS DE PACHUCA</t>
  </si>
  <si>
    <t>PACHUCA DE SOTO, HIDALGO, MEXICO</t>
  </si>
  <si>
    <t>LGC120420SE7</t>
  </si>
  <si>
    <t>LOGISTICA GO CARGO</t>
  </si>
  <si>
    <t>ZURITA 55, TEQUISISTLAN</t>
  </si>
  <si>
    <t>TEZOYUCA, EDO MEX. MEXICO</t>
  </si>
  <si>
    <t>NICOLAS URIBE GAYOSSO</t>
  </si>
  <si>
    <t>UIGN841124EC9</t>
  </si>
  <si>
    <t>FRANCISCO CRAVIOTO SUR 69, CENTRO</t>
  </si>
  <si>
    <t>HELIBERIO ORTEGA MARTINEZ</t>
  </si>
  <si>
    <t>OEMH6409233V4</t>
  </si>
  <si>
    <t>CLAVEL 39, SANTA ROSA DE JAUREGUI</t>
  </si>
  <si>
    <t>IRENE YAÑEZ MARQUEZ</t>
  </si>
  <si>
    <t>YAMI571013VB3</t>
  </si>
  <si>
    <t>MORELOS ESQUINA CON CALLE NARANJA S/N , CENTRO</t>
  </si>
  <si>
    <t>IVAN GONZALEZ GUTIERREZ</t>
  </si>
  <si>
    <t>GOGI910714CB4</t>
  </si>
  <si>
    <t>776 105 7542</t>
  </si>
  <si>
    <t>ivanglezgtz_14@hotmail.com</t>
  </si>
  <si>
    <t>JAIME ROJAS CRUZ</t>
  </si>
  <si>
    <t>ROCJ730119ND6</t>
  </si>
  <si>
    <t>CAMINO A CUAUTEPEC S/N, EL CALVARIO</t>
  </si>
  <si>
    <t>JAVIER GAYOSSO OLVERA</t>
  </si>
  <si>
    <t>GAOJ741006L67</t>
  </si>
  <si>
    <t>FRANCISCO CESAR MORALES MZ 123, SANTA MARTHA ACATITLA</t>
  </si>
  <si>
    <t>IZTAPALAPA, CD MEXICO, MEXICO</t>
  </si>
  <si>
    <t>_0951</t>
  </si>
  <si>
    <t>JESUS GARCIA ORTIZ</t>
  </si>
  <si>
    <t>GAOJ810616D10</t>
  </si>
  <si>
    <t>jesgar81@hotmail.com</t>
  </si>
  <si>
    <t>LEONARDO ISLAS AVILA</t>
  </si>
  <si>
    <t>IAAL690505TL8</t>
  </si>
  <si>
    <t>ALVARO OBREGON 16, CENTRO</t>
  </si>
  <si>
    <t>SANTA MONICA, EPAZOYUCAN, HIDALGO, MEXICO</t>
  </si>
  <si>
    <t>GRUPO LOZAGUI SA DE CV</t>
  </si>
  <si>
    <t>GLO1912025A1</t>
  </si>
  <si>
    <t>GRUPO LOZAGUI</t>
  </si>
  <si>
    <t>MELCHOR OCAMPO 117, CENTRO</t>
  </si>
  <si>
    <t>LUCINA YANERI CRUZ GARCIA</t>
  </si>
  <si>
    <t>CUGL810822E84</t>
  </si>
  <si>
    <t>CARRETERA ESTATAL PACHUCA-CD.-SAHAGÚN KM. 29, ACELOTLA DE OCAMPO</t>
  </si>
  <si>
    <t>ZEMPOALA, HIDALGO, MEXICO</t>
  </si>
  <si>
    <t>LUCIANO MALDONADO MORALES</t>
  </si>
  <si>
    <t>MAML730303GW0</t>
  </si>
  <si>
    <t>3A SECCION AHUACATLA</t>
  </si>
  <si>
    <t>MARGARITA SOTO DOMINGUEZ</t>
  </si>
  <si>
    <t>SODM651106KL3</t>
  </si>
  <si>
    <t>IGNACIO ZARAGOZA PONIENTE, 3, CENTRO</t>
  </si>
  <si>
    <t>sotodominguez450@gmail.com</t>
  </si>
  <si>
    <t>NOE CORTEZ ORTEGA</t>
  </si>
  <si>
    <t>COON900830E40</t>
  </si>
  <si>
    <t>CARRETERA A CUAUTEPEC 20, EL CALVARIO</t>
  </si>
  <si>
    <t>noecortez1990@outlook.com</t>
  </si>
  <si>
    <t>AUT150915BG6</t>
  </si>
  <si>
    <t>AUTOFLETES3RS</t>
  </si>
  <si>
    <t>HACIENDA DE OJUELOS MZ 832 LT 15, EMILIO CHUAYFET</t>
  </si>
  <si>
    <t>NEZAHUALCOYOTL, EDO. MEX. MEXICO</t>
  </si>
  <si>
    <t>RAFAEL AGUILAR VAZQUEZ</t>
  </si>
  <si>
    <t>AUVR7512105E5</t>
  </si>
  <si>
    <t>OSCAR ORTEGA DE LA FUENTE</t>
  </si>
  <si>
    <t>OEFO840812FQ5</t>
  </si>
  <si>
    <t>ADOFO MATEOS Mz. 9, Lt.16, GUSTAVO BAZ PRADA</t>
  </si>
  <si>
    <t>RENE CORTEZ  ORTEGA</t>
  </si>
  <si>
    <t>COOR810901LS6</t>
  </si>
  <si>
    <t>RENE CORTEZ ORTEGA</t>
  </si>
  <si>
    <t>CAMINO A CUAUTEPEC 1 EL CALVARIO</t>
  </si>
  <si>
    <t>renecortez2010@hotmail.com</t>
  </si>
  <si>
    <t>ZENON VARGAS LOPEZ</t>
  </si>
  <si>
    <t>VALZ680708EB3</t>
  </si>
  <si>
    <t>CONOCIDO S/N</t>
  </si>
  <si>
    <t>FERRERIA DE APULCO, METEPEC, HIDALGO, MEXICO</t>
  </si>
  <si>
    <t>MA. MATILDE MEJIA CASTRO</t>
  </si>
  <si>
    <t>MECM620314MV0</t>
  </si>
  <si>
    <t>CUATROCIENEGAS 115, GUADALUPE AHMSA</t>
  </si>
  <si>
    <t>MONCLOVA, COAHUILA, MEXICO</t>
  </si>
  <si>
    <t>MARIA LAURA LOPEZ LUNA</t>
  </si>
  <si>
    <t>LOLL670929C64</t>
  </si>
  <si>
    <t>POSTE 70 S/N</t>
  </si>
  <si>
    <t>ANABERTHA ESCALONA ALVARADO</t>
  </si>
  <si>
    <t>EAAA830703GF8</t>
  </si>
  <si>
    <t>SINALOA 14, HUITZILA</t>
  </si>
  <si>
    <t>TIZAYUCA, HIDALGO, MEXICO</t>
  </si>
  <si>
    <t>DORP701118A83</t>
  </si>
  <si>
    <t>AV. DON LUIS ESQ. ALFA No. 6, FRACC. BELLA VISTA</t>
  </si>
  <si>
    <t>KAERI ESTRADA CRUZ</t>
  </si>
  <si>
    <t>EACK8605182Y5</t>
  </si>
  <si>
    <t>CAPULIN PTE 100</t>
  </si>
  <si>
    <t>CUANALA, JUAN C. BONILLA, PUEBLA, MEXICO</t>
  </si>
  <si>
    <t>transportesllc_2012@hotmail.com</t>
  </si>
  <si>
    <t>LAURA NAYELI ZALETA MATIAS</t>
  </si>
  <si>
    <t>ZAML880212EJ6</t>
  </si>
  <si>
    <t>LOC. LA BOVEDA S/N</t>
  </si>
  <si>
    <t>LA BOVEDA, ACAXOCHITLAN, HIDALGO, MEXICO</t>
  </si>
  <si>
    <t>ERICK ZAMORA SERRANO</t>
  </si>
  <si>
    <t>ZASE870718MS8</t>
  </si>
  <si>
    <t>CALLE NUEVA No. EXT.8 CENTRO</t>
  </si>
  <si>
    <t>SEMIREMOLQUE TIPO: PLATAFORMA 40 FT 2 EJES, CON SUSPENSIÓN AMPRO, EJES AMPRO, 2 PAR PATIN AMPRO, PISO DE MADERA DE PINO,  0, 10 MATRACA CORREDIZA, GANCHO HOLLAND, SIN FRENTE, SIN REDILAS, 1 SISTEMA RETRÁCTIL, 8 RINES DE ACERO, 8 LLANTAS CHINAS</t>
  </si>
  <si>
    <t>4</t>
  </si>
  <si>
    <t>FOL-06-09-23-01</t>
  </si>
  <si>
    <t>HERIBERTO ROLDAN LOZADA</t>
  </si>
  <si>
    <t>ROLH810209855</t>
  </si>
  <si>
    <t>RAYON 18, CENTRO</t>
  </si>
  <si>
    <t>ACAXOCHITLAN HIDALGO MEXICO</t>
  </si>
  <si>
    <t>FOL-06-09-23-02</t>
  </si>
  <si>
    <t>PATA DE ELEFANTE</t>
  </si>
  <si>
    <t>POLINERA CON BICICLETERA</t>
  </si>
  <si>
    <t>SEMIREMOLQUE TIPO: PLATAFORMA 40 FT 2 EJES, CON SUSPENSIÓN FLEET MASTER, EJES FLEET MASTER, 2 PAR PATÍN HJ, PISO DE PLÁSTICO,  0, 10 MATRACA CORREDIZA, GANCHO PREMIER, BURRO A 1.20 M,  , 1 SISTEMA RETRÁCTIL, 8 RINES DE ACERO, 8 LLANTAS CHINAS</t>
  </si>
  <si>
    <t xml:space="preserve">CLIENTE </t>
  </si>
  <si>
    <t>CHASIS</t>
  </si>
  <si>
    <t>P/U</t>
  </si>
  <si>
    <t xml:space="preserve">PAGO </t>
  </si>
  <si>
    <t>ADEUDO</t>
  </si>
  <si>
    <t>EQUI. ENTREGADOS</t>
  </si>
  <si>
    <t>ALDO ROJAS</t>
  </si>
  <si>
    <t>RM299001</t>
  </si>
  <si>
    <t>RM299002</t>
  </si>
  <si>
    <t>RM299003</t>
  </si>
  <si>
    <t>JAVIER GAYOSSO</t>
  </si>
  <si>
    <t>RM299011</t>
  </si>
  <si>
    <t xml:space="preserve">MARGARITA SOTO </t>
  </si>
  <si>
    <t>RM299012</t>
  </si>
  <si>
    <t>AMANDO ORTEGA</t>
  </si>
  <si>
    <t>RM299013</t>
  </si>
  <si>
    <t>RM299019</t>
  </si>
  <si>
    <t>EDITH HERNANADEZ DOMINGUEZ</t>
  </si>
  <si>
    <t>CESAR VALDEZ MARTINEZ</t>
  </si>
  <si>
    <t>GENARO GONZALES</t>
  </si>
  <si>
    <t>RM299033</t>
  </si>
  <si>
    <t>RM299034</t>
  </si>
  <si>
    <t>RM299035</t>
  </si>
  <si>
    <t>RM299038</t>
  </si>
  <si>
    <t>LUCIANO MALDONADO</t>
  </si>
  <si>
    <t>ARTEMIO MARTINEZ</t>
  </si>
  <si>
    <t>JAIME ROJAS</t>
  </si>
  <si>
    <t>EFRAIN MARTINEZ</t>
  </si>
  <si>
    <t>GERMAN MORALES</t>
  </si>
  <si>
    <t xml:space="preserve">FILIBERTA MUÑOZ RODRIGUEZ </t>
  </si>
  <si>
    <t>RM299048</t>
  </si>
  <si>
    <t>MARCIAL / JUAN CARROCERO</t>
  </si>
  <si>
    <t>IVAN GONZALES</t>
  </si>
  <si>
    <t>ARDELIO SALAS</t>
  </si>
  <si>
    <t xml:space="preserve">ANTONIO GONZALES </t>
  </si>
  <si>
    <t>ANA LAURA LOPEZ LUNA</t>
  </si>
  <si>
    <t>RODOLFO LUNA</t>
  </si>
  <si>
    <t>JORGE ISLAS (LEO ISLAS AVILA)</t>
  </si>
  <si>
    <t>RM299065</t>
  </si>
  <si>
    <t>ALVARO ORTEGA . B</t>
  </si>
  <si>
    <t>RM299077</t>
  </si>
  <si>
    <t>AIDA BACA</t>
  </si>
  <si>
    <t>HECTOR URIBE</t>
  </si>
  <si>
    <t>RM299096</t>
  </si>
  <si>
    <t>RM299097</t>
  </si>
  <si>
    <t>CESAR MANSUR</t>
  </si>
  <si>
    <t>ELIZABETH MUÑOZ</t>
  </si>
  <si>
    <t xml:space="preserve">ESTEBAN GOLZALES </t>
  </si>
  <si>
    <t>JESUS GARCIA</t>
  </si>
  <si>
    <t>CONST. PABLO HERNANDEZ ISLAS</t>
  </si>
  <si>
    <t>HELIBERIO ORTEGA</t>
  </si>
  <si>
    <t>ESMERALDA SOLEDAD CORTEZ / MIGUEL DAVILA</t>
  </si>
  <si>
    <t>FECHE/ENTRGA</t>
  </si>
  <si>
    <t>FECHA DE PAGO</t>
  </si>
  <si>
    <t>PAGADO</t>
  </si>
  <si>
    <t>RM299004</t>
  </si>
  <si>
    <t>RM299005</t>
  </si>
  <si>
    <t>RM299006</t>
  </si>
  <si>
    <t>RM299007</t>
  </si>
  <si>
    <t>RM299008</t>
  </si>
  <si>
    <t>RM299009</t>
  </si>
  <si>
    <t>RM299010</t>
  </si>
  <si>
    <t>RM299014</t>
  </si>
  <si>
    <t>RM299015</t>
  </si>
  <si>
    <t>RM299016</t>
  </si>
  <si>
    <t>RM299017</t>
  </si>
  <si>
    <t>RM299018</t>
  </si>
  <si>
    <t>RM299020</t>
  </si>
  <si>
    <t>RM299021</t>
  </si>
  <si>
    <t>RM299022</t>
  </si>
  <si>
    <t>RM299023</t>
  </si>
  <si>
    <t>RM299024</t>
  </si>
  <si>
    <t>RM299025</t>
  </si>
  <si>
    <t>RM299026</t>
  </si>
  <si>
    <t>RM299027</t>
  </si>
  <si>
    <t>RM299028</t>
  </si>
  <si>
    <t>RM299029</t>
  </si>
  <si>
    <t>RM299030</t>
  </si>
  <si>
    <t>RM299031</t>
  </si>
  <si>
    <t>RM299032</t>
  </si>
  <si>
    <t>RM299036</t>
  </si>
  <si>
    <t>RM299037</t>
  </si>
  <si>
    <t>RM299039</t>
  </si>
  <si>
    <t>RM299040</t>
  </si>
  <si>
    <t>RM299041</t>
  </si>
  <si>
    <t>RM299042</t>
  </si>
  <si>
    <t>RM299043</t>
  </si>
  <si>
    <t>RM299044</t>
  </si>
  <si>
    <t>RM299045</t>
  </si>
  <si>
    <t>RM299046</t>
  </si>
  <si>
    <t>RM299047</t>
  </si>
  <si>
    <t>RM299049</t>
  </si>
  <si>
    <t>RM299050</t>
  </si>
  <si>
    <t>RM299051</t>
  </si>
  <si>
    <t>RM299052</t>
  </si>
  <si>
    <t>RM299053</t>
  </si>
  <si>
    <t>RM299054</t>
  </si>
  <si>
    <t>RM299055</t>
  </si>
  <si>
    <t>RM299056</t>
  </si>
  <si>
    <t>RM299057</t>
  </si>
  <si>
    <t>RM299058</t>
  </si>
  <si>
    <t>RM299059</t>
  </si>
  <si>
    <t>RM299060</t>
  </si>
  <si>
    <t>RM299061</t>
  </si>
  <si>
    <t>RM299062</t>
  </si>
  <si>
    <t>RM299063</t>
  </si>
  <si>
    <t>RM299064</t>
  </si>
  <si>
    <t>RM299066</t>
  </si>
  <si>
    <t>RM299067</t>
  </si>
  <si>
    <t>RM299068</t>
  </si>
  <si>
    <t>RM299069</t>
  </si>
  <si>
    <t>RM299070</t>
  </si>
  <si>
    <t>RM299071</t>
  </si>
  <si>
    <t>RM299072</t>
  </si>
  <si>
    <t>RM299073</t>
  </si>
  <si>
    <t>RM299074</t>
  </si>
  <si>
    <t>RM299075</t>
  </si>
  <si>
    <t>RM299076</t>
  </si>
  <si>
    <t>RM299078</t>
  </si>
  <si>
    <t>RM299079</t>
  </si>
  <si>
    <t>RM299080</t>
  </si>
  <si>
    <t>RM299081</t>
  </si>
  <si>
    <t>RM299082</t>
  </si>
  <si>
    <t>RM299083</t>
  </si>
  <si>
    <t>RM299084</t>
  </si>
  <si>
    <t>RM299085</t>
  </si>
  <si>
    <t>RM299086</t>
  </si>
  <si>
    <t>RM299087</t>
  </si>
  <si>
    <t>RM299088</t>
  </si>
  <si>
    <t>RM299089</t>
  </si>
  <si>
    <t>RM299090</t>
  </si>
  <si>
    <t>RM299091</t>
  </si>
  <si>
    <t>RM299092</t>
  </si>
  <si>
    <t>RM299093</t>
  </si>
  <si>
    <t>RM299094</t>
  </si>
  <si>
    <t>RM299095</t>
  </si>
  <si>
    <t>RM299098</t>
  </si>
  <si>
    <t>RM299099</t>
  </si>
  <si>
    <t>RM299100</t>
  </si>
  <si>
    <t>RM299101</t>
  </si>
  <si>
    <t>RM299102</t>
  </si>
  <si>
    <t>RM299103</t>
  </si>
  <si>
    <t>RM299104</t>
  </si>
  <si>
    <t>RM299105</t>
  </si>
  <si>
    <t>RM299106</t>
  </si>
  <si>
    <t>RM299107</t>
  </si>
  <si>
    <t>RM299108</t>
  </si>
  <si>
    <t>RM299109</t>
  </si>
  <si>
    <t>RM299110</t>
  </si>
  <si>
    <t>RM299111</t>
  </si>
  <si>
    <t>RM299112</t>
  </si>
  <si>
    <t>RM299113</t>
  </si>
  <si>
    <t>RM299114</t>
  </si>
  <si>
    <t>RM299115</t>
  </si>
  <si>
    <t>RM299116</t>
  </si>
  <si>
    <t>RM299117</t>
  </si>
  <si>
    <t>RM299118</t>
  </si>
  <si>
    <t>RM299119</t>
  </si>
  <si>
    <t>RM299120</t>
  </si>
  <si>
    <t>RM299121</t>
  </si>
  <si>
    <t>RM299122</t>
  </si>
  <si>
    <t>RM299123</t>
  </si>
  <si>
    <t>RM299124</t>
  </si>
  <si>
    <t>RM299125</t>
  </si>
  <si>
    <t>RM299126</t>
  </si>
  <si>
    <t>RM299127</t>
  </si>
  <si>
    <t>RM299128</t>
  </si>
  <si>
    <t>RM299129</t>
  </si>
  <si>
    <t>RM299130</t>
  </si>
  <si>
    <t>RM299131</t>
  </si>
  <si>
    <t>RM299132</t>
  </si>
  <si>
    <t>RM299133</t>
  </si>
  <si>
    <t>RM299134</t>
  </si>
  <si>
    <t>RM299135</t>
  </si>
  <si>
    <t>RM299136</t>
  </si>
  <si>
    <t>RM299137</t>
  </si>
  <si>
    <t>OSCAR ORTEGA</t>
  </si>
  <si>
    <t>RAFAEL AGUILAR</t>
  </si>
  <si>
    <t>AÑO MODELO</t>
  </si>
  <si>
    <t>GABINO MALDONADO MORALES</t>
  </si>
  <si>
    <t>NM299174</t>
  </si>
  <si>
    <t>FOLIO FACTURA</t>
  </si>
  <si>
    <t>A. 963</t>
  </si>
  <si>
    <t>A. 1170</t>
  </si>
  <si>
    <t>A. 1235</t>
  </si>
  <si>
    <t>A. 1440</t>
  </si>
  <si>
    <t>A. 1582</t>
  </si>
  <si>
    <t>A. 1781</t>
  </si>
  <si>
    <t>A. 2052</t>
  </si>
  <si>
    <t>NM299176</t>
  </si>
  <si>
    <t>A. 2748</t>
  </si>
  <si>
    <t>A. 2749</t>
  </si>
  <si>
    <t>A. 1166</t>
  </si>
  <si>
    <t>A. 1905</t>
  </si>
  <si>
    <t>A. 2750</t>
  </si>
  <si>
    <t>A. 1897</t>
  </si>
  <si>
    <t>A. 2161</t>
  </si>
  <si>
    <t>A. 2034</t>
  </si>
  <si>
    <t>A. 2296</t>
  </si>
  <si>
    <t>A. 2567</t>
  </si>
  <si>
    <t>A. 2577</t>
  </si>
  <si>
    <t>A.2714</t>
  </si>
  <si>
    <t>A. 1167</t>
  </si>
  <si>
    <t>A. 2751</t>
  </si>
  <si>
    <t>NM299175</t>
  </si>
  <si>
    <t>LM299030</t>
  </si>
  <si>
    <t>LM299031</t>
  </si>
  <si>
    <t>TOTAL DE PAGOS</t>
  </si>
  <si>
    <t>A. 1356</t>
  </si>
  <si>
    <t>FACTURA</t>
  </si>
  <si>
    <t>F 2753</t>
  </si>
  <si>
    <t>F 2752</t>
  </si>
  <si>
    <t>Un semiremolque nuevo tipo:</t>
  </si>
  <si>
    <t>Longitud:</t>
  </si>
  <si>
    <t>Largo:</t>
  </si>
  <si>
    <t>Ejes:</t>
  </si>
  <si>
    <t xml:space="preserve">           Número de identificación vehicular (NIV):</t>
  </si>
  <si>
    <t>Ancho:</t>
  </si>
  <si>
    <t>2.60 metros</t>
  </si>
  <si>
    <t>Alto: 1.30 metros</t>
  </si>
  <si>
    <t>Suspensión: Neumatica</t>
  </si>
  <si>
    <t>REMOLQUES LEOLCA</t>
  </si>
  <si>
    <t>Cumpliendo  para  ello  fielmente  con  las  disposiciones  de  seguridad  que  la  Secretaría  de Comunicaciones y Transportes establece, el cual cuenta con las siguientes características:</t>
  </si>
  <si>
    <t>NUM LLANTAS</t>
  </si>
  <si>
    <t>Estas características se apegan completamente a la norma NOM-012-SCT-2-2014, sobre el peso y las dimensiones máximas con las que pueden circular los vehículos de autotransporte que transitan las vías generales de comunicación de jurisdicción federal, cumpliendo igualmente con la resistencia estructural requerida.</t>
  </si>
  <si>
    <t>Se extiende la presente constancia para los fines legales que a su propietario convengan con un vencimiento de 60 días naturales.</t>
  </si>
  <si>
    <t>ESTE  VEHÍCULO  CUMPLE  CON  LA  NORMA  OFICIAL  MEXICANA  A  LA FECHA DE SU FABRICACIÓN Y DE ACUERDO AL DIARIO OFICIAL DE LA FEDERACIÓN DEL 15 DE MAYO DE 2015, EL VEHÍCULO QUEDA EXENTO DE VERIFICACIÓN FISICOMECÁNICA POR UN PERIODO DE DOS AÑOS.</t>
  </si>
  <si>
    <t>CUMPLE CON LOS REQUISITOS DE LA NOM-068-SCT-2-2014, ES DECIR, CUMPLE CON LAS CONDICIONES FÍSICO-MECÁNICAS Y DE SEGURIDAD PARA  LA  OPERACIÓN  EN  CAMINOS  Y  PUENTES  DE JURISDICCIÓN FEDERAL.</t>
  </si>
  <si>
    <t>Tipo:</t>
  </si>
  <si>
    <t>Medida:</t>
  </si>
  <si>
    <t xml:space="preserve">Ejes: </t>
  </si>
  <si>
    <t xml:space="preserve">Medida: </t>
  </si>
  <si>
    <t>FOL-18-09-23-00</t>
  </si>
  <si>
    <t>SEMIREMOLQUE TIPO: PLATAFORMA 3 42 FT, CON SUSPENSIÓN AMPRO, EJES AMPRO, 2 PAR PATÍN HJ, PISO DE MADERA DE PINO,  CON RIEL, 10 MATRACA CORREDIZA, GANCHO HOLLAND, CONCHA A 1.50 M, SIN REDILAS, 2 SISTEMA RETRÁCTIL, 8 RINES DE ALUMINIO, 8 LLANTAS FIRESTONE</t>
  </si>
  <si>
    <t>Fech de emision</t>
  </si>
  <si>
    <t>cantidad unidades</t>
  </si>
  <si>
    <t>CANT RETRACTIL</t>
  </si>
  <si>
    <t>DOLLY 08-07-23-02</t>
  </si>
  <si>
    <t>PRESUPUESTO DE DOLLYN CON 2 EJES FLEET MASTER,  SUSPENSIÓN HENDRICKSON, 1 SISTEMA RETRÁCTIL, 2 RINES DE ACERO, 2 LLANTAS CEREX</t>
  </si>
  <si>
    <t xml:space="preserve">Sistema de enganche lanza integrada al bastidor.
Bastidores principales en forma de viga H fabricados en acero de alta resistencia, espesor de alma de 1/4”, patín superior e inferior en solera de ½*6”, de una sola pieza soldadas.
Puentes a lo largo de todo el bastidor en calibre ¼” reforzado en área de suspensión. Plafonera fabricada en acero calibre 3/16”.
Quinta rueda. </t>
  </si>
  <si>
    <t>Frenos: Cámara de doble diafragma, tanque de aire y conectores frontales, marca BENDIX</t>
  </si>
  <si>
    <t>Tambores: 4 de hierro gris.</t>
  </si>
  <si>
    <t>Plafones: tipo led´s.</t>
  </si>
  <si>
    <t>AMARRES</t>
  </si>
  <si>
    <t>CESAR DURANTE PONCE</t>
  </si>
  <si>
    <t>PLATAFORMA 3 45 FT</t>
  </si>
  <si>
    <t>FOL-20-09-23</t>
  </si>
  <si>
    <t>SEMIREMOLQUE TIPO: PLATAFORMA 3 45 FT, CON SUSPENSIÓN FLEET MASTER, EJES FLEET MASTER, 2 PAR PATÍN HOLLAND, PISO LAMINADO CON BASE DE PLÁSTICO,  SIN RIEL,  SIN MATRACAS, GANCHO HOLLAND, SIN FRENTE, SIN REDILAS, 1 SISTEMA RETRÁCTIL, 0 SIN RINES, 0 LLANTAS CHINAS</t>
  </si>
  <si>
    <t>12</t>
  </si>
  <si>
    <t>CAJA DE HRRTAS GRANDE 1.10 CM</t>
  </si>
  <si>
    <t>PLAFONES AMBAR</t>
  </si>
  <si>
    <t>PLAFONES ROJO</t>
  </si>
  <si>
    <t>LODERA DE CENTRO</t>
  </si>
  <si>
    <t>FOL-20-09-23-01</t>
  </si>
  <si>
    <t>DIANA O VICTOR AGUILAR LOPEZ</t>
  </si>
  <si>
    <t>SEMIREMOLQUE TIPO: PLATAFORMA 45 FT 3 EJES, CON SUSPENSIÓN HENDRICKSON, EJES FLEET MASTER, 2 PAR PATÍN HOLLAND, PISO DE PLÁSTICO,  CON RIEL, 12 MATRACA CORREDIZA, SIN GANCHO, CONCHA A 1.20 M, SIN REDILAS, 2 SISTEMA RETRÁCTIL, 12 RINES DE ACERO,  SIN LLANTAS, 1 BICECLETERA</t>
  </si>
  <si>
    <t>Fech de fabricacion</t>
  </si>
  <si>
    <t>3A9HU38581RM299032</t>
  </si>
  <si>
    <t>FOL-20-09-23-02</t>
  </si>
  <si>
    <t>TRANSPORTES DYDE</t>
  </si>
  <si>
    <t>POLINERA ATRAVESADA</t>
  </si>
  <si>
    <t>BASE COMPLETA DE BOLSA EN PIERNAS</t>
  </si>
  <si>
    <t>SEMIREMOLQUE TIPO: PLATAFORMA 40 FT 2 EJES, CON SUSPENSIÓN FLEET MASTER, EJES FLEET MASTER, 2 PAR PATIN AMPRO, PISO DE PLÁSTICO,  CON RIEL, 10 MATRACA CORREDIZA, GANCHO HOLLAND, BURRO A 1.20 M, REDILAS DE 80 CM, 1 SISTEMA RETRÁCTIL,  SIN RINES,  SIN LLANTAS, 20 PLAFONES AMBAR, 16 PLAFONES ROJO, 1 JALON, DOBLE SOLERA PARTRE TRASERA (COLITA)</t>
  </si>
  <si>
    <t>(en blanco)</t>
  </si>
  <si>
    <t>FECHE/ENTRGA (mes)</t>
  </si>
  <si>
    <t>PAGO</t>
  </si>
  <si>
    <t>RM299138</t>
  </si>
  <si>
    <t>PASCUAL AGUILAR</t>
  </si>
  <si>
    <t>COLOR</t>
  </si>
  <si>
    <t>ROJO</t>
  </si>
  <si>
    <t>RM299139</t>
  </si>
  <si>
    <t>ANARANJADO</t>
  </si>
  <si>
    <t>TRAILA 3mts</t>
  </si>
  <si>
    <t>BEIYE</t>
  </si>
  <si>
    <t>NOE CORTES</t>
  </si>
  <si>
    <t>RM299140</t>
  </si>
  <si>
    <t>AMARILLO</t>
  </si>
  <si>
    <t>RM299141</t>
  </si>
  <si>
    <t>RM299142</t>
  </si>
  <si>
    <t>VERDE</t>
  </si>
  <si>
    <t>RM299143</t>
  </si>
  <si>
    <t>RM299144</t>
  </si>
  <si>
    <t>RM299145</t>
  </si>
  <si>
    <t>RM299146</t>
  </si>
  <si>
    <t>RM299147</t>
  </si>
  <si>
    <t>RM299148</t>
  </si>
  <si>
    <t>VINO</t>
  </si>
  <si>
    <t>RM299149</t>
  </si>
  <si>
    <t>RM299150</t>
  </si>
  <si>
    <t>RM299151</t>
  </si>
  <si>
    <t>NEGRO</t>
  </si>
  <si>
    <t>ANABERTHA</t>
  </si>
  <si>
    <t>RM299152</t>
  </si>
  <si>
    <t>RM299153</t>
  </si>
  <si>
    <t>AZUL</t>
  </si>
  <si>
    <t>GRUPO GYM O ALONSO CUEVAS</t>
  </si>
  <si>
    <t>PORT CONT 40 FT 2 EJES</t>
  </si>
  <si>
    <t>HERTOR URIBE</t>
  </si>
  <si>
    <t>RM299154</t>
  </si>
  <si>
    <t>RM299155</t>
  </si>
  <si>
    <t>KAERI ESTRADA</t>
  </si>
  <si>
    <t>RM299156</t>
  </si>
  <si>
    <t>RM299157</t>
  </si>
  <si>
    <t>RM299158</t>
  </si>
  <si>
    <t>LAURA SALETA</t>
  </si>
  <si>
    <t>RM299159</t>
  </si>
  <si>
    <t>BLANCO</t>
  </si>
  <si>
    <t>SULEM SALAS MACIAS</t>
  </si>
  <si>
    <t>RM299160</t>
  </si>
  <si>
    <t>RM299161</t>
  </si>
  <si>
    <t>RM299162</t>
  </si>
  <si>
    <t>RM299163</t>
  </si>
  <si>
    <t>MORADA</t>
  </si>
  <si>
    <t>RM299164</t>
  </si>
  <si>
    <t>RM299165</t>
  </si>
  <si>
    <t>RM299166</t>
  </si>
  <si>
    <t>RM299167</t>
  </si>
  <si>
    <t>POPOCA</t>
  </si>
  <si>
    <t>RM299168</t>
  </si>
  <si>
    <t>TRAILA 20FT 6M</t>
  </si>
  <si>
    <t>EVERTO</t>
  </si>
  <si>
    <t>RM299169</t>
  </si>
  <si>
    <t>RM299170</t>
  </si>
  <si>
    <t>RM299171</t>
  </si>
  <si>
    <t>JOSE LUIS HERNANDEZ</t>
  </si>
  <si>
    <t>RM299172</t>
  </si>
  <si>
    <t>RM299173</t>
  </si>
  <si>
    <t>GRIS OXFOR</t>
  </si>
  <si>
    <t>RM299174</t>
  </si>
  <si>
    <t>RM299175</t>
  </si>
  <si>
    <t>RM299176</t>
  </si>
  <si>
    <t>RM299177</t>
  </si>
  <si>
    <t>ALEJANDRO GONZALEZ GUZMAN</t>
  </si>
  <si>
    <t>RM299178</t>
  </si>
  <si>
    <t>RM299179</t>
  </si>
  <si>
    <t>RM299180</t>
  </si>
  <si>
    <t>RM299181</t>
  </si>
  <si>
    <t>RM299182</t>
  </si>
  <si>
    <t>RM299183</t>
  </si>
  <si>
    <t>DIANA AGUILAR</t>
  </si>
  <si>
    <t>RM299184</t>
  </si>
  <si>
    <t>RM299185</t>
  </si>
  <si>
    <t>RM299186</t>
  </si>
  <si>
    <t>FRANCISCO ORTEGA</t>
  </si>
  <si>
    <t>RM299187</t>
  </si>
  <si>
    <t>RM299188</t>
  </si>
  <si>
    <t>RM299189</t>
  </si>
  <si>
    <t>RM299190</t>
  </si>
  <si>
    <t>RM299191</t>
  </si>
  <si>
    <t>GONDOLA</t>
  </si>
  <si>
    <t>RM299192</t>
  </si>
  <si>
    <t>RM299193</t>
  </si>
  <si>
    <t>RM299194</t>
  </si>
  <si>
    <t>BEIGE CON CAFÉ</t>
  </si>
  <si>
    <t>TRAILA 15FT</t>
  </si>
  <si>
    <t>40FT 2 EJES</t>
  </si>
  <si>
    <t>40FT 3 EJES</t>
  </si>
  <si>
    <t>42FT 3 EJES</t>
  </si>
  <si>
    <t>43FT 3 EJES</t>
  </si>
  <si>
    <t>45FT 3 EJES</t>
  </si>
  <si>
    <t>JAULA 40FT 3 EJES</t>
  </si>
  <si>
    <t>TRAILA</t>
  </si>
  <si>
    <t>JUAN ALCANTARA</t>
  </si>
  <si>
    <t>FOL-27-09-23</t>
  </si>
  <si>
    <t xml:space="preserve">SEMIREMOLQUE TIPO: PLATAFORMA 45 FT 3 EJES, CON SUSPENSIÓN FLEET MASTER, EJES FLEET MASTER, 2 PAR PATÍN HJ, PISO DE MADERA DE PINO,  CON RIEL, 10 MATRACA CORREDIZA, SIN GANCHO, CONCHA A 1.20 M, SIN REDILAS, 2 SISTEMA RETRÁCTIL, 12 RINES DE ACERO, 12 LLANTAS CHINAS,   , 0  , 0  ,  </t>
  </si>
  <si>
    <t>COBRE</t>
  </si>
  <si>
    <t>ROSA</t>
  </si>
  <si>
    <t>145/06/2023</t>
  </si>
  <si>
    <t>SIN PISO</t>
  </si>
  <si>
    <t>FOL-27-09-23-00</t>
  </si>
  <si>
    <t xml:space="preserve">SEMIREMOLQUE TIPO: PLATAFORMA 45 FT 3 EJES, CON SUSPENSIÓN FLEET MASTER, EJES FLEET MASTER, 2 PAR PATÍN HJ, SIN PISO CON RIEL, 10 MATRACA CORREDIZA, SIN GANCHO, CONCHA A 1.20 M, SIN REDILAS, 2 SISTEMA RETRÁCTIL,  SIN RINES,  SIN LLANTAS, 1 REFUERZOS, 0  , 0  ,  </t>
  </si>
  <si>
    <t xml:space="preserve">SEMIREMOLQUE TIPO: PLATAFORMA 40 FT 2 EJES, CON SUSPENSIÓN HENDRICKSON, EJES FLEET MASTER, 2 PAR PATÍN HOLLAND, PISO DE PLÁSTICO,  CON RIEL, 10 MATRACA CORREDIZA, GANCHO HOLLAND, CONCHA A 1.20 M, SIN REDILAS, 1 SISTEMA RETRÁCTIL,  SIN RINES,  SIN LLANTAS, 1 POLINERA , 10 PLAFONES AMBAR, 1 CAJA DE HRRTAS CHICA,  </t>
  </si>
  <si>
    <t>FOL-27-09-23-01</t>
  </si>
  <si>
    <t>ANGEL ROJAS</t>
  </si>
  <si>
    <t>PISO ANTIDERRAPANTE</t>
  </si>
  <si>
    <t>FOL-27-09-23-02</t>
  </si>
  <si>
    <t xml:space="preserve">SEMIREMOLQUE TIPO: PLATAFORMA 40 FT 2 EJES, CON SUSPENSIÓN HENDRICKSON, EJES FLEET MASTER, 2 PAR PATÍN HOLLAND, PISO ANTIDERRAPANTE CON RIEL, 10 MATRACA CORREDIZA, GANCHO PREMIER, CONCHA A 1.20 M, SIN REDILAS, 1 SISTEMA RETRÁCTIL,  SIN RINES,  SIN LLANTAS, 1 CAJA DE HRRTAS CHICA, 0  , 0  ,  </t>
  </si>
  <si>
    <t xml:space="preserve">SEMIREMOLQUE TIPO: PLATAFORMA 40 FT 2 EJES, CON SUSPENSIÓN HENDRICKSON, EJES FLEET MASTER, 2 PAR PATÍN HOLLAND, PISO DE PLÁSTICO,  CON RIEL, 10 MATRACA CORREDIZA, GANCHO HOLLAND, CONCHA A 1.20 M, SIN REDILAS, 1 SISTEMA RETRÁCTIL,  SIN RINES,  SIN LLANTAS, 1 CAJA DE HRRTAS CHICA, 1 POLINERA , 10 PLAFONES AMBAR,  </t>
  </si>
  <si>
    <t>No. Cotizacion</t>
  </si>
  <si>
    <t>Por medio de la presente envio un cordial saludo y al mismo tiempo hago llegar  a usted la siguiente cotizacion:</t>
  </si>
  <si>
    <t>FOL-02-10-23</t>
  </si>
  <si>
    <t>Semirremolque nuevo tipo:</t>
  </si>
  <si>
    <t>Ancho</t>
  </si>
  <si>
    <t>2.6 m</t>
  </si>
  <si>
    <t>Año modelo:</t>
  </si>
  <si>
    <t>Especificaciones</t>
  </si>
  <si>
    <t>Suspensión:</t>
  </si>
  <si>
    <t>Uno</t>
  </si>
  <si>
    <t>Dos</t>
  </si>
  <si>
    <t>Sistema de frenos:</t>
  </si>
  <si>
    <t>Estructura:</t>
  </si>
  <si>
    <t>Instalación electrica:</t>
  </si>
  <si>
    <t>Plafones:</t>
  </si>
  <si>
    <t>Laterales:</t>
  </si>
  <si>
    <t>Traseros:</t>
  </si>
  <si>
    <t>2 direccionales, 4 cuartos, 2 alto, 1 porta-placa, 3 rojos tres marías en el centro.</t>
  </si>
  <si>
    <t>Cinta reflejante:</t>
  </si>
  <si>
    <t>En costados y defensa trasera.</t>
  </si>
  <si>
    <t>2 plafones color rojo y 2 plafones color ámbar.</t>
  </si>
  <si>
    <t>Tipo led´s marca TRO-GRIM,</t>
  </si>
  <si>
    <t>Sistema de eje abatible:</t>
  </si>
  <si>
    <t>Canastilla porta llantas:</t>
  </si>
  <si>
    <t>Caja para lonas:</t>
  </si>
  <si>
    <t>Protecciones laterales:</t>
  </si>
  <si>
    <t>Piso:</t>
  </si>
  <si>
    <t>PISO DE MADERA DE PINO</t>
  </si>
  <si>
    <t>PISO DE MADERA DE ENCINO</t>
  </si>
  <si>
    <t>PISO DE PLÁSTICO</t>
  </si>
  <si>
    <t>PISO LAMINADO CON BASE DE MADERA</t>
  </si>
  <si>
    <t>PISO LAMINADO CON BASE DE PLÁSTICO</t>
  </si>
  <si>
    <t>Pintura:</t>
  </si>
  <si>
    <t>Llantas:</t>
  </si>
  <si>
    <t>Rines:</t>
  </si>
  <si>
    <t>Loderas:</t>
  </si>
  <si>
    <t>Banderolas:</t>
  </si>
  <si>
    <t>Un Juego</t>
  </si>
  <si>
    <t>Dos Juegos</t>
  </si>
  <si>
    <t>PRECIO (IVA INCLUIDO)</t>
  </si>
  <si>
    <t>Esmalte color a elección del cliente, sobre primario. Protección anticorrosiva en toda la estructura.</t>
  </si>
  <si>
    <t>Nota</t>
  </si>
  <si>
    <t>Precio sujeto a cambio sin previo aviso</t>
  </si>
  <si>
    <t>Riel para Winch´s:</t>
  </si>
  <si>
    <t>Si</t>
  </si>
  <si>
    <t>No</t>
  </si>
  <si>
    <t>CONCHA A 1 M</t>
  </si>
  <si>
    <t>DARIO GONZALEZ MARTINEZ</t>
  </si>
  <si>
    <t>GOMD880308TWA</t>
  </si>
  <si>
    <t>CONOCIDO LA BOVEDA</t>
  </si>
  <si>
    <t>ACAXOCHITLAN HIDALGO MEX</t>
  </si>
  <si>
    <t>Elegir el tipo de plataforma</t>
  </si>
  <si>
    <t xml:space="preserve">      Ahuazotepec, Puebla</t>
  </si>
  <si>
    <t>Elegir el nombre de cliente</t>
  </si>
  <si>
    <t>Elegir si lleva Riel</t>
  </si>
  <si>
    <t>Sistema retractil</t>
  </si>
  <si>
    <t>Elegir la marca de suspensión</t>
  </si>
  <si>
    <t>Elegir la marca de patin</t>
  </si>
  <si>
    <t>Elegir porta llantas y caja para lonas</t>
  </si>
  <si>
    <t>Elegir el tipo de piso</t>
  </si>
  <si>
    <t xml:space="preserve">Elegir cantidad de rines y marca </t>
  </si>
  <si>
    <t xml:space="preserve">Elegir cantidad de llantas y marca </t>
  </si>
  <si>
    <t>Elegir el tipo de Dolly</t>
  </si>
  <si>
    <t>Sistema de enganche lanza integrada al bastidor. Bastidores principales en forma de viga H fabricados en acero de alta resistencia, espesor de alma de 1/4”, Puentes a lo largo de todo el bastidor en calibre ¼” reforzado en área de suspensión.</t>
  </si>
  <si>
    <t>Tambores:</t>
  </si>
  <si>
    <r>
      <t xml:space="preserve">Banco HSBC a nombre de </t>
    </r>
    <r>
      <rPr>
        <b/>
        <sz val="10"/>
        <color theme="1"/>
        <rFont val="Calibri"/>
        <family val="2"/>
        <scheme val="minor"/>
      </rPr>
      <t xml:space="preserve">ARMADORA LEOLCA.  </t>
    </r>
  </si>
  <si>
    <r>
      <t xml:space="preserve">Banco: </t>
    </r>
    <r>
      <rPr>
        <b/>
        <sz val="10"/>
        <color theme="1"/>
        <rFont val="Calibri"/>
        <family val="2"/>
        <scheme val="minor"/>
      </rPr>
      <t>HSBC</t>
    </r>
    <r>
      <rPr>
        <sz val="10"/>
        <color theme="1"/>
        <rFont val="Calibri"/>
        <family val="2"/>
        <scheme val="minor"/>
      </rPr>
      <t xml:space="preserve">. Cuenta: </t>
    </r>
    <r>
      <rPr>
        <b/>
        <sz val="10"/>
        <color theme="1"/>
        <rFont val="Calibri"/>
        <family val="2"/>
        <scheme val="minor"/>
      </rPr>
      <t>4061746210</t>
    </r>
    <r>
      <rPr>
        <sz val="10"/>
        <color theme="1"/>
        <rFont val="Calibri"/>
        <family val="2"/>
        <scheme val="minor"/>
      </rPr>
      <t xml:space="preserve">.  Clave interbancaria: </t>
    </r>
    <r>
      <rPr>
        <b/>
        <sz val="10"/>
        <color theme="1"/>
        <rFont val="Calibri"/>
        <family val="2"/>
        <scheme val="minor"/>
      </rPr>
      <t>021659040617462104</t>
    </r>
  </si>
  <si>
    <t>ALBERTO EZPINOZA IRAPUATO</t>
  </si>
  <si>
    <t>462 590 8532</t>
  </si>
  <si>
    <t xml:space="preserve">SEMIREMOLQUE TIPO: PLATAFORMA 42 FT 3 EJES, CON SUSPENSIÓN FLEET MASTER, EJES FLEET MASTER, 2 PAR PATÍN HOLLAND, PISO DE PLÁSTICO CON RIEL, 10 MATRACA CORREDIZA, SIN GANCHO, SIN FRENTE, SIN REDILAS, 1 SISTEMA RETRÁCTIL,  SIN RINES,  SIN LLANTAS, 1 CAJA DE HRRTAS CHICA, 1 PORTALLANTAS, 0  ,  </t>
  </si>
  <si>
    <t>FOL-03-10-23-00</t>
  </si>
  <si>
    <t xml:space="preserve">SEMIREMOLQUE TIPO: PLATAFORMA 42 FT 3 EJES, CON SUSPENSIÓN FLEET MASTER, EJES FLEET MASTER, 2 PAR PATÍN HOLLAND, PISO DE PLÁSTICO CON RIEL, 10 MATRACA CORREDIZA, SIN GANCHO, SIN FRENTE, SIN REDILAS, 1 SISTEMA RETRÁCTIL,  SIN RINES,  SIN LLANTAS, 1 CAJA DE HRRTAS CHICA, 0  , 0  ,  </t>
  </si>
  <si>
    <t>TEL:</t>
  </si>
  <si>
    <t>FOL-09-10-23-00</t>
  </si>
  <si>
    <t xml:space="preserve">SEMIREMOLQUE TIPO: PLATAFORMA 40 FT 2 EJES, CON SUSPENSIÓN HENDRICKSON, EJES FLEET MASTER, 2 PAR PATÍN HOLLAND, PISO DE PLÁSTICO CON RIEL, 10 MATRACA CORREDIZA, GANCHO PREMIER, CONCHA A 1.20 M, SIN REDILAS, 1 SISTEMA RETRÁCTIL,  SIN RINES,  SIN LLANTAS,   , 0  , 0  ,  </t>
  </si>
  <si>
    <t xml:space="preserve">SEMIREMOLQUE TIPO: PLATAFORMA 40 FT 2 EJES, CON SUSPENSIÓN HENDRICKSON, EJES FLEET MASTER, 2 PAR PATÍN HOLLAND, PISO DE PLÁSTICO CON RIEL, 10 MATRACA CORREDIZA, GANCHO PREMIER, CONCHA A 1.20 M, SIN REDILAS, 1 SISTEMA RETRÁCTIL, 4 RINES DE ACERO, 8 LLANTAS FIRESTONE, 10 PLAFANNES DE CARRITO, 0  , 0  ,  </t>
  </si>
  <si>
    <t>REYMUNDO PEREZ</t>
  </si>
  <si>
    <t>FOL-10-10-23-00</t>
  </si>
  <si>
    <t xml:space="preserve">SEMIREMOLQUE TIPO: PLATAFORMA 40 FT 3 EJES, CON SUSPENSIÓN HENDRICKSON, EJES FLEET MASTER, 2 PAR PATÍN HOLLAND, PISO DE PLÁSTICO CON RIEL, 10 MATRACA CORREDIZA, GANCHO PREMIER, CONCHA A 1.20 M, SIN REDILAS, 2 SISTEMA RETRÁCTIL, 12 RINES DE ACERO, 0 0, 12 LLANTAS CHINAS, ,   ,   ,   ,  </t>
  </si>
  <si>
    <t>FOL-10-10-23-01</t>
  </si>
  <si>
    <t xml:space="preserve">SEMIREMOLQUE TIPO: PLATAFORMA 40 FT 3 EJES, CON SUSPENSIÓN FLEET MASTER, EJES FLEET MASTER, 2 PAR PATÍN HOLLAND, PISO DE PLÁSTICO CON RIEL, 10 MATRACA CORREDIZA, GANCHO PREMIER, CONCHA A 1.20 M, SIN REDILAS, 2 SISTEMA RETRÁCTIL, 12 RINES DE ACERO, 0 0, 12 LLANTAS CHINAS, ,   ,   ,   ,  </t>
  </si>
  <si>
    <t>FOL-10-10-23-02</t>
  </si>
  <si>
    <t xml:space="preserve">SEMIREMOLQUE TIPO: PLATAFORMA 40 FT 2 EJES, CON SUSPENSIÓN HENDRICKSON, EJES FLEET MASTER, 2 PAR PATÍN HOLLAND, PISO DE MADERA DE PINO CON RIEL, 10 MATRACA CORREDIZA, GANCHO PREMIER, SIN FRENTE, SIN REDILAS, 1 SISTEMA RETRÁCTIL, 8 RINES DE ALUMINIO, 0 0, 8 LLANTAS FIRESTONE, , 1 CAJA DE HRRTAS CHICA, 1 POLINERA ,   ,  </t>
  </si>
  <si>
    <t>FOLIO    COM PAGO</t>
  </si>
  <si>
    <t>JOSE MALDONADO</t>
  </si>
  <si>
    <t>FOL-14-10-23-01</t>
  </si>
  <si>
    <t xml:space="preserve">SEMIREMOLQUE TIPO: PLATAFORMA 42 FT 3 EJES, CON SUSPENSIÓN HENDRICKSON, EJES AMPRO, 1 PAR PATÍN HOLLAND, PISO LAMINADO CON RIEL, 10 MATRACA CORREDIZA, SIN GANCHO, CONCHA A 1.20 M, SIN REDILAS, 2 SISTEMA RETRÁCTIL, 12 RINES DE ACERO, 0 0, 12 LLANTAS CHINAS, , 1  , 1  ,   ,  </t>
  </si>
  <si>
    <t>FOL-14-10-23-02</t>
  </si>
  <si>
    <t xml:space="preserve">SEMIREMOLQUE TIPO: PLATAFORMA 40 FT 2 EJES, CON SUSPENSIÓN HENDRICKSON, EJES AMPRO, 1 PAR PATÍN HOLLAND, PISO DE MADERA DE PINO CON RIEL, 10 MATRACA CORREDIZA, GANCHO HOLLAND, CONCHA A 1.20 M, SIN REDILAS, 1 SISTEMA RETRÁCTIL, 8 RINES DE ACERO, 0 0, 8 LLANTAS CHINAS, ,   ,   ,   ,  </t>
  </si>
  <si>
    <t>BRYAN HERNANDEZ</t>
  </si>
  <si>
    <t>FOL-16-10-23-00</t>
  </si>
  <si>
    <t xml:space="preserve">SEMIREMOLQUE TIPO: PLATAFORMA 40 FT 2 EJES, CON SUSPENSIÓN HENDRICKSON, EJES FLEET MASTER, 2 PAR PATÍN HJ, PISO DE MADERA DE PINO SIN RIEL,  SIN MATRACAS, GANCHO HOLLAND, CONCHA A 1.20 M, SIN REDILAS, 1 SISTEMA RETRÁCTIL, 8 RINES DE ACERO, 0 0, 8 LLANTAS CEREX, ,   ,   ,   ,  </t>
  </si>
  <si>
    <t>SOLERA DE 1/2 POR 6"</t>
  </si>
  <si>
    <t>SOLERA DE 3/16* 1 1/2</t>
  </si>
  <si>
    <t>ANGULO DE 3/16* 1 1/2</t>
  </si>
  <si>
    <t>MUTI MODAL</t>
  </si>
  <si>
    <t>CANDADOS</t>
  </si>
  <si>
    <t>FOL-17-10-23-00</t>
  </si>
  <si>
    <t>TANQUE</t>
  </si>
  <si>
    <t>BASE TANQUE</t>
  </si>
  <si>
    <t>KIT TORNILLOS LODERA</t>
  </si>
  <si>
    <t>PLACA DE LODERA</t>
  </si>
  <si>
    <t>EFRAIN SANCHEZ</t>
  </si>
  <si>
    <t xml:space="preserve">SEMIREMOLQUE TIPO: PLATAFORMA 40 FT 2 EJES, CON SUSPENSIÓN HENDRICKSON, EJES FLEET MASTER, 2 PAR PATÍN HOLLAND, PISO DE MADERA DE PINO CON RIEL, 10 SIN MATRACAS, GANCHO HOLLAND, CONCHA A 1.20 M, SIN REDILAS, 1 SISTEMA RETRÁCTIL, 8 RINES DE ACERO, 0 0, 8 LLANTAS CHINAS, , 1 MUTI MODAL, 12 CANDADOS,   ,  </t>
  </si>
  <si>
    <t>Jose Carlos Ruiz</t>
  </si>
  <si>
    <t>NO</t>
  </si>
  <si>
    <t>NALLELY DE LOS ANGELES VEGA ROLDAN</t>
  </si>
  <si>
    <t>RICARDO MARTINEZ</t>
  </si>
  <si>
    <t>0</t>
  </si>
  <si>
    <t>FOL-19-10-23-1</t>
  </si>
  <si>
    <t xml:space="preserve">SEMIREMOLQUE TIPO: PLATAFORMA 40 FT 2 EJES, CON SUSPENSIÓN FLEET MASTER, EJES FLEET MASTER, 2 PAR PATÍN HJ, PISO DE PLÁSTICO SIN RIEL, 0 SIN MATRACAS, GANCHO HOLLAND, SIN FRENTE, SIN REDILAS,   SIN SISTEMA RETRÁCTIL,  SIN RINES, 0 0, 0 SIN LLANTAS, ,   ,   ,   ,  </t>
  </si>
  <si>
    <t>MARCIAL CASTRO</t>
  </si>
  <si>
    <t>DOLLY 19-10-23-00</t>
  </si>
  <si>
    <t>PRESUPUESTO DE DOLLY CON 2 EJES FLEET MASTER,  SUSPENSIÓN HENDRICKSON, 1 SISTEMA RETRÁCTIL,  SIN RINES,  SIN LLANTAS</t>
  </si>
  <si>
    <t>(Varios elementos)</t>
  </si>
  <si>
    <t>PD-21-10-23-0</t>
  </si>
  <si>
    <t>PRESUPUESTO DE DOLLY CON 2 EJES FLEET MASTER,  SUSPENSIÓN HENDRICKSON,  SIN SISTEMA RETRÁCTIL, 8 RINES DE ALUMINIO, 8 LLANTAS FIRESTONE</t>
  </si>
  <si>
    <t xml:space="preserve">Estimado cliente: </t>
  </si>
  <si>
    <t xml:space="preserve">Contacto: </t>
  </si>
  <si>
    <t>INFORMACIÓN DE LOS EQUIPOS:</t>
  </si>
  <si>
    <t>Cantidad</t>
  </si>
  <si>
    <t xml:space="preserve">Concepto </t>
  </si>
  <si>
    <t xml:space="preserve">Precio unitario </t>
  </si>
  <si>
    <t>Subtotal</t>
  </si>
  <si>
    <t xml:space="preserve">Suspensión Hemdrickson. </t>
  </si>
  <si>
    <t xml:space="preserve">Semi-Remolque tipo Dolly.  </t>
  </si>
  <si>
    <t>Ejes: 2.</t>
  </si>
  <si>
    <t>Modelo 2024.</t>
  </si>
  <si>
    <t>Semi-Remolque tipo plataforma.</t>
  </si>
  <si>
    <t>Largo: 40 Ft.</t>
  </si>
  <si>
    <t>Riel con 10 winches.</t>
  </si>
  <si>
    <t>Gancho holland</t>
  </si>
  <si>
    <t>I.V.A.</t>
  </si>
  <si>
    <t>55 3652 6280.</t>
  </si>
  <si>
    <t>Patines:</t>
  </si>
  <si>
    <t>JAIME EMILIO MUÑOZ RAMOS</t>
  </si>
  <si>
    <t>ARMANDO PONCE PLATA</t>
  </si>
  <si>
    <t>FOL-28-10-23-0</t>
  </si>
  <si>
    <t xml:space="preserve">SEMIREMOLQUE TIPO: PLATAFORMA 42 FT 3 EJES, CON SUSPENSIÓN HENDRICKSON, EJES AMPRO, 2 PAR PATIN AMPRO, PISO DE PLÁSTICO CON RIEL, 10 MATRACA CORREDIZA, SIN GANCHO, CONCHA A 1.20 M, SIN REDILAS, 1 SISTEMA RETRÁCTIL, 12 RINES DE ACERO, 0 0, 12 LLANTAS CHINAS, ,   ,   ,   ,  </t>
  </si>
  <si>
    <t>FOL-30-10-23-0</t>
  </si>
  <si>
    <t xml:space="preserve">SEMIREMOLQUE TIPO: PLATAFORMA 40 FT 2 EJES, CON SUSPENSIÓN HENDRICKSON, EJES AMPRO, 2 PAR PATÍN HJ, PISO DE PLÁSTICO CON RIEL, 10 MATRACA CORREDIZA, GANCHO HOLLAND, CONCHA A 1.20 M, SIN REDILAS, 1 SISTEMA RETRÁCTIL, 4 RINES DE ACERO, 4 RINES DE ALUMINIO, 8 LLANTAS FIRESTONE, ,   ,   ,   ,  </t>
  </si>
  <si>
    <t>Columna2</t>
  </si>
  <si>
    <t>Columna3</t>
  </si>
  <si>
    <t>FOL-30-10-23-1</t>
  </si>
  <si>
    <t>FOL-30-10-23-2</t>
  </si>
  <si>
    <t xml:space="preserve">SEMIREMOLQUE TIPO: PLATAFORMA 40 FT 2 EJES, CON SUSPENSIÓN HENDRICKSON, EJES AMPRO, 2 PAR PATÍN HJ, PISO DE PLÁSTICO CON RIEL, 10 MATRACA CORREDIZA, GANCHO HOLLAND, CONCHA A 1.20 M, SIN REDILAS, 1 SISTEMA RETRÁCTIL, 8 RINES DE ACERO, 0 SIN RINES, 8 LLANTAS CHINAS, ,   ,   ,   ,  </t>
  </si>
  <si>
    <t>KG X MAT</t>
  </si>
  <si>
    <t>TUBO DE 2 CED 40</t>
  </si>
  <si>
    <t>REDONDO PORTALLANTAS Y JALON 1"</t>
  </si>
  <si>
    <t>PD-31-10-23-1</t>
  </si>
  <si>
    <t>PRESUPUESTO DE DOLLY CON 2 EJES FLEET MASTER,  SUSPENSIÓN HENDRICKSON,  SIN SISTEMA RETRÁCTIL, 8 RINES DE ACERO, 8 LLANTAS CHINAS</t>
  </si>
  <si>
    <t>EDUARDO GARRIDO</t>
  </si>
  <si>
    <t>797 112 5749</t>
  </si>
  <si>
    <t>FOL-03-11-23-0</t>
  </si>
  <si>
    <t xml:space="preserve">SEMIREMOLQUE TIPO: PLATAFORMA 40 FT 2 EJES, CON SUSPENSIÓN ALTA HENDRICKSON, EJES AMPRO, 2 PAR PATÍN HOLLAND, PISO LAMINADO CON RIEL, 10 MATRACA CORREDIZA, GANCHO HOLLAND, CONCHA A 1.20 M, SIN REDILAS, 1 SISTEMA RETRÁCTIL, 8 RINES DE ALUMINIO, 0 SIN RINES, 8 LLANTAS FIRESTONE, ,   ,   ,   ,  </t>
  </si>
  <si>
    <t>1.80 CM</t>
  </si>
  <si>
    <t>ALMA DE LODERA EN PLACA 1/4  15cm *2.60mts</t>
  </si>
  <si>
    <t>PTR DE 3 x 3 CAL  9 P/LANZA</t>
  </si>
  <si>
    <t>PLACA REF PARA PLATO 10 X 20</t>
  </si>
  <si>
    <t>PLACA REF PARA PERCHA 30 X 15</t>
  </si>
  <si>
    <t>PLACA REF PARA DOLLY P/TRASERA 10X96</t>
  </si>
  <si>
    <t>BASE P/PLAFON DE DOLLY</t>
  </si>
  <si>
    <t>KG X U</t>
  </si>
  <si>
    <t>kg 1 kit</t>
  </si>
  <si>
    <t>4 PUENTES TIPO G</t>
  </si>
  <si>
    <t>4 PUENTES TIPO U</t>
  </si>
  <si>
    <t>1 PUENTE TIPO Z</t>
  </si>
  <si>
    <t>2 TAPAS PARA QUINTA</t>
  </si>
  <si>
    <t>2 TAPAS PARA LANZA</t>
  </si>
  <si>
    <t>2 BASE TIPO Z</t>
  </si>
  <si>
    <t>2 SOLERAS 3/8 O CHASIS</t>
  </si>
  <si>
    <t>kg de 1 kit</t>
  </si>
  <si>
    <t>precio del kit</t>
  </si>
  <si>
    <t>PD-07-11-23-0</t>
  </si>
  <si>
    <t>PRESUPUESTO DE DOLLY CON 2 EJES FLEET MASTER,  SUSPENSIÓN HENDRICKSON,  SIN SISTEMA RETRÁCTIL, 8 RINES DE ACERO, 8 LLANTAS FIRESTONE</t>
  </si>
  <si>
    <t>FOL-07-11-23-0</t>
  </si>
  <si>
    <t xml:space="preserve">SEMIREMOLQUE TIPO: PLATAFORMA 40 FT 2 EJES, CON SUSPENSIÓN ALTA HENDRICKSON, EJES AMPRO, 2 PAR PATÍN HOLLAND, PISO LAMINADO CON RIEL, 10 MATRACA CORREDIZA, GANCHO HOLLAND, CONCHA A 1.20 M, SIN REDILAS, 1 SISTEMA RETRÁCTIL, 8 RINES DE ACERO, 0 SIN RINES, 8 LLANTAS FIRESTONE, ,   ,   ,   ,  </t>
  </si>
  <si>
    <t>PRESUPUESTO DE DOLLY CON 2 EJES AMPRO,  SUSPENSIÓN HENDRICKSON, 1 SISTEMA RETRÁCTIL,  SIN RINES,  SIN LLANTAS</t>
  </si>
  <si>
    <t>PD-07-11-23-1</t>
  </si>
  <si>
    <t>RAFAEL ROJAS</t>
  </si>
  <si>
    <t>PD-07-11-23-2</t>
  </si>
  <si>
    <t>PRESUPUESTO DE DOLLY CON 2 EJES AMPRO,  SUSPENSIÓN HENDRICKSON,  SIN SISTEMA RETRÁCTIL, 8 RINES DE ALUMINIO, 8 LLANTAS FIRESTONE</t>
  </si>
  <si>
    <t>FOL-07-11-23-1</t>
  </si>
  <si>
    <t xml:space="preserve">SEMIREMOLQUE TIPO: PLATAFORMA 40 FT 2 EJES, CON SUSPENSIÓN ALTA HENDRICKSON, EJES AMPRO, 2 PAR PATÍN HOLLAND, PISO LAMINADO CON BASE DE PLÁSTICO CON RIEL, 10 MATRACA CORREDIZA, GANCHO HOLLAND, CONCHA A 1.20 M, SIN REDILAS, 1 SISTEMA RETRÁCTIL, 8 RINES DE ALUMINIO, 0 SIN RINES, 8 LLANTAS FIRESTONE, , 20 PLAFANNES DE CARRITO,   ,   ,  </t>
  </si>
  <si>
    <t>FOL-08-11-23-1</t>
  </si>
  <si>
    <t xml:space="preserve">SEMIREMOLQUE TIPO: PLATAFORMA 40 FT 2 EJES, CON SUSPENSIÓN ALTA HENDRICKSON, EJES AMPRO, 2 PAR PATÍN HOLLAND, PISO LAMINADO CON RIEL, 10 MATRACA CORREDIZA, GANCHO HOLLAND, BURRO A 1.20 M, SIN REDILAS, 1 SISTEMA RETRÁCTIL, 8 RINES DE ACERO, 0 SIN RINES, 8 LLANTAS CHINAS, ,   ,   ,   ,  </t>
  </si>
  <si>
    <t>PD-08-11-23-0</t>
  </si>
  <si>
    <t>PRESUPUESTO DE DOLLY CON 2 EJES AMPRO,  SUSPENSIÓN ALTA HENDRICKSON,  SIN SISTEMA RETRÁCTIL, 8 RINES DE ACERO, 8 LLANTAS CHINAS</t>
  </si>
  <si>
    <t>MA. DE LOURDES GARRIDO GALINDO</t>
  </si>
  <si>
    <t>5624 3861 88</t>
  </si>
  <si>
    <t>ELEGIR MARCA DE EJES</t>
  </si>
  <si>
    <t>CANAL P/ BASE PATIN 1.25 cm</t>
  </si>
  <si>
    <t>CANAL P/ BASE PATIN 66 cm</t>
  </si>
  <si>
    <t>CANAL P/ BASE PATIN 70 cm</t>
  </si>
  <si>
    <t>CANAL P/ BASE PATIN 23 cm</t>
  </si>
  <si>
    <t>BURRO A 1 M</t>
  </si>
  <si>
    <t>CANAL PARA PERCHA 1.10 m</t>
  </si>
  <si>
    <t>PLACA REF PARA PLATO 7.6 X 20</t>
  </si>
  <si>
    <t>BASE L P/PATIN</t>
  </si>
  <si>
    <t>FOL-15-11-23-0</t>
  </si>
  <si>
    <t xml:space="preserve">SEMIREMOLQUE TIPO: PLATAFORMA 40 FT 2 EJES, CON SUSPENSIÓN FLEET MASTER, EJES FLEET MASTER, 2 PAR PATÍN HJ, PISO DE PLÁSTICO CON RIEL, 10 MATRACA CORREDIZA, GANCHO PREMIER, CONCHA A 1.20 M, SIN REDILAS, 1 SISTEMA RETRÁCTIL,  SIN RINES, 0 SIN RINES, 0 SIN LLANTAS, ,   ,   ,   ,  </t>
  </si>
  <si>
    <t>PD-15-11-23-0</t>
  </si>
  <si>
    <t>PRESUPUESTO DE DOLLY CON 2 EJES FLEET MASTER,  SUSPENSIÓN FLEET MASTER,  SIN SISTEMA RETRÁCTIL,  SIN RINES,  LLANTAS VALIANT</t>
  </si>
  <si>
    <t>FOL-21-11-23-0</t>
  </si>
  <si>
    <t xml:space="preserve">SEMIREMOLQUE TIPO: PLATAFORMA 45 FT 3 EJES, CON SUSPENSIÓN FLEET MASTER, EJES FLEET MASTER, 2 PAR PATÍN HJ, SIN PISO CON RIEL, 10 MATRACA CORREDIZA, SIN GANCHO, CONCHA A 1.20 M, SIN REDILAS, 2 SISTEMA RETRÁCTIL,  SIN RINES, 0 SIN RINES, 0 SIN LLANTAS, , 1 REFUERZOS,   ,   ,  </t>
  </si>
  <si>
    <t>DOBLE SOLERA PARTE TRASERA (COLITA)</t>
  </si>
  <si>
    <t>55 3648 9630</t>
  </si>
  <si>
    <t>BERNARDO VERGARA</t>
  </si>
  <si>
    <t>FOL-21-11-23-1</t>
  </si>
  <si>
    <t xml:space="preserve">SEMIREMOLQUE TIPO: PLATAFORMA 40 FT 2 EJES, CON SUSPENSIÓN HENDRICKSON, EJES AMPRO, 2 PAR DE PATIN AMPRO, PISO LAMINADO CON BASE DE MADERA, SIN RIEL, 10 MATRACA SOLDABLE, GANCHO HOLLAND, CONCHA A 1.20 M, SIN REDILAS, 1 SISTEMA RETRÁCTIL, 8 RINES DE ACERO,    SIN LLANTAS,  0  ,   </t>
  </si>
  <si>
    <t>FOL-21-11-23-2</t>
  </si>
  <si>
    <t xml:space="preserve">SEMIREMOLQUE TIPO: PLATAFORMA 40 FT 2 EJES, CON SUSPENSIÓN HENDRICKSON, EJES FLEET MASTER, 2 PAR DE PATIN AMPRO, PISO LAMINADO CON BASE DE MADERA, SIN RIEL, 10 MATRACA SOLDABLE, GANCHO HOLLAND, CONCHA A 1.20 M, SIN REDILAS, 1 SISTEMA RETRÁCTIL, 8 RINES DE ACERO,    SIN LLANTAS,  0  ,   </t>
  </si>
  <si>
    <t>ANGULO 2 X 2 X 3/16</t>
  </si>
  <si>
    <t>CANAL U DE 6" *12M</t>
  </si>
  <si>
    <t>TUBO MEC 3/4 CED 40</t>
  </si>
  <si>
    <t>REDONDO DE 5/8 X 6MTS P/REDILAS</t>
  </si>
  <si>
    <t>MTS O PZAS</t>
  </si>
  <si>
    <t>3MTS</t>
  </si>
  <si>
    <t>BUCHACAS P/ BURRO</t>
  </si>
  <si>
    <t>ESTACA P/BURRO</t>
  </si>
  <si>
    <t>GAVINO MALDONADO</t>
  </si>
  <si>
    <t>776 110 4595</t>
  </si>
  <si>
    <t xml:space="preserve">SEMIREMOLQUE TIPO: PLATAFORMA 40 FT 2 EJES, CON SUSPENSIÓN HENDRICKSON, EJES AMPRO, 2 PAR DE PATÍN HJ, PISO LAMINADO, CON RIEL, 10 MATRACA CORREDIZA, GANCHO PREMIER, CONCHA A 1.20 M, SIN REDILAS, 1 SISTEMA RETRÁCTIL, 4 RINES DE ACERO, 4 RINES DE ALUMINIO, 8 LLANTAS FIRESTONE,  0  ,   </t>
  </si>
  <si>
    <t>FOL-24-11-23-0</t>
  </si>
  <si>
    <t>SOLERA PLACA 1/8 X 2 X 6MTS</t>
  </si>
  <si>
    <t>FERNANDO AGUILAR</t>
  </si>
  <si>
    <t>FOL-25-11-23-0</t>
  </si>
  <si>
    <t xml:space="preserve">SEMIREMOLQUE TIPO: PLATAFORMA 40 FT 2 EJES, CON SUSPENSIÓN HENDRICKSON, EJES FLEET MASTER, 2 PAR DE PATÍN HOLLAND, PISO DE PLÁSTICO, CON RIEL, 10 MATRACA CORREDIZA, GANCHO HOLLAND, CONCHA A 1.20 M, SIN REDILAS, 1 SISTEMA RETRÁCTIL, 8 RINES DE ACERO,   8 LLANTAS CHINAS,  0  ,   </t>
  </si>
  <si>
    <t>FOL-25-11-23-1</t>
  </si>
  <si>
    <t xml:space="preserve">SEMIREMOLQUE TIPO: PLATAFORMA 40 FT 2 EJES, CON SUSPENSIÓN HENDRICKSON, EJES FLEET MASTER, 2 PAR DE PATÍN HOLLAND, PISO DE PLÁSTICO, CON RIEL, 10 MATRACA CORREDIZA, GANCHO HOLLAND, CONCHA A 1.20 M, SIN REDILAS, 1 SISTEMA RETRÁCTIL, 8 RINES DE ALUMINIO,   8 LLANTAS CHINAS,  0  ,   </t>
  </si>
  <si>
    <t>PD-25-11-23-0</t>
  </si>
  <si>
    <t>PD-25-11-23-1</t>
  </si>
  <si>
    <t>8</t>
  </si>
  <si>
    <t>PRESUPUESTO DE DOLLY CON 2 EJES FLEET MASTER,  SUSPENSIÓN HENDRICKSON,  SIN SISTEMA RETRÁCTIL, 8 RINES DE ALUMINIO, 8 LLANTAS CHINAS</t>
  </si>
  <si>
    <t>MIGUEL DAVILA</t>
  </si>
  <si>
    <t>FOL-28-11-23-1</t>
  </si>
  <si>
    <t>JESUS BONILLA</t>
  </si>
  <si>
    <t>FOL-28-11-23-2</t>
  </si>
  <si>
    <t xml:space="preserve">SEMIREMOLQUE TIPO: PLATAFORMA 42 FT 2 EJES, CON SUSPENSIÓN ALTA HENDRICKSON, EJES FLEET MASTER, 2 PAR DE PATÍN HOLLAND, PISO DE PLÁSTICO, SIN RIEL,  SIN MATRACAS, GANCHO HOLLAND, SIN FRENTE, SIN REDILAS, 1 SISTEMA RETRÁCTIL, 8 RINES DE ACERO,    SIN LLANTAS,  0  ,   </t>
  </si>
  <si>
    <t>FOL-28-11-23-4</t>
  </si>
  <si>
    <t xml:space="preserve">SEMIREMOLQUE TIPO: PLATAFORMA 42 FT 3 EJES, CON SUSPENSIÓN ALTA HENDRICKSON, EJES FLEET MASTER, 2 PAR DE PATÍN HOLLAND, PISO DE PLÁSTICO, SIN RIEL,  SIN MATRACAS, GANCHO HOLLAND, SIN FRENTE, SIN REDILAS, 1 SISTEMA RETRÁCTIL, 12 RINES DE ACERO,    SIN LLANTAS,  0  ,   </t>
  </si>
  <si>
    <t xml:space="preserve">SEMIREMOLQUE TIPO: PLATAFORMA 40 FT 2 EJES, CON SUSPENSIÓN FLEET MASTER, EJES FLEET MASTER, 2 PAR DE PATÍN HJ, PISO DE PLÁSTICO, CON RIEL, 10 MATRACA CORREDIZA, GANCHO HOLLAND, CONCHA A 1.20 M, SIN REDILAS,   SIN SISTEMA RETRÁCTIL, 8 RINES DE ACERO,     ,  0  ,   </t>
  </si>
  <si>
    <t xml:space="preserve">SEMIREMOLQUE TIPO: PLATAFORMA 42 FT 3 EJES, CON SUSPENSIÓN ALTA HENDRICKSON, EJES FLEET MASTER, 2 PAR DE PATÍN HOLLAND, PISO DE PLÁSTICO, SIN RIEL,  SIN MATRACAS, GANCHO HOLLAND, SIN FRENTE, SIN REDILAS, 2 SISTEMA RETRÁCTIL, 12 RINES DE ACERO,     ,  0  ,   </t>
  </si>
  <si>
    <t>FOL-28-11-23-5</t>
  </si>
  <si>
    <t>FOL-28-11-23-6</t>
  </si>
  <si>
    <t xml:space="preserve">SEMIREMOLQUE TIPO: PLATAFORMA 40 FT 2 EJES, CON SUSPENSIÓN HENDRICKSON, EJES AMPRO, 2 PAR DE PATÍN HOLLAND, PISO LAMINADO CON BASE DE PLÁSTICO, CON RIEL, 10 MATRACA CORREDIZA, GANCHO HOLLAND, CONCHA A 1.20 M, SIN REDILAS, 1 SISTEMA RETRÁCTIL, 8 RINES DE ALUMINIO,   8 LLANTAS FIRESTONE,  0  ,   </t>
  </si>
  <si>
    <t>DIANA JIMENEZ</t>
  </si>
  <si>
    <t>773 103 0083</t>
  </si>
  <si>
    <t>FOL-29-11-23-0</t>
  </si>
  <si>
    <t>SISTEMA PSI</t>
  </si>
  <si>
    <t xml:space="preserve">SEMIREMOLQUE TIPO: PLATAFORMA 40 FT 3 EJES, CON SUSPENSIÓN HENDRICKSON, EJES AMPRO, 2 PAR DE PATÍN HOLLAND, PISO LAMINADO CON BASE DE MADERA, CON RIEL, 12 MATRACA CORREDIZA, GANCHO HOLLAND, CONCHA A 1.20 M, SIN REDILAS, 1 SISTEMA RETRÁCTIL, 6 RINES DE ALUMINIO, 6 RINES DE ACERO, 12 LLANTAS FIRESTONE,  3 SISTEMA PSI,   </t>
  </si>
  <si>
    <t>GANCHO 880 PREMIER</t>
  </si>
  <si>
    <t>PD-29-11-23-0</t>
  </si>
  <si>
    <t>PRESUPUESTO DE DOLLY CON 2 EJES AMPRO,  SUSPENSIÓN HENDRICKSON, 0 SIN SISTEMA RETRÁCTIL, 4 RINES DE ALUMINIO, 4 RINES DE ACERO, 8 LLANTAS FIRESTONE</t>
  </si>
  <si>
    <t>MANUEL MELENDEZ VENTURA</t>
  </si>
  <si>
    <t>FRANCISCO GONZALEZ</t>
  </si>
  <si>
    <t>YOVANY VALDEZ</t>
  </si>
  <si>
    <t>55 3030 2266</t>
  </si>
  <si>
    <t>CONCHA 1.10 M</t>
  </si>
  <si>
    <t>CANASTILLAS</t>
  </si>
  <si>
    <t>FOL-06-12-23-0</t>
  </si>
  <si>
    <t xml:space="preserve">SEMIREMOLQUE TIPO: PLATAFORMA 40 FT 3 EJES, CON SUSPENSIÓN HENDRICKSON, EJES AMPRO, 2 PAR DE PATÍN HOLLAND, PISO LAMINADO, CON RIEL, 8 MATRACA CORREDIZA, SIN GANCHO, CONCHA 1.10 M, SIN REDILAS, 2 SISTEMA RETRÁCTIL, 12 RINES DE ACERO,  SIN RINES,  SIN LLANTAS,  8 PLAFANNES DE CARRITO, 16 PLAFANNES DE CARRITO,  </t>
  </si>
  <si>
    <t xml:space="preserve">SEMIREMOLQUE TIPO: PLATAFORMA 40 FT 3 EJES, CON SUSPENSIÓN HENDRICKSON, EJES AMPRO, 2 PAR DE PATÍN HOLLAND, PISO DE PLÁSTICO, CON RIEL, 8 MATRACA CORREDIZA, SIN GANCHO, CONCHA 1.10 M, SIN REDILAS, 2 SISTEMA RETRÁCTIL, 12 RINES DE ACERO,  SIN RINES,  SIN LLANTAS,  8 PLAFANNES DE CARRITO, 16 PLAFANNES DE CARRITO,  </t>
  </si>
  <si>
    <t>FOL-06-12-23-1</t>
  </si>
  <si>
    <t xml:space="preserve">Esmalte color a elección del cliente, sobre primario. Protección anticorrosiva en toda la estructura. </t>
  </si>
  <si>
    <t>ABEL HERNANDEZ</t>
  </si>
  <si>
    <t xml:space="preserve">Color: </t>
  </si>
  <si>
    <t>PISO DE PLASTICO NEGRO</t>
  </si>
  <si>
    <t xml:space="preserve">Instalación electrica: </t>
  </si>
  <si>
    <t>Redillas:</t>
  </si>
  <si>
    <t>Gancho:</t>
  </si>
  <si>
    <t>Color:</t>
  </si>
  <si>
    <t>MIGUEL VARGAS</t>
  </si>
  <si>
    <t>442 157 0865</t>
  </si>
  <si>
    <t>PEDRO ESCOBEDO QUERETARON MEX.</t>
  </si>
  <si>
    <t>POLINERA CON PUERTA</t>
  </si>
  <si>
    <t>DANIEL CORTEZ</t>
  </si>
  <si>
    <t>FOL-18-12-23-1</t>
  </si>
  <si>
    <t xml:space="preserve">SEMIREMOLQUE TIPO: PLATAFORMA 40 FT 3 EJES, CON SUSPENSIÓN HENDRICKSON, EJES AMPRO, 2 PAR DE PATÍN HJ, PISO LAMINADO CON BASE DE MADERA, CON RIEL, 12 MATRACA CORREDIZA, GANCHO HOLLAND, CONCHA A 1.20 M, SIN REDILAS, 1 SISTEMA RETRÁCTIL, 12 RINES DE ACERO,  SIN RINES, 12 LLANTAS FIRESTONE,  0  ,   </t>
  </si>
  <si>
    <t>POLINERA  GRANDE</t>
  </si>
  <si>
    <t>FOL-22-12-23-2</t>
  </si>
  <si>
    <t>SEMIREMOLQUE TIPO: PLATAFORMA 40 FT 2 EJES, CON SUSPENSIÓN HENDRICKSON, EJES FLEET MASTER, 2 PAR DE PATÍN HOLLAND, PISO DE PLÁSTICO, CON RIEL, 10 MATRACA CORREDIZA, GANCHO PREMIER, SIN FRENTE, SIN REDILAS, 1 SISTEMA RETRÁCTIL, 4 RINES DE ACERO, 4 RINES DE ALUMINIO, 8 LLANTAS FIRESTONE,  1 POLINERA  GRANDE, 1 BICECLETERA, 12 CANDADOS, MUTI MODAL</t>
  </si>
  <si>
    <t>JAIME GARCIA</t>
  </si>
  <si>
    <t>FOL-23-12-23-0</t>
  </si>
  <si>
    <t xml:space="preserve">SEMIREMOLQUE TIPO: PLATAFORMA 40 FT 2 EJES, CON SUSPENSIÓN HENDRICKSON, EJES FLEET MASTER, 2 PAR DE PATÍN HOLLAND, PISO DE PLÁSTICO, CON RIEL, 12 MATRACA CORREDIZA, GANCHO HOLLAND, SIN FRENTE, SIN REDILAS, 1 SISTEMA RETRÁCTIL, 8 RINES DE ACERO,   8 LLANTAS CHINAS,  1 POLINERA ATRAVESADA,   </t>
  </si>
  <si>
    <t>442 327 3548</t>
  </si>
  <si>
    <t>PD-23-12-23-0</t>
  </si>
  <si>
    <t>PRESUPUESTO DE DOLLY CON 2 EJES FLEET MASTER,  SUSPENSIÓN HENDRICKSON, 1 SISTEMA RETRÁCTIL, 8 RINES DE ACERO,  SIN RINES, 8 LLANTAS CHINAS</t>
  </si>
  <si>
    <t>VICTOR ALFONSO GONZALEZ MAIZ</t>
  </si>
  <si>
    <t>FOL-28-12-23-1</t>
  </si>
  <si>
    <t xml:space="preserve">SEMIREMOLQUE TIPO: PLATAFORMA 40 FT 2 EJES, CON SUSPENSIÓN HENDRICKSON, EJES AMPRO, 2 PAR DE PATÍN HOLLAND, PISO DE PLÁSTICO, CON RIEL, 10 MATRACA CORREDIZA, GANCHO PREMIER, BURRO A 1.20 M, SIN REDILAS, 1 SISTEMA RETRÁCTIL, 4 RINES DE ACERO, 4 RINES DE ALUMINIO,  SIN LLANTAS,  1 POLINERA  GRANDE,   </t>
  </si>
  <si>
    <t>MATERIAL</t>
  </si>
  <si>
    <t>PTR 2 X 2 CAL 12</t>
  </si>
  <si>
    <t>PTR 2 X 3 CAL 9</t>
  </si>
  <si>
    <t>LAMINA 2.55 M X 85 CM CAL 14</t>
  </si>
  <si>
    <t>LAMINA 1.60 M X 85 CM CAL 14</t>
  </si>
  <si>
    <t>DUELA 15 CM X 1.60 CAL 16</t>
  </si>
  <si>
    <t xml:space="preserve">ANGULO 1/8 X 2 </t>
  </si>
  <si>
    <t>TUBO 1" CED 40</t>
  </si>
  <si>
    <t>LAMINA 2.40 M X 1.60 M CAL 14</t>
  </si>
  <si>
    <t>TABLONES DE MADERA 8" X 2.55</t>
  </si>
  <si>
    <t>ALETAS DE 30 CM X 50 CM CAL 9</t>
  </si>
  <si>
    <t>EJES COMPLETOS</t>
  </si>
  <si>
    <t>PIJAS 5/16 X 2</t>
  </si>
  <si>
    <t>LITROS PRAIMER</t>
  </si>
  <si>
    <t>LITROS PINTURA</t>
  </si>
  <si>
    <t>DUELA 15 CM X 2.55 M CAL 16</t>
  </si>
  <si>
    <t>MATERIAL PARA REMOLQUE DE 3.30 MTS LARGO X 1.50 MTS ANCHO Y 1.60MTS ALTO</t>
  </si>
  <si>
    <t>TODAS NUESTRA UNIDADES CUMPLEN CON LAS NORMAS VIGENTES EN MÉXICO</t>
  </si>
  <si>
    <t>INFORMACIÓN DEL EQUIPO.</t>
  </si>
  <si>
    <t>No: Cotización</t>
  </si>
  <si>
    <t>CONCEPTO: SEMI - TRAILA TIPO PLATAFORMA</t>
  </si>
  <si>
    <t>SUB TOTAL</t>
  </si>
  <si>
    <t>IVA</t>
  </si>
  <si>
    <t xml:space="preserve">Los depósitos se realizarán a la siguiente cuenta:     </t>
  </si>
  <si>
    <t xml:space="preserve">Banco HSBC a nombre de ARMADORA LEOLCA. </t>
  </si>
  <si>
    <t>Cuenta: 4061746210.</t>
  </si>
  <si>
    <t xml:space="preserve">Sin otro asunto que tratar </t>
  </si>
  <si>
    <t>PD-29-12-23-0</t>
  </si>
  <si>
    <t>PRESUPUESTO DE DOLLY CON 2 EJES FLEET MASTER,  SUSPENSIÓN HENDRICKSON, 1 SISTEMA RETRÁCTIL, 4 RINES DE ACERO, 4 RINES DE ALUMINIO, 8 LLANTAS FIRESTONE</t>
  </si>
  <si>
    <t>EXPRES DOAVAL</t>
  </si>
  <si>
    <t>VENANCIO DOMINGUEZ</t>
  </si>
  <si>
    <t>776 767 0499</t>
  </si>
  <si>
    <t>11</t>
  </si>
  <si>
    <t>BARRENADO SOBRE CHASIS</t>
  </si>
  <si>
    <t>EMPRESA:</t>
  </si>
  <si>
    <t>FOL-30-12-23-3</t>
  </si>
  <si>
    <t xml:space="preserve">SEMIREMOLQUE TIPO: PLATAFORMA 40 FT 2 EJES, CON SUSPENSIÓN FLEET MASTER, EJES FLEET MASTER, 2 PAR DE PATIN AMPRO, PISO LAMINADO CON BASE DE PLÁSTICO, CON RIEL, 11 MATRACA CORREDIZA, GANCHO HOLLAND, CONCHA A 1.20 M, SIN REDILAS, 1 SISTEMA RETRÁCTIL, 8 RINES DE ACERO,   8 LLANTAS CHINAS,  1 BICECLETERA, 1 BARRENADO SOBRE CHASIS,  </t>
  </si>
  <si>
    <t>JOSE ARMANDO JIMENEZ MALDONADO</t>
  </si>
  <si>
    <t>797 155 2240</t>
  </si>
  <si>
    <t>ROJO CLARO</t>
  </si>
  <si>
    <t>ANARANJADO CON BORDA BLANCO</t>
  </si>
  <si>
    <t>KG</t>
  </si>
  <si>
    <t>BURRO LAMINADO A 1.20 M</t>
  </si>
  <si>
    <t>EVA CORTEZ ORTEGA</t>
  </si>
  <si>
    <t>776 101 1063</t>
  </si>
  <si>
    <t>ROJO BERMELLON</t>
  </si>
  <si>
    <t>FOL-04-01-24-1</t>
  </si>
  <si>
    <t xml:space="preserve">SEMIREMOLQUE TIPO: PLATAFORMA 40 FT 2 EJES, CON SUSPENSIÓN FLEET MASTER, EJES FLEET MASTER, 2 PAR DE PATÍN HJ, PISO DE PLASTICO NEGRO, CON RIEL, 10 MATRACA CORREDIZA, GANCHO HOLLAND, CONCHA A 1.20 M, SIN REDILAS, 1 SISTEMA RETRÁCTIL,  SIN RINES,    SIN LLANTAS,  24 PLAFONES DE CARRITO, 1 BARRENADO SOBRE CHASIS,  </t>
  </si>
  <si>
    <t>776 767 8645</t>
  </si>
  <si>
    <t>facturas_rrc@hotmail.com</t>
  </si>
  <si>
    <t>POTRILLOS</t>
  </si>
  <si>
    <t>LLANTAS AMULET</t>
  </si>
  <si>
    <t>PORTALLANTAS EXTRA</t>
  </si>
  <si>
    <t>FOL-05-01-24-1</t>
  </si>
  <si>
    <t xml:space="preserve">SEMIREMOLQUE TIPO: PLATAFORMA 40 FT 2 EJES, CON SUSPENSIÓN HENDRICKSON, EJES AMPRO, 2 PAR DE PATÍN HOLLAND, PISO DE PLASTICO NEGRO, CON RIEL, 10 MATRACA CORREDIZA, GANCHO PREMIER, BURRO LAMINADO A 1.20 M, SIN REDILAS, 1 SISTEMA RETRÁCTIL, 4 RINES DE ACERO, 4 RINES DE ALUMINIO, 8 LLANTAS CHINAS,  1 POLINERA  GRANDE, 1 PORTALLANTAS EXTRA,  </t>
  </si>
  <si>
    <t>FOL-05-01-24-2</t>
  </si>
  <si>
    <t xml:space="preserve">SEMIREMOLQUE TIPO: PLATAFORMA 40 FT 2 EJES, CON SUSPENSIÓN HENDRICKSON, EJES AMPRO, 2 PAR DE PATÍN HOLLAND, PISO LAMINADO CON BASE DE MADERA, CON RIEL, 10 MATRACA CORREDIZA, GANCHO PREMIER, BURRO LAMINADO A 1.20 M, SIN REDILAS, 1 SISTEMA RETRÁCTIL, 4 RINES DE ACERO, 4 RINES DE ALUMINIO, 8 LLANTAS CHINAS,  1 POLINERA  GRANDE, 1 PORTALLANTAS EXTRA,  </t>
  </si>
  <si>
    <t>PD-05-01-24-0</t>
  </si>
  <si>
    <t>PRESUPUESTO DE DOLLY CON 2 EJES AMPRO,  SUSPENSIÓN HENDRICKSON, 1 SISTEMA RETRÁCTIL, 4 RINES DE ACERO, 4 RINES DE ALUMINIO, 8 LLANTAS CHINAS</t>
  </si>
  <si>
    <t>775 103 4457 CONTACTO CESAR LIRA</t>
  </si>
  <si>
    <t>MOISES HERNANDEZ</t>
  </si>
  <si>
    <t>CHIGNAHUAPAN PUEBLA</t>
  </si>
  <si>
    <t>797 102 1473</t>
  </si>
  <si>
    <t>FOL-08-01-24-0</t>
  </si>
  <si>
    <t xml:space="preserve">SEMIREMOLQUE TIPO: PLATAFORMA 42 FT 2 EJES, CON SUSPENSIÓN HENDRICKSON, EJES FLEET MASTER, 2 PAR DE PATÍN HOLLAND, PISO DE MADERA DE PINO, CON RIEL, 10 MATRACA CORREDIZA, GANCHO HOLLAND, BURRO LAMINADO A 1.20 M, SIN REDILAS, 1 SISTEMA RETRÁCTIL, 8 RINES DE ACERO,   8 LLANTAS CHINAS,  0  ,   </t>
  </si>
  <si>
    <t>FOL-08-01-24-1</t>
  </si>
  <si>
    <t xml:space="preserve">SEMIREMOLQUE TIPO: PLATAFORMA 42 FT 3 EJES, CON SUSPENSIÓN ALTA HENDRICKSON, EJES FLEET MASTER, 2 PAR DE PATÍN HOLLAND, PISO DE MADERA DE PINO, CON RIEL, 10 MATRACA CORREDIZA, GANCHO HOLLAND, BURRO LAMINADO A 1.20 M, SIN REDILAS, 2 SISTEMA RETRÁCTIL, 12 RINES DE ACERO,   12 LLANTAS CHINAS,  0  ,   </t>
  </si>
  <si>
    <t>PD-08-01-24-0</t>
  </si>
  <si>
    <t>PRESUPUESTO DE DOLLY CON 2 EJES FLEET MASTER,  SUSPENSIÓN HENDRICKSON,  SIN SISTEMA RETRÁCTIL, 8 RINES DE ACERO,  SIN RINES, 8 LLANTAS CHINAS</t>
  </si>
  <si>
    <t>MANUEL HERNANDEZ VARGAS</t>
  </si>
  <si>
    <t>776 110 8200</t>
  </si>
  <si>
    <t>FOL-09-01-24-0</t>
  </si>
  <si>
    <t xml:space="preserve">SEMIREMOLQUE TIPO: PLATAFORMA 40 FT 2 EJES, CON SUSPENSIÓN HENDRICKSON, EJES FLEET MASTER, 2 PAR DE PATIN AMPRO, PISO DE MADERA DE PINO, CON RIEL, 10 MATRACA CORREDIZA, GANCHO HOLLAND, CONCHA A 1.20 M, SIN REDILAS, 1 SISTEMA RETRÁCTIL, 8 RINES DE ACERO,    SIN LLANTAS,  0  ,   </t>
  </si>
  <si>
    <t>CONCHA LAMINADA A 1.20 M</t>
  </si>
  <si>
    <t>ARTEMIO RIVAS</t>
  </si>
  <si>
    <t>JOSE ANTONIO LOPEZ AMADOR</t>
  </si>
  <si>
    <t>442 467 1061</t>
  </si>
  <si>
    <t xml:space="preserve">SEMIREMOLQUE TIPO: PLATAFORMA 40 FT 2 EJES, CON SUSPENSIÓN ALTA HENDRICKSON, EJES AMPRO, 1 PAR DE PATÍN HOLLAND, PISO DE PLASTICO NEGRO, CON RIEL, 10 MATRACA CORREDIZA, GANCHO HOLLAND, SIN FRENTE, SIN REDILAS, 1 SISTEMA RETRÁCTIL,  SIN RINES,    SIN LLANTAS,  0  ,   </t>
  </si>
  <si>
    <t>FOL-10-01-24-2</t>
  </si>
  <si>
    <t>MARTIN CASTAÑEDA</t>
  </si>
  <si>
    <t>241 195 0805</t>
  </si>
  <si>
    <t>ING. IVAN VARGAS</t>
  </si>
  <si>
    <t>ZACATLAN PUEBLA</t>
  </si>
  <si>
    <t>222 132 7067</t>
  </si>
  <si>
    <t>PLAFONES DE CARRITO AMBAR LATERALES</t>
  </si>
  <si>
    <t>PLAFONES DE CARRITO ROJOS LATERALES</t>
  </si>
  <si>
    <t>PLAFONES DE CARRITO AMBAR P/ESTRIBO</t>
  </si>
  <si>
    <t>PLAFONES DE CARRITO ROJOS P/ESTRIBO</t>
  </si>
  <si>
    <t>PD-11-01-24-0</t>
  </si>
  <si>
    <t>PRESUPUESTO DE DOLLY CON 2 EJES AMPRO,  SUSPENSIÓN AMPRO,  SIN SISTEMA RETRÁCTIL, 8 RINES DE ACERO,  SIN RINES, 8 LLANTAS CHINAS</t>
  </si>
  <si>
    <t>FRANCISCO ORTEGA BARRERA</t>
  </si>
  <si>
    <t>MORGAN</t>
  </si>
  <si>
    <t>JORGE VILLEGAS</t>
  </si>
  <si>
    <t>951 157 1007</t>
  </si>
  <si>
    <t>JUCHITAN OAXACA MEXICO</t>
  </si>
  <si>
    <t>GRUPO INTEROCEANICO TERRESTRE</t>
  </si>
  <si>
    <t>PD-12-01-24-0</t>
  </si>
  <si>
    <t>PRESUPUESTO DE DOLLY CON 2 EJES AMPRO,  SUSPENSIÓN FLEET MASTER,  SIN SISTEMA RETRÁCTIL, 8 RINES DE ACERO,  SIN RINES,  SIN LLANTAS</t>
  </si>
  <si>
    <t>ALFREDO SANCHEZ</t>
  </si>
  <si>
    <t>TULANCINGO HGO.</t>
  </si>
  <si>
    <t>771 266 7692</t>
  </si>
  <si>
    <t>ROJO COCA COLA</t>
  </si>
  <si>
    <t>FOL-15-01-24-3</t>
  </si>
  <si>
    <t xml:space="preserve">SEMIREMOLQUE TIPO: PLATAFORMA 40 FT 2 EJES, CON SUSPENSIÓN FLEET MASTER, EJES FLEET MASTER, 2 PAR DE PATÍN HJ, PISO DE PLASTICO NEGRO, CON RIEL, 10 MATRACA CORREDIZA, GANCHO HOLLAND, BURRO LAMINADO A 1.20 M, SIN REDILAS,   SIN SISTEMA RETRÁCTIL, 8 RINES DE ACERO,   8 LLANTAS FIRESTONE,  2 BICECLETERA,   </t>
  </si>
  <si>
    <t>PD-15-01-24-0</t>
  </si>
  <si>
    <t>PRESUPUESTO DE DOLLY CON 2 EJES FLEET MASTER,  SUSPENSIÓN FLEET MASTER,  SIN SISTEMA RETRÁCTIL, 8 RINES DE ACERO,  SIN RINES, 8 LLANTAS FIRESTONE</t>
  </si>
  <si>
    <t>SIRILO ORTEGA LUNA</t>
  </si>
  <si>
    <t>Suspensión Fleet Master</t>
  </si>
  <si>
    <t>2 juegos de patines HJ</t>
  </si>
  <si>
    <t>Piso de de plastico negro</t>
  </si>
  <si>
    <t>12 Rines de acero</t>
  </si>
  <si>
    <t>12 llantas chinas</t>
  </si>
  <si>
    <t>Frente Burro Laminado de 1.20 m</t>
  </si>
  <si>
    <t>Ejes: 3  Fleet Master (2 retractil)</t>
  </si>
  <si>
    <t>Con el gusto de saludarle pongo a su disposición la cotización CP 17-01-24-1 con el costo completo de los equipo(s) solicitados, basándonos en las cotizaciones enviadas con anterioridad.</t>
  </si>
  <si>
    <t>Los depósitos se realizarán a la siguiente cuenta:
 Banco HSBC a nombre de ARMADORA LEOLCA.                                               
 Cuenta: 4061746210                                                                                                                                                                                                          Sin otro asunto que tratar quedo a sus órdenes.</t>
  </si>
  <si>
    <t>c: 771 2667692</t>
  </si>
  <si>
    <t>797 106 6888</t>
  </si>
  <si>
    <t>LEONEL NAVA VARGAS</t>
  </si>
  <si>
    <t>AZUL REY</t>
  </si>
  <si>
    <t>FOL-17-01-24-1</t>
  </si>
  <si>
    <t xml:space="preserve">SEMIREMOLQUE TIPO: PLATAFORMA 40 FT 3 EJES, CON SUSPENSIÓN HENDRICKSON, EJES AMPRO, 1 PAR DE PATÍN HOLLAND, PISO LAMINADO CON BASE DE MADERA, SIN RIEL,  SIN MATRACAS, GANCHO HOLLAND, CONCHA LAMINADA A 1.20 M, SIN REDILAS, 1 SISTEMA RETRÁCTIL,  SIN RINES,    SIN LLANTAS,  12 PLAFONES DE CARRITO AMBAR LATERALES, 8 PLAFONES DE CARRITO AMBAR P/ESTRIBO,  </t>
  </si>
  <si>
    <t>Cant de unidad</t>
  </si>
  <si>
    <t>MARCO ANTONIO FERNANDEZ</t>
  </si>
  <si>
    <t>771 509 0716</t>
  </si>
  <si>
    <t>PACHUCA HIDALGO</t>
  </si>
  <si>
    <t>BICiCLETERA</t>
  </si>
  <si>
    <t>BORDA TRASERA 28 X 15 X 2.44M EN PLACA 3/16</t>
  </si>
  <si>
    <t>ESTRIBO</t>
  </si>
  <si>
    <t>PLACA 55CM X 15CM EN PLACA 1/4</t>
  </si>
  <si>
    <t>CARTABON 30CM X 30CM EN PLACA 1/4</t>
  </si>
  <si>
    <t>TAPADERAS DE CARTABON EN PLACA 1/4</t>
  </si>
  <si>
    <t>CORAZA 2.50M EN PLACA 3/16</t>
  </si>
  <si>
    <t>CHASIS 1.50M LARGO EN PLaca 3/16</t>
  </si>
  <si>
    <t>CONCHA LAMINADA A 1.70 M</t>
  </si>
  <si>
    <t>BORDA TRASERA 28CM X 15 X 2.45 EN PLACA 3/16</t>
  </si>
  <si>
    <r>
      <t xml:space="preserve">TUBO 1 1/4 </t>
    </r>
    <r>
      <rPr>
        <sz val="10"/>
        <color theme="1"/>
        <rFont val="Calibri"/>
        <family val="2"/>
        <scheme val="minor"/>
      </rPr>
      <t>(20 PZAS DE 5 CM)</t>
    </r>
  </si>
  <si>
    <t>CORAZA  2.50 EN PLACA 3/16</t>
  </si>
  <si>
    <r>
      <t>CHASIS (</t>
    </r>
    <r>
      <rPr>
        <sz val="8"/>
        <color theme="1"/>
        <rFont val="Calibri"/>
        <family val="2"/>
        <scheme val="minor"/>
      </rPr>
      <t>7CM DE CEJA,X 7" ANCHO X 1.50 M DE LARGO EN PLACA DE 3/16</t>
    </r>
    <r>
      <rPr>
        <sz val="11"/>
        <color theme="1"/>
        <rFont val="Calibri"/>
        <family val="2"/>
        <scheme val="minor"/>
      </rPr>
      <t>)</t>
    </r>
  </si>
  <si>
    <t>CANAL U 5" 6MTRS</t>
  </si>
  <si>
    <t>PROVEDOR</t>
  </si>
  <si>
    <t>JAIRO</t>
  </si>
  <si>
    <t>PTR 4" CAL 12</t>
  </si>
  <si>
    <t>CARGADORES 3"</t>
  </si>
  <si>
    <r>
      <t xml:space="preserve">MTRS DE REDONDO DE 1/2 </t>
    </r>
    <r>
      <rPr>
        <sz val="9"/>
        <color theme="1"/>
        <rFont val="Calibri"/>
        <family val="2"/>
        <scheme val="minor"/>
      </rPr>
      <t>(20 PZAS DE 12CM)</t>
    </r>
  </si>
  <si>
    <t>PIZAS DE SOLERA 3/8 X 2</t>
  </si>
  <si>
    <t>TORNILLO 3/8 X 1 1/4 CON TUERCA</t>
  </si>
  <si>
    <t>MTRS DE PTR 4</t>
  </si>
  <si>
    <t>PLAFONES 4 1/2</t>
  </si>
  <si>
    <t>PLAFONES 2"</t>
  </si>
  <si>
    <t>BOTE DE PINTURA</t>
  </si>
  <si>
    <t>LA NUE. ESTRELLA</t>
  </si>
  <si>
    <t>PRIMER</t>
  </si>
  <si>
    <t xml:space="preserve"> MAYA DE 50 X 1</t>
  </si>
  <si>
    <t>LAMINA 2.44 X 1.10 CAL 12</t>
  </si>
  <si>
    <t>ABRAZADERA 3" X 10</t>
  </si>
  <si>
    <t>PORTA LODERA</t>
  </si>
  <si>
    <t>TANQUE CO2</t>
  </si>
  <si>
    <t>ROLLO MICROALAMBRE</t>
  </si>
  <si>
    <t>TRACTO ZONE</t>
  </si>
  <si>
    <t>REYES VERGARA</t>
  </si>
  <si>
    <t>FOL-25-01-24-1</t>
  </si>
  <si>
    <t xml:space="preserve">SEMIREMOLQUE TIPO: PLATAFORMA 40 FT 2 EJES, CON SUSPENSIÓN HENDRICKSON, EJES FLEET MASTER, 2 PAR DE PATIN AMPRO, PISO DE PLASTICO NEGRO, CON RIEL, 10 MATRACA CORREDIZA, GANCHO PREMIER, CONCHA LAMINADA A 1.20 M, SIN REDILAS, 1 SISTEMA RETRÁCTIL,  SIN RINES,    SIN LLANTAS,  0  ,   </t>
  </si>
  <si>
    <t>FOL-29-01-24-1</t>
  </si>
  <si>
    <t xml:space="preserve">SEMIREMOLQUE TIPO: PLATAFORMA 40 FT 2 EJES, CON SUSPENSIÓN HENDRICKSON, EJES FLEET MASTER, 2 PAR DE PATIN AMPRO, PISO DE PLASTICO NEGRO, CON RIEL, 10 MATRACA CORREDIZA, GANCHO HOLLAND, SIN FRENTE, SIN REDILAS,   SIN SISTEMA RETRÁCTIL,  SIN RINES,    SIN LLANTAS,  0  ,   </t>
  </si>
  <si>
    <t>PD-29-01-24-0</t>
  </si>
  <si>
    <t>PRESUPUESTO DE DOLLY CON 2 EJES FLEET MASTER,  SUSPENSIÓN HENDRICKSON,  SIN SISTEMA RETRÁCTIL,  SIN RINES,  SIN RINES,  SIN LLANTAS</t>
  </si>
  <si>
    <t xml:space="preserve">JOSE MIGUEL HUERTA </t>
  </si>
  <si>
    <t xml:space="preserve">JOSE MIGUEL HUERTA GARCIA </t>
  </si>
  <si>
    <t>HUGM920224351</t>
  </si>
  <si>
    <t>JOSE MIGUEL HUERTA</t>
  </si>
  <si>
    <t>22</t>
  </si>
  <si>
    <t xml:space="preserve">SEMIREMOLQUE TIPO: PLATAFORMA 40 FT 2 EJES, CON SUSPENSIÓN HENDRICKSON, EJES AMPRO, 2 PAR DE PATIN AMPRO, PISO LAMINADO CON BASE DE MADERA, CON RIEL, 22 MATRACA CORREDIZA, GANCHO HOLLAND, CONCHA LAMINADA A 1.20 M, SIN REDILAS, 1 SISTEMA RETRÁCTIL,  SIN RINES,    SIN LLANTAS,  0  ,   </t>
  </si>
  <si>
    <t>FOL-29-01-24-2</t>
  </si>
  <si>
    <t xml:space="preserve">SEMIREMOLQUE TIPO: PLATAFORMA 40 FT 2 EJES, CON SUSPENSIÓN ALTA HENDRICKSON, EJES AMPRO, 2 PAR DE PATIN AMPRO, PISO DE PLASTICO NEGRO, SIN RIEL,  SIN MATRACAS, GANCHO PREMIER, BURRO LAMINADO A 1.20 M, SIN REDILAS,   SIN SISTEMA RETRÁCTIL,  SIN RINES,    SIN LLANTAS,  0  ,   </t>
  </si>
  <si>
    <t xml:space="preserve">SEMIREMOLQUE TIPO: PLATAFORMA 40 FT 2 EJES, CON SUSPENSIÓN ALTA HENDRICKSON, EJES AMPRO, 2 PAR DE PATIN AMPRO, PISO DE PLASTICO NEGRO, CON RIEL, 11 MATRACA CORREDIZA, GANCHO PREMIER, BURRO LAMINADO A 1.20 M, SIN REDILAS,   SIN SISTEMA RETRÁCTIL,  SIN RINES,    SIN LLANTAS,  1 POLINERA  GRANDE, 1 BICiCLETERA, 20 PLAFONES DE CARRITO AMBAR LATERALES, </t>
  </si>
  <si>
    <t>FOL-30-01-24-2</t>
  </si>
  <si>
    <t xml:space="preserve">SEMIREMOLQUE TIPO: PLATAFORMA 40 FT 2 EJES, CON SUSPENSIÓN ALTA HENDRICKSON, EJES FLEET MASTER, 2 PAR DE PATÍN HJ, PISO DE PLÁSTICO CAFÉ, CON RIEL, 12 MATRACA CORREDIZA, GANCHO HOLLAND, BURRO LAMINADO A 1.20 M, SIN REDILAS,   SIN SISTEMA RETRÁCTIL,  SIN RINES,    SIN LLANTAS,  1 CAJA DE HRRTAS GRANDE 1.10 CM,   </t>
  </si>
  <si>
    <t>PD-30-01-24-0</t>
  </si>
  <si>
    <t>FOL-06-02-24-2</t>
  </si>
  <si>
    <t xml:space="preserve">SEMIREMOLQUE TIPO: PLATAFORMA 40 FT 2 EJES, CON SUSPENSIÓN FLEET MASTER, EJES FLEET MASTER, 2 PAR DE PATÍN HJ, PISO DE PLÁSTICO CAFÉ, SIN RIEL,  SIN MATRACAS, GANCHO HOLLAND, CONCHA LAMINADA A 1.20 M, SIN REDILAS,   SIN SISTEMA RETRÁCTIL,  SIN RINES,    SIN LLANTAS,  1 CAJA DE HRRTAS GRANDE 1.10 CM,   </t>
  </si>
  <si>
    <t>OSCAR GABRIEL ANDRADE</t>
  </si>
  <si>
    <t>FOL-26-02-24-2</t>
  </si>
  <si>
    <t xml:space="preserve">SEMIREMOLQUE TIPO: PLATAFORMA 40 FT 2 EJES, CON SUSPENSIÓN HENDRICKSON, EJES AMPRO, 2 PAR DE PATÍN HOLLAND, PISO DE PLÁSTICO CAFÉ, CON RIEL, 12 MATRACA CORREDIZA, GANCHO PREMIER, CONCHA A 1.50 M, SIN REDILAS, 1 SISTEMA RETRÁCTIL,  SIN RINES,    SIN LLANTAS,  1 BICiCLETERA, 1 CAJA DE HRRTAS GRANDE 1.10 CM,  </t>
  </si>
  <si>
    <t xml:space="preserve">SEMIREMOLQUE TIPO: PLATAFORMA 40 FT 3 EJES, CON SUSPENSIÓN HENDRICKSON, EJES AMPRO, 2 PAR DE PATÍN HOLLAND, PISO LAMINADO CON BASE DE MADERA, CON RIEL, 8 MATRACA CORREDIZA, SIN GANCHO, CONCHA 1.10 M, SIN REDILAS, 2 SISTEMA RETRÁCTIL, 6 RINES DE ALUMINIO,    SIN LLANTAS,  1 LODERA DE CENTRO, 1 CAJA DE HRRTAS GRANDE 1.10 CM, 27 PLAFONES DE CARRITO AMBAR P/ESTRIBO, </t>
  </si>
  <si>
    <t xml:space="preserve">SEMIREMOLQUE TIPO: PLATAFORMA 40 FT 2 EJES, CON SUSPENSIÓN HENDRICKSON, EJES FLEET MASTER, 2 PAR DE PATÍN HOLLAND, PISO DE MADERA DE ENCINO, CON RIEL, 10 MATRACA CORREDIZA, GANCHO HOLLAND, CONCHA LAMINADA A 1.20 M, REDILAS DE 80 CM,   SIN SISTEMA RETRÁCTIL,  SIN RINES,    SIN LLANTAS,  1  , 1  </t>
  </si>
  <si>
    <t xml:space="preserve">SEMIREMOLQUE TIPO: PLATAFORMA 40 FT 2 EJES, CON SUSPENSIÓN HENDRICKSON, EJES FLEET MASTER, 2 PAR DE PATÍN HOLLAND, PISO DE PLASTICO NEGRO, CON RIEL, 10 MATRACA CORREDIZA, GANCHO PREMIER, CONCHA LAMINADA A 1.20 M, SIN REDILAS, 1 SISTEMA RETRÁCTIL, 4 RINES DE ACERO, 4 RINES DE ALUMINIO, 8 LLANTAS FIRESTONE,  1 MUTI MODAL, 1 POLINERA  GRANDE, 12 CANDADOS, </t>
  </si>
  <si>
    <t>PD-12-03-24-0</t>
  </si>
  <si>
    <t>PRESUPUESTO DE DOLLY CON 2 EJES FLEET MASTER,  SUSPENSIÓN FLEET MASTER, 1 SISTEMA RETRÁCTIL,  SIN RINES,  SIN RINES,  SIN LLANTAS</t>
  </si>
  <si>
    <t>FOL-13-03-24-2</t>
  </si>
  <si>
    <t xml:space="preserve">SEMIREMOLQUE TIPO: PLATAFORMA 42 FT 3 EJES, CON SUSPENSIÓN HENDRICKSON, EJES AMPRO, 2 PAR DE PATIN AMPRO, PISO DE MADERA DE PINO, CON RIEL, 10 MATRACA CORREDIZA, GANCHO HOLLAND, CONCHA LAMINADA A 1.20 M, SIN REDILAS, 2 SISTEMA RETRÁCTIL,  SIN RINES, 12 RINES DE ACERO, 12 LLANTAS AMULET,  1 MUTI MODAL, 1 POLINERA  GRANDE, 12 CANDADOS, </t>
  </si>
  <si>
    <t>SR. HERMELINDO RIVEROS LOPEZ</t>
  </si>
  <si>
    <t xml:space="preserve">SEMIREMOLQUE TIPO: PLATAFORMA 42 FT 3 EJES, CON SUSPENSIÓN HENDRICKSON, EJES AMPRO, 2 PAR DE PATIN AMPRO, PISO DE MADERA DE PINO, CON RIEL, 10 MATRACA CORREDIZA, GANCHO HOLLAND, CONCHA LAMINADA A 1.20 M, SIN REDILAS, 2 SISTEMA RETRÁCTIL,  SIN RINES, 12 RINES DE ACERO, 12 LLANTAS AMULET,  1  , 1 12 </t>
  </si>
  <si>
    <t xml:space="preserve">SEMIREMOLQUE TIPO: PLATAFORMA 42 FT 3 EJES, CON SUSPENSIÓN HENDRICKSON, EJES AMPRO, 2 PAR DE PATIN AMPRO, PISO DE MADERA DE PINO, CON RIEL, 10 MATRACA CORREDIZA, GANCHO HOLLAND, CONCHA LAMINADA A 1.20 M, SIN REDILAS, 2 SISTEMA RETRÁCTIL,  SIN RINES, 12 RINES DE ACERO, 12 LLANTAS AMULET,  0  ,   </t>
  </si>
  <si>
    <t xml:space="preserve">SEMIREMOLQUE TIPO: PLATAFORMA 42 FT 3 EJES, CON SUSPENSIÓN HENDRICKSON, EJES AMPRO, 2 PAR DE PATIN AMPRO, PISO DE MADERA DE PINO, CON RIEL, 10 MATRACA CORREDIZA, GANCHO HOLLAND, CONCHA LAMINADA A 1.20 M, SIN REDILAS, 2 SISTEMA RETRÁCTIL,  SIN RINES, 12 RINES DE ACERO, 12 LLANTAS FIRESTONE,  0  ,   </t>
  </si>
  <si>
    <t xml:space="preserve">SEMIREMOLQUE TIPO: PLATAFORMA 42 FT 3 EJES, CON SUSPENSIÓN HENDRICKSON, EJES AMPRO, 2 PAR DE PATIN AMPRO, PISO LAMINADO CON BASE DE MADERA, CON RIEL, 10 MATRACA CORREDIZA, GANCHO HOLLAND, CONCHA LAMINADA A 1.20 M, SIN REDILAS, 2 SISTEMA RETRÁCTIL,  SIN RINES, 12 RINES DE ACERO, 12 LLANTAS FIRESTONE,  0  ,   </t>
  </si>
  <si>
    <t>PD-13-03-24-0</t>
  </si>
  <si>
    <t>PRESUPUESTO DE DOLLY CON 2 EJES AMPRO,  SUSPENSIÓN HENDRICKSON, 1 SISTEMA RETRÁCTIL, 8 RINES DE ACERO,  SIN RINES, 8 LLANTAS FIRESTONE</t>
  </si>
  <si>
    <t>PRESUPUESTO DE DOLLY CON 2 EJES AMPRO,  SUSPENSIÓN HENDRICKSON,  SIN SISTEMA RETRÁCTIL, 8 RINES DE ACERO,  SIN RINES, 8 LLANTAS FIRESTONE</t>
  </si>
  <si>
    <t xml:space="preserve">SEMIREMOLQUE TIPO: PLATAFORMA 40 FT 2 EJES, CON SUSPENSIÓN FLEET MASTER, EJES FLEET MASTER, 2 PAR DE PATIN AMPRO, PISO DE MADERA DE PINO, SIN RIEL, 10 SIN MATRACAS, SIN GANCHO, CONCHA LAMINADA A 1.20 M, SIN REDILAS,   SIN SISTEMA RETRÁCTIL,  SIN RINES,     ,  0  ,   </t>
  </si>
  <si>
    <t xml:space="preserve">SEMIREMOLQUE TIPO: PLATAFORMA 40 FT 2 EJES, CON SUSPENSIÓN FLEET MASTER, EJES FLEET MASTER, 2 PAR DE PATÍN HJ, PISO DE MADERA DE PINO, SIN RIEL,  SIN MATRACAS, SIN GANCHO, CONCHA LAMINADA A 1.20 M, SIN REDILAS,   SIN SISTEMA RETRÁCTIL,  SIN RINES,    SIN LLANTAS,  0  ,   </t>
  </si>
  <si>
    <t xml:space="preserve">SEMIREMOLQUE TIPO: PLATAFORMA 40 FT 2 EJES, CON SUSPENSIÓN FLEET MASTER, EJES FLEET MASTER, 2 PAR DE PATÍN HJ, PISO DE MADERA DE PINO, SIN RIEL,  SIN MATRACAS, SIN GANCHO, CONCHA LAMINADA A 1.20 M, SIN REDILAS, 1 SISTEMA RETRÁCTIL,  SIN RINES,    SIN LLANTAS,  0  ,   </t>
  </si>
  <si>
    <t>FOL-14-03-24-2</t>
  </si>
  <si>
    <t xml:space="preserve">SEMIREMOLQUE TIPO: PLATAFORMA 40 FT 2 EJES, CON SUSPENSIÓN HENDRICKSON, EJES FLEET MASTER, 2 PAR DE PATÍN HJ, PISO DE PLÁSTICO CAFÉ, CON RIEL, 10 MATRACA CORREDIZA, GANCHO HOLLAND, CONCHA LAMINADA A 1.20 M, SIN REDILAS, 1 SISTEMA RETRÁCTIL,  SIN RINES,    SIN LLANTAS,  0  ,   </t>
  </si>
  <si>
    <t>FOL-23-03-24-2</t>
  </si>
  <si>
    <t xml:space="preserve">SEMIREMOLQUE TIPO: PLATAFORMA 40 FT 2 EJES, CON SUSPENSIÓN HENDRICKSON, EJES FLEET MASTER, 2 PAR DE PATÍN HJ, PISO LAMINADO CON BASE DE MADERA, CON RIEL, 10 MATRACA CORREDIZA, GANCHO HOLLAND, SIN FRENTE, SIN REDILAS, 1 SISTEMA RETRÁCTIL,  SIN RINES,    SIN LLANTAS,  0  ,   </t>
  </si>
  <si>
    <t xml:space="preserve">SEMIREMOLQUE TIPO: PLATAFORMA 40 FT 2 EJES, CON SUSPENSIÓN FLEET MASTER, EJES FLEET MASTER, 2 PAR DE PATÍN HJ, PISO LAMINADO CON BASE DE MADERA, CON RIEL, 10 MATRACA CORREDIZA, GANCHO HOLLAND, SIN FRENTE, SIN REDILAS, 1 SISTEMA RETRÁCTIL,  SIN RINES,    SIN LLANTAS,  0  ,   </t>
  </si>
  <si>
    <t>FOL-25-03-24-2</t>
  </si>
  <si>
    <t xml:space="preserve">SEMIREMOLQUE TIPO: PLATAFORMA 40 FT 2 EJES, CON SUSPENSIÓN FLEET MASTER, EJES FLEET MASTER, 2 PAR DE PATÍN HJ, PISO DE PLASTICO NEGRO, CON RIEL, 10 MATRACA CORREDIZA, GANCHO HOLLAND, SIN FRENTE, SIN REDILAS, 1 SISTEMA RETRÁCTIL,  SIN RINES,    SIN LLANTAS,  0  ,   </t>
  </si>
  <si>
    <t xml:space="preserve">SEMIREMOLQUE TIPO: PLATAFORMA 40 FT 2 EJES, CON SUSPENSIÓN FLEET MASTER, EJES FLEET MASTER, 2 PAR DE PATÍN HJ, PISO DE PLÁSTICO CAFÉ, CON RIEL, 10 MATRACA CORREDIZA, GANCHO HOLLAND, SIN FRENTE, SIN REDILAS, 1 SISTEMA RETRÁCTIL,  SIN RINES,    SIN LLANTAS,  0  ,   </t>
  </si>
  <si>
    <t>FOL-27-03-24-2</t>
  </si>
  <si>
    <t xml:space="preserve">SEMIREMOLQUE TIPO: PLATAFORMA 40 FT 2 EJES, CON SUSPENSIÓN FLEET MASTER, EJES FLEET MASTER, 2 PAR DE PATIN AMPRO, PISO DE MADERA DE PINO, CON RIEL, 11 MATRACA CORREDIZA, GANCHO HOLLAND, SIN FRENTE, SIN REDILAS, 1 SISTEMA RETRÁCTIL,  SIN RINES,    SIN LLANTAS,  0  ,   </t>
  </si>
  <si>
    <t xml:space="preserve">SEMIREMOLQUE TIPO: PLATAFORMA 40 FT 2 EJES, CON SUSPENSIÓN FLEET MASTER, EJES FLEET MASTER, 2 PAR DE PATIN AMPRO, PISO DE MADERA DE ENCINO, CON RIEL, 11 MATRACA CORREDIZA, GANCHO HOLLAND, SIN FRENTE, SIN REDILAS, 1 SISTEMA RETRÁCTIL,  SIN RINES,    SIN LLANTAS,  0  ,   </t>
  </si>
  <si>
    <t xml:space="preserve">Ahuazotepec,Puebla a </t>
  </si>
  <si>
    <t>03-04-24/0</t>
  </si>
  <si>
    <t>Guillermo Luna Amador</t>
  </si>
  <si>
    <t>FOL-05-04-24-2</t>
  </si>
  <si>
    <t xml:space="preserve">SEMIREMOLQUE TIPO: PLATAFORMA 40 FT 2 EJES, CON SUSPENSIÓN HENDRICKSON, EJES FLEET MASTER, 2 PAR DE PATIN AMPRO, PISO DE MADERA DE ENCINO, CON RIEL, 11 MATRACA CORREDIZA, GANCHO HOLLAND, SIN FRENTE, SIN REDILAS, 1 SISTEMA RETRÁCTIL,  SIN RINES,    SIN LLANTAS,  0  ,   </t>
  </si>
  <si>
    <t>FOL-06-04-24-2</t>
  </si>
  <si>
    <t xml:space="preserve">SEMIREMOLQUE TIPO: PLATAFORMA 40 FT 2 EJES, CON SUSPENSIÓN HENDRICKSON, EJES FLEET MASTER, 2 PAR DE PATÍN HJ, PISO DE MADERA DE PINO, CON RIEL, 10 MATRACA CORREDIZA, GANCHO HOLLAND, SIN FRENTE, SIN REDILAS, 1 SISTEMA RETRÁCTIL,  SIN RINES,     ,  0 CAJA DE HRRTAS CHICA,  POLINERA  GRANDE,  </t>
  </si>
  <si>
    <t>PD-06-04-24-0</t>
  </si>
  <si>
    <t xml:space="preserve">PRESUPUESTO DE DOLLY CON 2 EJES FLEET MASTER,  SUSPENSIÓN HENDRICKSON,  SISTEMA RETRÁCTIL,  SIN RINES,  SIN RINES,   </t>
  </si>
  <si>
    <t>FOL-09-04-24-2</t>
  </si>
  <si>
    <t xml:space="preserve">SEMIREMOLQUE TIPO: PLATAFORMA 40 FT 2 EJES, CON SUSPENSIÓN ALTA HENDRICKSON, EJES FLEET MASTER, 2 PAR DE PATÍN HOLLAND, PISO DE PLÁSTICO CAFÉ, SIN RIEL,  SIN MATRACAS, GANCHO BESTIA, SIN FRENTE,  , 1 SISTEMA RETRÁCTIL, 4 RINES DE ACERO, 4 RINES DE ALUMINIO, 8 LLANTAS FIRESTONE,  0 CAJA DE HRRTAS CHICA,  PORTALLANTAS EXTRA,  </t>
  </si>
  <si>
    <t>FOL-10-04-24-2</t>
  </si>
  <si>
    <t xml:space="preserve">SEMIREMOLQUE TIPO: PLATAFORMA 40 FT 2 EJES, CON SUSPENSIÓN HENDRICKSON, EJES FLEET MASTER, 2 PAR DE PATIN AMPRO, PISO DE PLÁSTICO CAFÉ, CON RIEL, 10 MATRACA CORREDIZA, GANCHO HOLLAND, SIN FRENTE,  , 1 SISTEMA RETRÁCTIL, 4 RINES DE ACERO, 4 RINES DE ALUMINIO, 8 LLANTAS FIRESTONE,  0 CAJA DE HRRTAS CHICA,  PORTALLANTAS EXTRA,  </t>
  </si>
  <si>
    <t xml:space="preserve">SEMIREMOLQUE TIPO: PLATAFORMA 40 FT 2 EJES, CON SUSPENSIÓN ALTA HENDRICKSON, 0, 2 PAR DE PATIN AMPRO, PISO DE PLÁSTICO CAFÉ, SIN RIEL,  SIN MATRACAS, GANCHO BESTIA, SIN FRENTE, SIN REDILAS, 1 SISTEMA RETRÁCTIL, 8 RINES DE ALUMINIO,   8 LLANTAS FIRESTONE,  0  ,   </t>
  </si>
  <si>
    <t>PD-10-04-24-0</t>
  </si>
  <si>
    <t>PRESUPUESTO DE DOLLY CON 2 EJES FLEET MASTER,  SUSPENSIÓN ALTA HENDRICKSON, 1 SISTEMA RETRÁCTIL, 8 RINES DE ALUMINIO,  SIN RINES, 8 LLANTAS FIRESTONE</t>
  </si>
  <si>
    <t xml:space="preserve">SEMIREMOLQUE TIPO: PLATAFORMA 40 FT 2 EJES, CON SUSPENSIÓN ALTA HENDRICKSON, 0, 2 PAR DE PATIN AMPRO, PISO DE PLÁSTICO CAFÉ, SIN RIEL,  SIN MATRACAS, GANCHO BESTIA, SIN FRENTE, REDILAS DE 80 CM, 1 SISTEMA RETRÁCTIL, 8 RINES DE ALUMINIO,   8 LLANTAS FIRESTONE,  0  ,   </t>
  </si>
  <si>
    <t xml:space="preserve">SEMIREMOLQUE TIPO: PLATAFORMA 40 FT 2 EJES, CON SUSPENSIÓN FLEET MASTER, EJES AMPRO, 2 PAR DE PATIN AMPRO, PISO LAMINADO CON BASE DE MADERA, CON RIEL, 10 MATRACA CORREDIZA, SIN GANCHO, CONCHA LAMINADA A 1.20 M,  ,    , 8 RINES DE ACERO,   8 LLANTAS FIRESTONE,  0  ,   </t>
  </si>
  <si>
    <t xml:space="preserve">SEMIREMOLQUE TIPO: PLATAFORMA 40 FT 3 EJES, CON SUSPENSIÓN FLEET MASTER, EJES FLEET MASTER, 2 PAR DE PATÍN HJ, PISO DE MADERA DE PINO, CON RIEL, 10 MATRACA CORREDIZA, GANCHO HOLLAND, CONCHA LAMINADA A 1.20 M,  , 2 SISTEMA RETRÁCTIL, 8 SIN RINES,   8 SIN LLANTAS,  0  ,   </t>
  </si>
  <si>
    <t xml:space="preserve">SEMIREMOLQUE TIPO: PLATAFORMA 42 FT 2 EJES, CON SUSPENSIÓN HENDRICKSON, EJES FLEET MASTER, 2 PAR DE PATÍN HOLLAND, PISO ANTIDERRAPANTE, CON RIEL, 11 MATRACA CORREDIZA, SIN GANCHO, CONCHA A 1.50 M, SIN REDILAS, 1 SISTEMA RETRÁCTIL, 8 RINES DE ACERO,   8 LLANTAS CHINAS,  0  ,   </t>
  </si>
  <si>
    <t>FOL-11-04-24-2</t>
  </si>
  <si>
    <t xml:space="preserve">SEMIREMOLQUE TIPO: PLATAFORMA 40 FT 2 EJES, CON SUSPENSIÓN FLEET MASTER, EJES FLEET MASTER, 2 PAR DE PATÍN HJ, PISO DE PLASTICO NEGRO, CON RIEL, 10 MATRACA CORREDIZA, GANCHO HOLLAND, CONCHA LAMINADA A 1.20 M,  , 1 SISTEMA RETRÁCTIL,  SIN RINES,    SIN LLANTAS,  0  ,   </t>
  </si>
  <si>
    <t xml:space="preserve">SEMIREMOLQUE TIPO: PLATAFORMA 40 FT 2 EJES, CON SUSPENSIÓN FLEET MASTER, EJES FLEET MASTER, 2 PAR DE PATÍN HJ, PISO DE PLASTICO NEGRO, CON RIEL, 10 MATRACA CORREDIZA, GANCHO HOLLAND, CONCHA LAMINADA A 1.20 M,  , 1 SISTEMA RETRÁCTIL,  SIN RINES,    SIN LLANTAS,  0 POLINERA  GRANDE,   </t>
  </si>
  <si>
    <t xml:space="preserve">SEMIREMOLQUE TIPO: PLATAFORMA 40 FT 2 EJES, CON SUSPENSIÓN FLEET MASTER, EJES FLEET MASTER, 2 PAR DE PATÍN HJ, PISO DE PLASTICO NEGRO, CON RIEL, 10 MATRACA CORREDIZA, GANCHO HOLLAND, CONCHA LAMINADA A 1.20 M,  , 1 SISTEMA RETRÁCTIL,  SIN RINES,    SIN LLANTAS,  1 POLINERA  GRANDE,   </t>
  </si>
  <si>
    <t>PD-11-04-24-0</t>
  </si>
  <si>
    <t xml:space="preserve">PRESUPUESTO DE DOLLY CON 2 EJES FLEET MASTER,  SUSPENSIÓN FLEET MASTER,   ,  SIN RINES,  SIN RINES,   </t>
  </si>
  <si>
    <t xml:space="preserve">PRESUPUESTO DE DOLLY CON 2 EJES FLEET MASTER,  SUSPENSIÓN FLEET MASTER, 1 SISTEMA RETRÁCTIL,  SIN RINES,  SIN RINES,   </t>
  </si>
  <si>
    <t>FOL-12-04-24-2</t>
  </si>
  <si>
    <t xml:space="preserve">SEMIREMOLQUE TIPO: PLATAFORMA 40 FT 2 EJES, CON SUSPENSIÓN FLEET MASTER, EJES FLEET MASTER, 2 PAR DE PATÍN HJ, PISO DE PLASTICO NEGRO, CON RIEL, 12 MATRACA CORREDIZA, GANCHO HOLLAND, CONCHA LAMINADA A 1.20 M,  ,   SIN SISTEMA RETRÁCTIL, 8 RINES DE ACERO,   8 LLANTAS CHINAS,  1 CANASTILLA,   </t>
  </si>
  <si>
    <t xml:space="preserve">SEMIREMOLQUE TIPO: PLATAFORMA 40 FT 2 EJES, CON SUSPENSIÓN FLEET MASTER, EJES FLEET MASTER, 2 PAR DE PATÍN HJ, PISO DE PLÁSTICO CAFÉ, CON RIEL, 12 MATRACA CORREDIZA, GANCHO HOLLAND, CONCHA LAMINADA A 1.20 M,  ,   SIN SISTEMA RETRÁCTIL, 8 RINES DE ACERO,   8 LLANTAS CHINAS,  1 CANASTILLA,   </t>
  </si>
  <si>
    <t xml:space="preserve">SEMIREMOLQUE TIPO: PLATAFORMA 40 FT 2 EJES, CON SUSPENSIÓN ALTA HENDRICKSON, 0, 2 PAR DE PATIN AMPRO, PISO DE PLÁSTICO CAFÉ, CON RIEL,  SIN MATRACAS, GANCHO BESTIA, SIN FRENTE,  , 1 SISTEMA RETRÁCTIL, 8 RINES DE ALUMINIO,   8 LLANTAS FIRESTONE,  1 CANASTILLA,   </t>
  </si>
  <si>
    <t xml:space="preserve">SEMIREMOLQUE TIPO: PLATAFORMA 40 FT 2 EJES, CON SIN SUSPENSIÓN, EJES FLEET MASTER, 2 PAR DE PATÍN HJ, PISO DE PLASTICO NEGRO, CON RIEL,  SIN MATRACAS,  , CONCHA LAMINADA A 1.20 M,  , 1 SISTEMA RETRÁCTIL, 8 RINES DE ACERO,   8 LLANTAS CHINAS,  1 CANASTILLA,   </t>
  </si>
  <si>
    <t>FOL-13-04-24-2</t>
  </si>
  <si>
    <t xml:space="preserve">SEMIREMOLQUE TIPO: PLATAFORMA 40 FT 2 EJES, CON SUSPENSIÓN HENDRICKSON, EJES FLEET MASTER, 2 PAR DE PATIN AMPRO, PISO DE PLASTICO NEGRO, CON RIEL, 10 MATRACA CORREDIZA, GANCHO HOLLAND, SIN FRENTE, SIN REDILAS, 1 SISTEMA RETRÁCTIL, 8 RINES DE ALUMINIO,     ,  1 CANASTILLA,  PLAFONES DE CARRITO AMBAR LATERALES,  PLAFONES DE CARRITO ROJOS LATERALES, </t>
  </si>
  <si>
    <t xml:space="preserve">SEMIREMOLQUE TIPO: PLATAFORMA 40 FT 2 EJES, CON SUSPENSIÓN HENDRICKSON, EJES FLEET MASTER, 2 PAR DE PATIN AMPRO, PISO DE PLASTICO NEGRO, CON RIEL, 10 MATRACA CORREDIZA, GANCHO HOLLAND, SIN FRENTE, SIN REDILAS, 1 SISTEMA RETRÁCTIL, 8 RINES DE ALUMINIO,     ,  1 CANASTILLA, 10 PLAFONES DE CARRITO AMBAR LATERALES, 16 PLAFONES DE CARRITO ROJOS LATERALES, </t>
  </si>
  <si>
    <t xml:space="preserve">SEMIREMOLQUE TIPO: PLATAFORMA 40 FT 2 EJES, CON SUSPENSIÓN HENDRICKSON, EJES FLEET MASTER, 2 PAR DE PATIN AMPRO, PISO DE PLASTICO NEGRO, CON RIEL, 10 MATRACA CORREDIZA, GANCHO HOLLAND, SIN FRENTE, SIN REDILAS, 1 SISTEMA RETRÁCTIL, 8 RINES DE ALUMINIO,     ,  1 POLINERA  GRANDE, 10 PLAFONES DE CARRITO AMBAR LATERALES, 16 PLAFONES DE CARRITO ROJOS LATERALES, </t>
  </si>
  <si>
    <t xml:space="preserve">SEMIREMOLQUE TIPO: PLATAFORMA 40 FT 2 EJES, CON SUSPENSIÓN HENDRICKSON, EJES FLEET MASTER, 2 PAR DE PATIN AMPRO, PISO DE PLASTICO NEGRO, CON RIEL, 10 MATRACA CORREDIZA, GANCHO HOLLAND, SIN FRENTE, SIN REDILAS, 1 SISTEMA RETRÁCTIL, 8 RINES DE ALUMINIO,     ,  1 POLINERA  GRANDE, 10 PLAFONES DE CARRITO AMBAR LATERALES, 16 PLAFONES DE CARRITO ROJOS P/ESTRIBO, </t>
  </si>
  <si>
    <t>SEMIREMOLQUE TIPO: PLATAFORMA 40 FT 2 EJES, CON SUSPENSIÓN HENDRICKSON, EJES FLEET MASTER, 2 PAR DE PATIN AMPRO, PISO DE PLASTICO NEGRO, CON RIEL, 10 MATRACA CORREDIZA, GANCHO HOLLAND, SIN FRENTE, SIN REDILAS, 1 SISTEMA RETRÁCTIL, 8 RINES DE ALUMINIO,     ,  1 POLINERA  GRANDE, 10 PLAFONES DE CARRITO AMBAR LATERALES, 16 PLAFONES DE CARRITO ROJOS P/ESTRIBO, LODERA DE CENTRO</t>
  </si>
  <si>
    <t>PD-13-04-24-0</t>
  </si>
  <si>
    <t>PRESUPUESTO DE DOLLY CON 2 EJES FLEET MASTER,  SUSPENSIÓN HENDRICKSON, 1 SISTEMA RETRÁCTIL, 8 RINES DE ALUMINIO,  SIN RINES,  SIN LLANTAS</t>
  </si>
  <si>
    <t>SEMIREMOLQUE TIPO: PLATAFORMA 40 FT 2 EJES, CON SUSPENSIÓN HENDRICKSON, EJES FLEET MASTER, 1 PAR DE PATIN AMPRO, PISO DE PLASTICO NEGRO, CON RIEL, 10 MATRACA CORREDIZA, GANCHO HOLLAND, SIN FRENTE, SIN REDILAS, 1 SISTEMA RETRÁCTIL, 8 RINES DE ALUMINIO,     ,  1 POLINERA  GRANDE, 10 PLAFONES DE CARRITO AMBAR LATERALES, 16 PLAFONES DE CARRITO ROJOS P/ESTRIBO, LODERA DE CENTRO</t>
  </si>
  <si>
    <t>SEMIREMOLQUE TIPO: PLATAFORMA 40 FT 2 EJES, CON SUSPENSIÓN FLEET MASTER, EJES FLEET MASTER, 1 PAR DE PATIN AMPRO, PISO DE PLASTICO NEGRO, CON RIEL, 10 MATRACA CORREDIZA, GANCHO HOLLAND, SIN FRENTE, SIN REDILAS, 1 SISTEMA RETRÁCTIL, 8 RINES DE ALUMINIO,     ,  1 POLINERA  GRANDE, 10 PLAFONES DE CARRITO AMBAR LATERALES, 16 PLAFONES DE CARRITO ROJOS P/ESTRIBO, LODERA DE CENTRO</t>
  </si>
  <si>
    <t>PRESUPUESTO DE DOLLY CON 2 EJES FLEET MASTER,  SUSPENSIÓN FLEET MASTER, 1 SISTEMA RETRÁCTIL, 8 RINES DE ALUMINIO,  SIN RINES,  SIN LLANTAS</t>
  </si>
  <si>
    <t>PRESUPUESTO DE DOLLY CON 2 EJES FLEET MASTER,  SUSPENSIÓN FLEET MASTER,   , 8 RINES DE ALUMINIO,  SIN RINES,  SIN LLANTAS</t>
  </si>
  <si>
    <t>FOL-15-04-24-2</t>
  </si>
  <si>
    <t xml:space="preserve">SEMIREMOLQUE TIPO: PLATAFORMA 40 FT 2 EJES, CON SUSPENSIÓN FLEET MASTER, EJES FLEET MASTER, 2 PAR DE PATÍN HJ, PISO DE PLASTICO NEGRO, CON RIEL, 10 MATRACA CORREDIZA, GANCHO HOLLAND, CONCHA LAMINADA A 1.20 M, SIN REDILAS, 1 SISTEMA RETRÁCTIL,  SIN RINES,    SIN LLANTAS,  20 PLAFONES DE CARRITO AMBAR P/ESTRIBO,   </t>
  </si>
  <si>
    <t xml:space="preserve">SEMIREMOLQUE TIPO: PLATAFORMA 40 FT 2 EJES, CON SUSPENSIÓN HENDRICKSON, EJES FLEET MASTER, 2 PAR DE PATÍN HJ, PISO LAMINADO CON BASE DE PLÁSTICO, CON RIEL, 11 MATRACA CORREDIZA, GANCHO HOLLAND, BURRO LAMINADO A 1.20 M, SIN REDILAS, 1 SISTEMA RETRÁCTIL, 8 RINES DE ALUMINIO,   8 LLANTAS AMULET,  1 POLINERA  GRANDE, 20 PLAFONES DE CARRITO AMBAR LATERALES, 1 BICiCLETERA, </t>
  </si>
  <si>
    <t>FOL-16-04-24-2</t>
  </si>
  <si>
    <t xml:space="preserve">SEMIREMOLQUE TIPO: PLATAFORMA 40 FT 2 EJES, CON SUSPENSIÓN ALTA HENDRICKSON, EJES FLEET MASTER, 2 PAR DE PATÍN HJ, PISO LAMINADO CON BASE DE MADERA, CON RIEL, 10 MATRACA CORREDIZA, GANCHO HOLLAND, BURRO LAMINADO A 1.20 M, SIN REDILAS, 1 SISTEMA RETRÁCTIL, 8 RINES DE ACERO,   8 LLANTAS FIRESTONE,  0  ,   </t>
  </si>
  <si>
    <t xml:space="preserve">SEMIREMOLQUE TIPO: PLATAFORMA 40 FT 2 EJES, CON SUSPENSIÓN ALTA HENDRICKSON, EJES FLEET MASTER, 2 PAR DE PATÍN HJ, PISO LAMINADO CON BASE DE MADERA, CON RIEL, 10 MATRACA CORREDIZA, GANCHO HOLLAND, CONCHA LAMINADA A 1.20 M, SIN REDILAS, 1 SISTEMA RETRÁCTIL, 8 RINES DE ACERO,   8 LLANTAS FIRESTONE,  0  ,   </t>
  </si>
  <si>
    <t xml:space="preserve">SEMIREMOLQUE TIPO: PLATAFORMA 40 FT 2 EJES, CON SUSPENSIÓN FLEET MASTER, EJES FLEET MASTER, 2 PAR DE PATÍN HJ, PISO LAMINADO CON BASE DE MADERA, CON RIEL, 10 MATRACA CORREDIZA, GANCHO HOLLAND, CONCHA LAMINADA A 1.20 M, SIN REDILAS, 1 SISTEMA RETRÁCTIL, 8 RINES DE ACERO,   8 LLANTAS FIRESTONE,  0  ,   </t>
  </si>
  <si>
    <t xml:space="preserve">SEMIREMOLQUE TIPO: PLATAFORMA 40 FT 2 EJES, CON SUSPENSIÓN ALTA HENDRICKSON, EJES FLEET MASTER, 2 PAR DE PATÍN HJ, PISO LAMINADO CON BASE DE MADERA, CON RIEL, 10 MATRACA CORREDIZA, GANCHO HOLLAND, CONCHA LAMINADA A 1.20 M, SIN REDILAS, 1 SISTEMA RETRÁCTIL, 8 RINES DE ACERO,   8 LLANTAS FIRESTONE,  20 PLAFONES DE CARRITO AMBAR LATERALES,   </t>
  </si>
  <si>
    <t xml:space="preserve">SEMIREMOLQUE TIPO: PLATAFORMA 40 FT 2 EJES, CON SUSPENSIÓN FLEET MASTER, EJES FLEET MASTER, 2 PAR DE PATÍN HJ, PISO LAMINADO CON BASE DE MADERA, CON RIEL, 10 MATRACA CORREDIZA, GANCHO HOLLAND, CONCHA LAMINADA A 1.20 M, SIN REDILAS, 1 SISTEMA RETRÁCTIL, 8 RINES DE ACERO,   8 LLANTAS FIRESTONE,  20 PLAFONES DE CARRITO AMBAR LATERALES,   </t>
  </si>
  <si>
    <t>PD-16-04-24-0</t>
  </si>
  <si>
    <t>PRESUPUESTO DE DOLLY CON 2 EJES FLEET MASTER,  SUSPENSIÓN HENDRICKSON, 1 SISTEMA RETRÁCTIL, 8 RINES DE ACERO,  SIN RINES, 8 LLANTAS FIRESTONE</t>
  </si>
  <si>
    <t xml:space="preserve">SEMIREMOLQUE TIPO: PLATAFORMA 40 FT 2 EJES, CON SUSPENSIÓN ALTA HENDRICKSON, EJES FLEET MASTER, 2 PAR DE PATÍN HJ, PISO LAMINADO CON BASE DE MADERA, CON RIEL, 10 MATRACA CORREDIZA, GANCHO HOLLAND, CONCHA LAMINADA A 1.20 M, SIN REDILAS, 1 SISTEMA RETRÁCTIL, 8 RINES DE ACERO,   8 LLANTAS FIRESTONE,  10 PLAFONES DE CARRITO AMBAR LATERALES,   </t>
  </si>
  <si>
    <t xml:space="preserve">SEMIREMOLQUE TIPO: PLATAFORMA 40 FT 2 EJES, CON SUSPENSIÓN HENDRICKSON, EJES FLEET MASTER, 2 PAR DE PATÍN HJ, PISO LAMINADO CON BASE DE MADERA, CON RIEL, 10 MATRACA CORREDIZA, GANCHO HOLLAND, CONCHA LAMINADA A 1.20 M, SIN REDILAS, 1 SISTEMA RETRÁCTIL, 8 RINES DE ACERO,   8 LLANTAS FIRESTONE,  10 PLAFONES DE CARRITO AMBAR LATERALES,   </t>
  </si>
  <si>
    <t>FOL-18-04-24-2</t>
  </si>
  <si>
    <t xml:space="preserve">SEMIREMOLQUE TIPO: PLATAFORMA 40 FT 2 EJES, CON SUSPENSIÓN FLEET MASTER, EJES FLEET MASTER, 2 PAR DE PATÍN HJ, PISO DE PLASTICO NEGRO, CON RIEL, 10 MATRACA CORREDIZA, GANCHO HOLLAND, CONCHA LAMINADA A 1.20 M, SIN REDILAS, 1 SISTEMA RETRÁCTIL, 8 RINES DE ALUMINIO,   8 LLANTAS CHINAS,  0  ,   </t>
  </si>
  <si>
    <t>PD-18-04-24-0</t>
  </si>
  <si>
    <t>PRESUPUESTO DE DOLLY CON 2 EJES FLEET MASTER,  SUSPENSIÓN FLEET MASTER, 1 SISTEMA RETRÁCTIL, 8 RINES DE ALUMINIO,  SIN RINES, 8 LLANTAS CHINAS</t>
  </si>
  <si>
    <t>FOL-20-04-24-2</t>
  </si>
  <si>
    <t xml:space="preserve">SEMIREMOLQUE TIPO: PLATAFORMA 40 FT 2 EJES, CON SUSPENSIÓN HENDRICKSON, EJES FLEET MASTER, 2 PAR DE PATÍN HJ, PISO DE PLASTICO NEGRO, CON RIEL, 10 MATRACA CORREDIZA, GANCHO HOLLAND, CONCHA LAMINADA A 1.20 M, SIN REDILAS, 1 SISTEMA RETRÁCTIL, 8 RINES DE ALUMINIO,   8 LLANTAS CHINAS,  0  ,   </t>
  </si>
  <si>
    <t>PD-20-04-24-0</t>
  </si>
  <si>
    <t>PRESUPUESTO DE DOLLY CON 2 EJES FLEET MASTER,  SUSPENSIÓN HENDRICKSON, 1 SISTEMA RETRÁCTIL, 8 RINES DE ALUMINIO,  SIN RINES, 8 LLANTAS CHINAS</t>
  </si>
  <si>
    <t>PRESUPUESTO DE DOLLY CON 2 EJES FLEET MASTER,  SUSPENSIÓN HENDRICKSON, 1 SISTEMA RETRÁCTIL, 8 RINES DE ALUMINIO,  SIN RINES, 8 LLANTAS AMULET</t>
  </si>
  <si>
    <t>FOL-25-04-24-2</t>
  </si>
  <si>
    <t xml:space="preserve">SEMIREMOLQUE TIPO: PLATAFORMA 40 FT 2 EJES, CON SUSPENSIÓN HENDRICKSON, EJES FLEET MASTER, 2 PAR DE PATÍN HJ, PISO DE PLASTICO NEGRO, CON RIEL, 10 MATRACA CORREDIZA, GANCHO HOLLAND, CONCHA LAMINADA A 1.20 M, SIN REDILAS, 1 SISTEMA RETRÁCTIL, 8 RINES DE ALUMINIO,   8 LLANTAS CHINAS,  0 PATA DE ELEFANTE,   </t>
  </si>
  <si>
    <t xml:space="preserve">SEMIREMOLQUE TIPO: PLATAFORMA 40 FT 2 EJES, CON SUSPENSIÓN HENDRICKSON, EJES FLEET MASTER, 2 PAR DE PATÍN HJ, PISO DE PLASTICO NEGRO, CON RIEL, 10 MATRACA CORREDIZA, GANCHO HOLLAND, CONCHA LAMINADA A 1.20 M, SIN REDILAS, 1 SISTEMA RETRÁCTIL, 8 RINES DE ALUMINIO,   8 LLANTAS CHINAS,  1 PATA DE ELEFANTE,   </t>
  </si>
  <si>
    <t>FOL-26-04-24-2</t>
  </si>
  <si>
    <t xml:space="preserve">SEMIREMOLQUE TIPO: PLATAFORMA 40 FT 3 EJES, CON SUSPENSIÓN HENDRICKSON, EJES FLEET MASTER, 2 PAR DE PATÍN HJ, PISO DE MADERA DE PINO, SIN RIEL,  SIN MATRACAS, SIN GANCHO, SIN FRENTE, SIN REDILAS, 2 SISTEMA RETRÁCTIL,  SIN RINES,    SIN LLANTAS,  0  ,   </t>
  </si>
  <si>
    <t xml:space="preserve">SEMIREMOLQUE TIPO: PLATAFORMA 40 FT 2 EJES, CON SUSPENSIÓN FLEET MASTER, EJES FLEET MASTER, 2 PAR DE PATÍN HJ, PISO DE MADERA DE PINO, CON RIEL, 10 MATRACA CORREDIZA, GANCHO HOLLAND, BURRO LAMINADO A 1.20 M, SIN REDILAS,    ,  SIN RINES,    SIN LLANTAS,  0  ,   </t>
  </si>
  <si>
    <t>PD-26-04-24-0</t>
  </si>
  <si>
    <t>PRESUPUESTO DE DOLLY CON 2 EJES FLEET MASTER,  SUSPENSIÓN FLEET MASTER,  SIN SISTEMA RETRÁCTIL,  SIN RINES,  SIN RINES,  SIN LLANTAS</t>
  </si>
  <si>
    <t>FOL-27-04-24-2</t>
  </si>
  <si>
    <t xml:space="preserve">SEMIREMOLQUE TIPO: PLATAFORMA 40 FT 2 EJES, CON SUSPENSIÓN ALTA HENDRICKSON, EJES FLEET MASTER, 2 PAR DE PATÍN HOLLAND, PISO DE PLASTICO NEGRO, CON RIEL, 10 MATRACA CORREDIZA, GANCHO BESTIA, BURRO LAMINADO A 1.20 M, SIN REDILAS,   SIN SISTEMA RETRÁCTIL, 8 RINES DE ALUMINIO,    SIN LLANTAS,  1 BICiCLETERA, 1 POLINERA  GRANDE,  </t>
  </si>
  <si>
    <t xml:space="preserve">SEMIREMOLQUE TIPO: PLATAFORMA 40 FT 2 EJES, CON SUSPENSIÓN ALTA HENDRICKSON, EJES FLEET MASTER, 2 PAR DE PATÍN HOLLAND, PISO DE PLASTICO NEGRO, CON RIEL, 10 MATRACA CORREDIZA, GANCHO BESTIA, BURRO LAMINADO A 1.20 M, SIN REDILAS,   SIN SISTEMA RETRÁCTIL, 8 RINES DE ALUMINIO,   8 LLANTAS AMULET,  1 BICiCLETERA, 1 POLINERA  GRANDE,  </t>
  </si>
  <si>
    <t xml:space="preserve">SEMIREMOLQUE TIPO: PLATAFORMA 40 FT 2 EJES, CON SUSPENSIÓN ALTA HENDRICKSON, EJES FLEET MASTER, 2 PAR DE PATÍN HOLLAND, PISO DE PLASTICO NEGRO, CON RIEL, 10 MATRACA CORREDIZA, GANCHO BESTIA, BURRO LAMINADO A 1.20 M, SIN REDILAS,   SIN SISTEMA RETRÁCTIL, 8 RINES DE ALUMINIO,   8 LLANTAS VALIANT,  1 BICiCLETERA, 1 POLINERA  GRANDE,  </t>
  </si>
  <si>
    <t xml:space="preserve">SEMIREMOLQUE TIPO: PLATAFORMA 40 FT 2 EJES, CON SUSPENSIÓN ALTA HENDRICKSON, EJES FLEET MASTER, 2 PAR DE PATÍN HOLLAND, PISO DE PLASTICO NEGRO, CON RIEL, 10 MATRACA CORREDIZA, GANCHO BESTIA, BURRO LAMINADO A 1.20 M, SIN REDILAS,   SIN SISTEMA RETRÁCTIL, 8 RINES DE ALUMINIO,   8 LLANTAS CHINAS,  1 BICiCLETERA, 1 POLINERA  GRANDE,  </t>
  </si>
  <si>
    <t xml:space="preserve">SEMIREMOLQUE TIPO: PLATAFORMA 40 FT 2 EJES, CON SUSPENSIÓN ALTA HENDRICKSON, EJES FLEET MASTER, 2 PAR DE PATÍN HOLLAND, PISO DE PLASTICO NEGRO, CON RIEL, 10 MATRACA CORREDIZA, GANCHO BESTIA, BURRO LAMINADO A 1.20 M, SIN REDILAS,   SIN SISTEMA RETRÁCTIL, 8 RINES DE ALUMINIO,   8 LLANTAS FIRESTONE,  1 BICiCLETERA, 1 POLINERA  GRANDE,  </t>
  </si>
  <si>
    <t xml:space="preserve">SEMIREMOLQUE TIPO: PLATAFORMA 40 FT 2 EJES, CON SUSPENSIÓN ALTA HENDRICKSON, EJES FLEET MASTER, 2 PAR DE PATÍN HOLLAND, PISO DE PLASTICO NEGRO, CON RIEL, 10 MATRACA CORREDIZA, GANCHO BESTIA, BURRO LAMINADO A 1.20 M, SIN REDILAS,   SIN SISTEMA RETRÁCTIL, 8 RINES DE ALUMINIO,   8 LLANTAS ROYAL BLACK,  1 BICiCLETERA, 1 POLINERA  GRANDE,  </t>
  </si>
  <si>
    <t xml:space="preserve">SEMIREMOLQUE TIPO: PLATAFORMA 40 FT 2 EJES, CON SUSPENSIÓN ALTA HENDRICKSON, EJES FLEET MASTER, 2 PAR DE PATÍN HOLLAND, PISO DE PLASTICO NEGRO, CON RIEL, 10 MATRACA CORREDIZA, GANCHO BESTIA, BURRO LAMINADO A 1.20 M, SIN REDILAS,   SIN SISTEMA RETRÁCTIL, 8 RINES DE ALUMINIO,   8 LLANTAS BF GOODRICH,  1 BICiCLETERA, 1 POLINERA  GRANDE,  </t>
  </si>
  <si>
    <t>PD-27-04-24-0</t>
  </si>
  <si>
    <t>PRESUPUESTO DE DOLLY CON 2 EJES FLEET MASTER,  SUSPENSIÓN ALTA HENDRICKSON,  SIN SISTEMA RETRÁCTIL, 8 RINES DE ALUMINIO,  SIN RINES, 8 LLANTAS AMULET</t>
  </si>
  <si>
    <t xml:space="preserve">SEMIREMOLQUE TIPO: PLATAFORMA 42 FT 3 EJES, CON SUSPENSIÓN FLEET MASTER, EJES FLEET MASTER, 2 PAR DE PATÍN HJ, PISO DE PLASTICO NEGRO, CON RIEL, 10 MATRACA CORREDIZA, GANCHO BESTIA, SIN FRENTE, SIN REDILAS, 2 SIN SISTEMA RETRÁCTIL,  RINES DE ALUMINIO,    LLANTAS AMULET,  0  ,   </t>
  </si>
  <si>
    <t>FOL-02-05-24-2</t>
  </si>
  <si>
    <t xml:space="preserve">SEMIREMOLQUE TIPO: PLATAFORMA 40 FT 2 EJES, CON SUSPENSIÓN HENDRICKSON, EJES AMPRO, 2 PAR DE PATÍN HOLLAND, PISO LAMINADO CON BASE DE MADERA, CON RIEL, 10 MATRACA CORREDIZA, SIN GANCHO, CONCHA LAMINADA A 1.70 M, SIN REDILAS, 2 SISTEMA RETRÁCTIL, 8 RINES DE ACERO,   8 LLANTAS VALIANT,  2 CANASTILLA, 1 PORTALLANTAS EXTRA, 20 PLAFONES DE CARRITO AMBAR LATERALES, </t>
  </si>
  <si>
    <t>FOL-09-05-24-2</t>
  </si>
  <si>
    <t xml:space="preserve">SEMIREMOLQUE TIPO: PLATAFORMA 42 FT 3 EJES, CON SUSPENSIÓN HENDRICKSON, EJES FLEET MASTER, 1 PAR DE PATÍN HOLLAND, PISO DE PLÁSTICO CAFÉ, CON RIEL, 10 MATRACA CORREDIZA, SIN GANCHO, CONCHA LAMINADA A 1.70 M, REDILAS DE 70 CM, 2 SISTEMA RETRÁCTIL,  SIN RINES,    SIN LLANTAS,  1 BICiCLETERA,   </t>
  </si>
  <si>
    <t xml:space="preserve">SEMIREMOLQUE TIPO: PLATAFORMA 42 FT 3 EJES, CON SUSPENSIÓN HENDRICKSON, EJES FLEET MASTER, 1 PAR DE PATÍN HOLLAND, PISO DE PLÁSTICO CAFÉ, CON RIEL, 10 MATRACA CORREDIZA, SIN GANCHO, CONCHA A 1 M, REDILAS DE 70 CM, 2 SISTEMA RETRÁCTIL,  SIN RINES,    SIN LLANTAS,  1 BICiCLETERA,   </t>
  </si>
  <si>
    <t xml:space="preserve">SEMIREMOLQUE TIPO: PLATAFORMA 42 FT 3 EJES, CON SUSPENSIÓN HENDRICKSON, EJES FLEET MASTER, 1 PAR DE PATÍN HOLLAND, PISO DE PLÁSTICO CAFÉ, CON RIEL, 10 MATRACA CORREDIZA, SIN GANCHO, CONCHA A 1 M, REDILAS DE 70 CM, 2 SISTEMA RETRÁCTIL, 12 RINES DE ACERO,    SIN LLANTAS,  1 BICiCLETERA,   </t>
  </si>
  <si>
    <t xml:space="preserve">SEMIREMOLQUE TIPO: PLATAFORMA 42 FT 3 EJES, CON SUSPENSIÓN HENDRICKSON, EJES FLEET MASTER, 1 PAR DE PATÍN HOLLAND, PISO DE PLÁSTICO CAFÉ, CON RIEL, 10 MATRACA CORREDIZA, SIN GANCHO, CONCHA A 1 M, REDILAS DE 70 CM, 2 SISTEMA RETRÁCTIL, 12 RINES DE ACERO,   12 LLANTAS CHINAS,  1 BICiCLETERA,   </t>
  </si>
  <si>
    <t xml:space="preserve">SEMIREMOLQUE TIPO: PLATAFORMA 42 FT 3 EJES, CON SUSPENSIÓN HENDRICKSON, EJES FLEET MASTER, 1 PAR DE PATÍN HOLLAND, PISO DE PLÁSTICO CAFÉ, CON RIEL, 10 MATRACA CORREDIZA, SIN GANCHO, CONCHA A 1 M, REDILAS DE 70 CM, 2 SISTEMA RETRÁCTIL, 12 RINES DE ACERO,   12 LLANTAS AMULET,  1 BICiCLETERA,   </t>
  </si>
  <si>
    <t xml:space="preserve">SEMIREMOLQUE TIPO: PLATAFORMA 42 FT 3 EJES, CON SUSPENSIÓN FLEET MASTER, EJES FLEET MASTER, 1 PAR DE PATIN AMPRO, PISO DE PLÁSTICO CAFÉ, CON RIEL, 10 MATRACA CORREDIZA, SIN GANCHO, CONCHA A 1 M, REDILAS DE 70 CM, 2 SISTEMA RETRÁCTIL, 12 RINES DE ACERO,   12 LLANTAS AMULET,  1 BICiCLETERA,   </t>
  </si>
  <si>
    <t xml:space="preserve">SEMIREMOLQUE TIPO: PLATAFORMA 42 FT 3 EJES, CON SUSPENSIÓN HENDRICKSON, EJES FLEET MASTER, 2 PAR DE PATÍN HOLLAND, PISO ANTIDERRAPANTE, CON RIEL, 11 MATRACA CORREDIZA, SIN GANCHO, CONCHA A 1.50 M, SIN REDILAS, 1 SISTEMA RETRÁCTIL, 12 RINES DE ACERO,   12 LLANTAS AMULET,  1 BICiCLETERA,   </t>
  </si>
  <si>
    <t>FOL-13-05-24-2</t>
  </si>
  <si>
    <t xml:space="preserve">SEMIREMOLQUE TIPO: PLATAFORMA 42 FT 3 EJES, CON SUSPENSIÓN FLEET MASTER, EJES FLEET MASTER, 2 PAR DE PATÍN HJ, PISO DE PLASTICO NEGRO, CON RIEL, 10 MATRACA CORREDIZA, SIN GANCHO, CONCHA LAMINADA A 1.20 M, SIN REDILAS, 2 SISTEMA RETRÁCTIL,  SIN RINES,    SIN LLANTAS,  0  ,   </t>
  </si>
  <si>
    <t xml:space="preserve">SEMIREMOLQUE TIPO: PLATAFORMA 42 FT 3 EJES, CON SUSPENSIÓN FLEET MASTER, EJES FLEET MASTER, 2 PAR DE PATÍN HJ, PISO DE MADERA DE PINO, CON RIEL, 10 MATRACA CORREDIZA, SIN GANCHO, CONCHA LAMINADA A 1.20 M, SIN REDILAS, 2 SISTEMA RETRÁCTIL,  SIN RINES,    SIN LLANTAS,  0  ,   </t>
  </si>
  <si>
    <t xml:space="preserve">SEMIREMOLQUE TIPO: PLATAFORMA 45 FT 3 EJES, CON SUSPENSIÓN HENDRICKSON, EJES FLEET MASTER, 2 PAR DE PATÍN HJ, PISO DE MADERA DE PINO, CON RIEL, 10 MATRACA CORREDIZA, SIN GANCHO, CONCHA LAMINADA A 1.20 M, SIN REDILAS, 2 SISTEMA RETRÁCTIL,  SIN RINES,    SIN LLANTAS,  0  ,   </t>
  </si>
  <si>
    <t xml:space="preserve">SEMIREMOLQUE TIPO: PLATAFORMA 42 FT 3 EJES, CON SUSPENSIÓN HENDRICKSON, EJES AMPRO, 2 PAR DE PATÍN HOLLAND, PISO DE PLASTICO NEGRO, CON RIEL, 12 MATRACA CORREDIZA, SIN GANCHO, CONCHA LAMINADA A 1.20 M, SIN REDILAS, 2 SISTEMA RETRÁCTIL, 12 RINES DE ACERO,   12 LLANTAS FIRESTONE,  20 PLAFONES DE CARRITO AMBAR LATERALES, 1 BICiCLETERA,  </t>
  </si>
  <si>
    <t xml:space="preserve">SEMIREMOLQUE TIPO: PLATAFORMA 40 FT 2 EJES, CON SUSPENSIÓN HENDRICKSON, EJES AMPRO, 2 PAR DE PATÍN HOLLAND, PISO DE PLASTICO NEGRO, CON RIEL, 10 MATRACA CORREDIZA, GANCHO HOLLAND, SIN FRENTE, SIN REDILAS, 1 SISTEMA RETRÁCTIL, 8 RINES DE ACERO,   8 LLANTAS FIRESTONE,  14 PLAFONES DE CARRITO AMBAR LATERALES, 1 BICiCLETERA,  </t>
  </si>
  <si>
    <t>PD-13-05-24-0</t>
  </si>
  <si>
    <t>PRESUPUESTO DE DOLLY CON 2 EJES AMPRO,  SUSPENSIÓN HENDRICKSON,  SISTEMA RETRÁCTIL, 8 RINES DE ACERO,  SIN RINES, 8 LLANTAS FIRESTONE</t>
  </si>
  <si>
    <t xml:space="preserve">SEMIREMOLQUE TIPO: PLATAFORMA 40 FT 2 EJES, CON SUSPENSIÓN FLEET MASTER, EJES FLEET MASTER, 2 PAR DE PATIN AMPRO, PISO DE PLASTICO NEGRO, CON RIEL, 10 MATRACA CORREDIZA, GANCHO HOLLAND, SIN FRENTE, SIN REDILAS, 1 SISTEMA RETRÁCTIL, 8 RINES DE ACERO,   8 LLANTAS FIRESTONE,  14 PLAFONES DE CARRITO AMBAR LATERALES, 1 BICiCLETERA, 1 REFUERZOS, </t>
  </si>
  <si>
    <t xml:space="preserve">SEMIREMOLQUE TIPO: PLATAFORMA 40 FT 2 EJES, CON SUSPENSIÓN FLEET MASTER, EJES FLEET MASTER, 2 PAR DE PATIN AMPRO, PISO DE PLASTICO NEGRO, CON RIEL, 10 MATRACA CORREDIZA, GANCHO HOLLAND, SIN FRENTE, SIN REDILAS, 1 SISTEMA RETRÁCTIL, 8 RINES DE ACERO,   8 LLANTAS FIRESTONE,  14 PLAFONES DE CARRITO AMBAR LATERALES, 1 BICiCLETERA, 2 REFUERZOS, </t>
  </si>
  <si>
    <t>PRESUPUESTO DE DOLLY CON 2 EJES AMPRO,  SUSPENSIÓN FLEET MASTER,  SISTEMA RETRÁCTIL, 8 RINES DE ACERO,  SIN RINES, 8 LLANTAS FIRESTONE</t>
  </si>
  <si>
    <t>13</t>
  </si>
  <si>
    <t xml:space="preserve">SEMIREMOLQUE TIPO: PLATAFORMA 40 FT 2 EJES, CON SUSPENSIÓN FLEET MASTER, EJES FLEET MASTER, 2 PAR DE PATÍN HJ, PISO LAMINADO CON BASE DE MADERA, CON RIEL, 13 MATRACA CORREDIZA, GANCHO PREMIER, CONCHA LAMINADA A 1.20 M, SIN REDILAS, 1 SISTEMA RETRÁCTIL,  SIN RINES,    SIN LLANTAS,  26 PLAFONES DE CARRITO ROJOS LATERALES, 16 PLAFONES DE CARRITO ROJOS P/ESTRIBO,  </t>
  </si>
  <si>
    <t xml:space="preserve">SEMIREMOLQUE TIPO: PLATAFORMA 40 FT 2 EJES, CON SUSPENSIÓN HENDRICKSON, EJES FLEET MASTER, 2 PAR DE PATÍN HJ, PISO LAMINADO CON BASE DE MADERA, CON RIEL, 13 MATRACA CORREDIZA, GANCHO PREMIER, CONCHA LAMINADA A 1.20 M, SIN REDILAS, 1 SISTEMA RETRÁCTIL,  SIN RINES,    SIN LLANTAS,  26 PLAFONES DE CARRITO ROJOS LATERALES, 16 PLAFONES DE CARRITO ROJOS P/ESTRIBO,  </t>
  </si>
  <si>
    <t>FOL-14-05-24-2</t>
  </si>
  <si>
    <t xml:space="preserve">SEMIREMOLQUE TIPO: PLATAFORMA 40 FT 2 EJES, CON SUSPENSIÓN HENDRICKSON, EJES FLEET MASTER, 2 PAR DE PATÍN HJ, PISO LAMINADO CON BASE DE MADERA, CON RIEL, 13 MATRACA CORREDIZA, GANCHO PREMIER, CONCHA LAMINADA A 1.20 M, SIN REDILAS, 1 SISTEMA RETRÁCTIL,  SIN RINES,    SIN LLANTAS,  0  ,   </t>
  </si>
  <si>
    <t xml:space="preserve">SEMIREMOLQUE TIPO: PLATAFORMA 40 FT 2 EJES, CON SUSPENSIÓN HENDRICKSON, EJES FLEET MASTER, 1 PAR DE PATÍN HOLLAND, PISO DE MADERA DE PINO, CON RIEL, 10 MATRACA CORREDIZA, GANCHO HOLLAND, SIN FRENTE, SIN REDILAS, 1 SISTEMA RETRÁCTIL,  SIN RINES,    SIN LLANTAS,  20 PLAFONES DE CARRITO AMBAR LATERALES,   </t>
  </si>
  <si>
    <t xml:space="preserve">SEMIREMOLQUE TIPO: PLATAFORMA 40 FT 3 EJES, CON SUSPENSIÓN ALTA HENDRICKSON, EJES FLEET MASTER, 2 PAR DE PATÍN HOLLAND, PISO DE MADERA DE PINO, CON RIEL, 10 MATRACA CORREDIZA, SIN GANCHO, SIN FRENTE, SIN REDILAS, 2 SISTEMA RETRÁCTIL,  SIN RINES,    SIN LLANTAS,  20 PLAFONES DE CARRITO AMBAR LATERALES, 1 REFUERZOS,  </t>
  </si>
  <si>
    <t xml:space="preserve">SEMIREMOLQUE TIPO: PLATAFORMA 40 FT 3 EJES, CON SUSPENSIÓN ALTA HENDRICKSON, EJES FLEET MASTER, 2 PAR DE PATÍN HOLLAND, PISO DE MADERA DE PINO, CON RIEL, 10 MATRACA CORREDIZA, SIN GANCHO, SIN FRENTE, SIN REDILAS, 2 SISTEMA RETRÁCTIL, 12 RINES DE ACERO,    SIN LLANTAS,  20 PLAFONES DE CARRITO AMBAR LATERALES, 1 REFUERZOS,  </t>
  </si>
  <si>
    <t>FOL-15-05-24-2</t>
  </si>
  <si>
    <t xml:space="preserve">SEMIREMOLQUE TIPO: PLATAFORMA 40 FT 3 EJES, CON SUSPENSIÓN ALTA HENDRICKSON, EJES FLEET MASTER, 2 PAR DE PATÍN HOLLAND, PISO DE MADERA DE PINO, CON RIEL, 10 MATRACA CORREDIZA, SIN GANCHO, SIN FRENTE, SIN REDILAS, 2 SISTEMA RETRÁCTIL, 12 RINES DE ACERO,    SIN LLANTAS,  20 PLAFONES DE CARRITO AMBAR LATERALES, 1 REFUERZOS, 1 POLINERA  GRANDE, </t>
  </si>
  <si>
    <t xml:space="preserve">SEMIREMOLQUE TIPO: PLATAFORMA 40 FT 3 EJES, CON SUSPENSIÓN ALTA HENDRICKSON, EJES FLEET MASTER, 2 PAR DE PATÍN HOLLAND, PISO DE MADERA DE PINO, CON RIEL, 10 MATRACA CORREDIZA, SIN GANCHO, SIN FRENTE, SIN REDILAS, 2 SISTEMA RETRÁCTIL, 12 RINES DE ACERO,    SIN LLANTAS,  20 PLAFONES DE CARRITO AMBAR LATERALES, 1 REFUERZOS, 1 POLINERA CON PUERTA, </t>
  </si>
  <si>
    <t xml:space="preserve">SEMIREMOLQUE TIPO: PLATAFORMA 40 FT 3 EJES, CON SUSPENSIÓN ALTA HENDRICKSON, EJES FLEET MASTER, 2 PAR DE PATÍN HOLLAND, PISO DE MADERA DE PINO, CON RIEL, 10 MATRACA CORREDIZA, SIN GANCHO, SIN FRENTE, SIN REDILAS, 2 SISTEMA RETRÁCTIL, 12 RINES DE ACERO,    SIN LLANTAS,  20 PLAFONES DE CARRITO AMBAR LATERALES, 1 REFUERZOS, 1 </t>
  </si>
  <si>
    <t>SEMIREMOLQUE TIPO: PLATAFORMA 40 FT 3 EJES, CON SUSPENSIÓN ALTA HENDRICKSON, EJES FLEET MASTER, 2 PAR DE PATÍN HOLLAND, PISO DE MADERA DE PINO, CON RIEL, 10 MATRACA CORREDIZA, SIN GANCHO, SIN FRENTE, SIN REDILAS, 2 SISTEMA RETRÁCTIL, 12 RINES DE ACERO,    SIN LLANTAS,  20 PLAFONES DE CARRITO AMBAR LATERALES, 1 REFUERZOS, 1 POLINERA  GRANDE</t>
  </si>
  <si>
    <t>SEMIREMOLQUE TIPO: PLATAFORMA 40 FT 3 EJES, CON SUSPENSIÓN ALTA HENDRICKSON, EJES FLEET MASTER, 2 PAR DE PATÍN HOLLAND, PISO DE MADERA DE PINO, CON RIEL, 10 MATRACA CORREDIZA, SIN GANCHO, SIN FRENTE, SIN REDILAS, 2 SISTEMA RETRÁCTIL, 12 RINES DE ACERO,    SIN LLANTAS,  20 PLAFONES DE CARRITO AMBAR LATERALES, 1 REFUERZOS, 1 CANASTILLA</t>
  </si>
  <si>
    <t>17</t>
  </si>
  <si>
    <t xml:space="preserve">SEMIREMOLQUE TIPO: PLATAFORMA 40 FT 2 EJES, CON SUSPENSIÓN HENDRICKSON, EJES FLEET MASTER, 2 PAR DE PATÍN HJ, PISO DE MADERA DE PINO, CON RIEL, 17 MATRACA CORREDIZA, GANCHO BESTIA, CONCHA LAMINADA A 1.20 M, SIN REDILAS, 1 SISTEMA RETRÁCTIL,  SIN RINES,    SIN LLANTAS,  1 POLINERA  GRANDE,   </t>
  </si>
  <si>
    <t>PD-15-05-24-0</t>
  </si>
  <si>
    <t>PRESUPUESTO DE DOLLY CON 2 EJES FLEET MASTER,  SUSPENSIÓN HENDRICKSON, 1 SISTEMA RETRÁCTIL,  SIN RINES,  SIN RINES,  SIN LLANTAS</t>
  </si>
  <si>
    <t xml:space="preserve">SEMIREMOLQUE TIPO: PLATAFORMA 40 FT 2 EJES, CON SUSPENSIÓN HENDRICKSON, EJES FLEET MASTER, 2 PAR DE PATÍN HJ, PISO DE MADERA DE PINO, CON RIEL, 17 MATRACA CORREDIZA, GANCHO BESTIA, CONCHA LAMINADA A 1.20 M, SIN REDILAS, 1 SISTEMA RETRÁCTIL,  SIN RINES,    SIN LLANTAS,  1 POLINERA  GRANDE, 10 PLAFONES DE CARRITO AMBAR LATERALES,  </t>
  </si>
  <si>
    <t xml:space="preserve">SEMIREMOLQUE TIPO: PLATAFORMA 40 FT 2 EJES, CON SUSPENSIÓN ALTA HENDRICKSON, EJES FLEET MASTER, 2 PAR DE PATÍN HJ, PISO DE MADERA DE PINO, CON RIEL, 17 MATRACA CORREDIZA, GANCHO BESTIA, CONCHA LAMINADA A 1.20 M, SIN REDILAS, 1 SISTEMA RETRÁCTIL,  SIN RINES,    SIN LLANTAS,  1 POLINERA  GRANDE, 10 PLAFONES DE CARRITO AMBAR LATERALES,  </t>
  </si>
  <si>
    <t xml:space="preserve">SEMIREMOLQUE TIPO: PLATAFORMA 40 FT 2 EJES, CON SUSPENSIÓN ALTA HENDRICKSON, EJES FLEET MASTER, 2 PAR DE PATÍN HJ, PISO DE MADERA DE PINO, CON RIEL, 17 MATRACA CORREDIZA, GANCHO BESTIA, CONCHA LAMINADA A 1.20 M, SIN REDILAS, 1 SISTEMA RETRÁCTIL, 8 RINES DE ACERO,   8 LLANTAS AMULET,  1 POLINERA  GRANDE, 10 PLAFONES DE CARRITO AMBAR LATERALES,  </t>
  </si>
  <si>
    <t xml:space="preserve">SEMIREMOLQUE TIPO: PLATAFORMA 40 FT 2 EJES, CON SUSPENSIÓN ALTA HENDRICKSON, EJES FLEET MASTER, 2 PAR DE PATÍN HJ, PISO DE MADERA DE PINO, CON RIEL, 17 MATRACA CORREDIZA, GANCHO BESTIA, CONCHA LAMINADA A 1.20 M, SIN REDILAS, 1 SISTEMA RETRÁCTIL, 8 RINES DE ALUMINIO,   8 LLANTAS FIRESTONE,  1 POLINERA  GRANDE, 10 PLAFONES DE CARRITO AMBAR LATERALES,  </t>
  </si>
  <si>
    <t xml:space="preserve">SEMIREMOLQUE TIPO: PLATAFORMA 42 FT 3 EJES, CON SUSPENSIÓN FLEET MASTER, EJES FLEET MASTER, 2 PAR DE PATÍN HJ, PISO DE PLASTICO NEGRO, CON RIEL, 12 MATRACA CORREDIZA, SIN GANCHO, CONCHA LAMINADA A 1.20 M, SIN REDILAS, 2 SISTEMA RETRÁCTIL,  SIN RINES,    SIN LLANTAS,  0  ,   </t>
  </si>
  <si>
    <t xml:space="preserve">SEMIREMOLQUE TIPO: PLATAFORMA 42 FT 3 EJES, CON SUSPENSIÓN FLEET MASTER, EJES FLEET MASTER, 2 PAR DE PATÍN HJ, PISO DE PLASTICO NEGRO, CON RIEL, 12 MATRACA CORREDIZA, SIN GANCHO, CONCHA LAMINADA A 1.20 M, SIN REDILAS, 2 SISTEMA RETRÁCTIL,  SIN RINES,    SIN LLANTAS,  2 LODERA DE CENTRO,   </t>
  </si>
  <si>
    <t>FOL-16-05-24-2</t>
  </si>
  <si>
    <t xml:space="preserve">SEMIREMOLQUE TIPO: PLATAFORMA 40 FT 2 EJES, CON SUSPENSIÓN FLEET MASTER, EJES FLEET MASTER, 2 PAR DE PATÍN HJ, PISO DE PLASTICO NEGRO, CON RIEL, 10 MATRACA CORREDIZA, GANCHO HOLLAND, CONCHA LAMINADA A 1.20 M, SIN REDILAS, 1 SISTEMA RETRÁCTIL,  SIN RINES,    SIN LLANTAS,  2 LODERA DE CENTRO,   </t>
  </si>
  <si>
    <t xml:space="preserve">SEMIREMOLQUE TIPO: PLATAFORMA 42 FT 3 EJES, CON SUSPENSIÓN FLEET MASTER, EJES FLEET MASTER, 2 PAR DE PATÍN HJ, PISO DE PLASTICO NEGRO, CON RIEL, 12 MATRACA CORREDIZA, SIN GANCHO, CONCHA LAMINADA A 1.20 M, SIN REDILAS, 2 SISTEMA RETRÁCTIL,  SIN RINES,    SIN LLANTAS,  10 PLAFONES DE CARRITO AMBAR LATERALES, 16 PLAFONES DE CARRITO ROJOS P/ESTRIBO,  </t>
  </si>
  <si>
    <t>PD-16-05-24-0</t>
  </si>
  <si>
    <t>PRESUPUESTO DE DOLLY CON 2 EJES FLEET MASTER,  SUSPENSIÓN FLEET MASTER, 1 SISTEMA RETRÁCTIL, 4 RINES DE ACERO, 4 RINES DE ALUMINIO, 8 LLANTAS FIRESTONE</t>
  </si>
  <si>
    <t>PRESUPUESTO DE DOLLY CON 2 EJES FLEET MASTER,  SUSPENSIÓN FLEET MASTER, 1 SISTEMA RETRÁCTIL, 8 RINES DE ACERO,  SIN RINES, 8 LLANTAS FIRESTONE</t>
  </si>
  <si>
    <t xml:space="preserve">SEMIREMOLQUE TIPO: PLATAFORMA 40 FT 2 EJES, CON SUSPENSIÓN HENDRICKSON, EJES FLEET MASTER, 2 PAR DE PATÍN HJ, PISO DE PLASTICO NEGRO, CON RIEL, 10 MATRACA CORREDIZA, GANCHO HOLLAND, CONCHA LAMINADA A 1.20 M, SIN REDILAS, 1 SISTEMA RETRÁCTIL,  SIN RINES,    SIN LLANTAS,  1 BICiCLETERA,   </t>
  </si>
  <si>
    <t xml:space="preserve">SEMIREMOLQUE TIPO: PLATAFORMA 40 FT 2 EJES, CON SUSPENSIÓN HENDRICKSON, EJES AMPRO, 2 PAR DE PATÍN HJ, PISO DE PLASTICO NEGRO, CON RIEL, 10 MATRACA CORREDIZA, GANCHO HOLLAND, CONCHA LAMINADA A 1.20 M, SIN REDILAS, 1 SISTEMA RETRÁCTIL,  SIN RINES,    SIN LLANTAS,  1 BICiCLETERA,   </t>
  </si>
  <si>
    <t xml:space="preserve">SEMIREMOLQUE TIPO: PLATAFORMA 42 FT 3 EJES, CON SUSPENSIÓN HENDRICKSON, EJES FLEET MASTER, 2 PAR DE PATÍN HJ, PISO DE PLASTICO NEGRO, CON RIEL, 17 MATRACA CORREDIZA, SIN GANCHO, CONCHA LAMINADA A 1.20 M, SIN REDILAS, 2 SISTEMA RETRÁCTIL,  SIN RINES,    SIN LLANTAS,  1 BICiCLETERA, 1 POLINERA  GRANDE,  </t>
  </si>
  <si>
    <t xml:space="preserve">SEMIREMOLQUE TIPO: PLATAFORMA 42 FT 3 EJES, CON SUSPENSIÓN HENDRICKSON, EJES FLEET MASTER, 2 PAR DE PATÍN HJ, PISO DE PLASTICO NEGRO, CON RIEL, 17 MATRACA CORREDIZA, SIN GANCHO, CONCHA LAMINADA A 1.20 M, SIN REDILAS, 2 SISTEMA RETRÁCTIL,  SIN RINES,    SIN LLANTAS,  1 BICiCLETERA, 1 POLINERA  GRANDE, 2 LODERA DE CENTRO, </t>
  </si>
  <si>
    <t xml:space="preserve">SEMIREMOLQUE TIPO: PLATAFORMA 42 FT 3 EJES, CON SUSPENSIÓN HENDRICKSON, EJES FLEET MASTER, 2 PAR DE PATÍN HJ, PISO DE PLASTICO NEGRO, CON RIEL, 17 MATRACA CORREDIZA, SIN GANCHO, CONCHA LAMINADA A 1.20 M, SIN REDILAS, 2 SISTEMA RETRÁCTIL,  SIN RINES,    SIN LLANTAS,  1 BICiCLETERA, 1 POLINERA  GRANDE, 1 LODERA DE CENTRO, </t>
  </si>
  <si>
    <t xml:space="preserve">SEMIREMOLQUE TIPO: PLATAFORMA 42 FT 3 EJES, CON SUSPENSIÓN HENDRICKSON, EJES FLEET MASTER, 2 PAR DE PATÍN HJ, PISO DE PLASTICO NEGRO, CON RIEL, 17 MATRACA CORREDIZA, SIN GANCHO, CONCHA LAMINADA A 1.20 M, SIN REDILAS, 2 SISTEMA RETRÁCTIL, 12 RINES DE ACERO,   12 LLANTAS CHINAS,  1 BICiCLETERA, 1 POLINERA  GRANDE, 1 LODERA DE CENTRO, </t>
  </si>
  <si>
    <t xml:space="preserve">SEMIREMOLQUE TIPO: PLATAFORMA 42 FT 3 EJES, CON SUSPENSIÓN HENDRICKSON, EJES FLEET MASTER, 2 PAR DE PATÍN HJ, PISO DE PLASTICO NEGRO, CON RIEL, 17 MATRACA CORREDIZA, SIN GANCHO, CONCHA LAMINADA A 1.20 M, SIN REDILAS, 2 SISTEMA RETRÁCTIL, 12 RINES DE ACERO,   1212 LLANTAS CHINAS,  1 BICiCLETERA, 1 POLINERA  GRANDE, 1 LODERA DE CENTRO, </t>
  </si>
  <si>
    <t xml:space="preserve">SEMIREMOLQUE TIPO: PLATAFORMA 42 FT 3 EJES, CON SUSPENSIÓN HENDRICKSON, EJES FLEET MASTER, 2 PAR DE PATÍN HJ, PISO DE PLASTICO NEGRO, CON RIEL, 17 MATRACA CORREDIZA, GANCHO PREMIER, CONCHA LAMINADA A 1.20 M, SIN REDILAS, 2 SISTEMA RETRÁCTIL, 12 RINES DE ACERO,   1212 LLANTAS CHINAS,  1 BICiCLETERA, 1 POLINERA  GRANDE, 1 LODERA DE CENTRO, </t>
  </si>
  <si>
    <t xml:space="preserve">SEMIREMOLQUE TIPO: PLATAFORMA 42 FT 3 EJES, CON SUSPENSIÓN HENDRICKSON, EJES FLEET MASTER, 2 PAR DE PATÍN HJ, PISO DE PLASTICO NEGRO, CON RIEL, 17 MATRACA CORREDIZA, GANCHO BESTIA, CONCHA LAMINADA A 1.20 M, SIN REDILAS, 2 SISTEMA RETRÁCTIL, 12 RINES DE ACERO,   1212 LLANTAS CHINAS,  1 BICiCLETERA, 1 POLINERA  GRANDE, 1 LODERA DE CENTRO, </t>
  </si>
  <si>
    <t xml:space="preserve">SEMIREMOLQUE TIPO: PLATAFORMA 42 FT 3 EJES, CON SUSPENSIÓN HENDRICKSON, EJES FLEET MASTER, 2 PAR DE PATÍN HJ, PISO DE PLASTICO NEGRO, CON RIEL, 17 MATRACA CORREDIZA, GANCHO BESTIA, CONCHA LAMINADA A 1.20 M, SIN REDILAS, 2 SISTEMA RETRÁCTIL, 12 RINES DE ACERO,   1212 LLANTAS CHINAS,  1 BICiCLETERA, 16 PLAFONES DE CARRITO ROJOS P/ESTRIBO, 20 PLAFONES DE CARRITO AMBAR LATERALES, </t>
  </si>
  <si>
    <t>SEMIREMOLQUE TIPO: PLATAFORMA 42 FT 3 EJES, CON SUSPENSIÓN FLEET MASTER, EJES FLEET MASTER, 2 PAR DE PATÍN HJ, PISO DE MADERA DE PINO, CON RIEL, 10 MATRACA CORREDIZA, GANCHO HOLLAND, CONCHA LAMINADA A 1.20 M, SIN REDILAS, 2 SISTEMA RETRÁCTIL, 12 RINES DE ACERO,   1212 LLANTAS CHINAS,  1 LODERA DE CENTRO, 20 PLAFONES DE CARRITO AMBAR LATERALES, 1 REFUERZOS, PLAFONES DE CARRITO ROJOS P/ESTRIBO</t>
  </si>
  <si>
    <t>SEMIREMOLQUE TIPO: PLATAFORMA 42 FT 3 EJES, CON SUSPENSIÓN FLEET MASTER, EJES FLEET MASTER, 2 PAR DE PATÍN HJ, PISO DE MADERA DE PINO, CON RIEL, 10 MATRACA CORREDIZA, GANCHO HOLLAND, CONCHA LAMINADA A 1.20 M, SIN REDILAS, 2 SISTEMA RETRÁCTIL,  SIN RINES,    SIN LLANTAS,  1 LODERA DE CENTRO, 20 PLAFONES DE CARRITO AMBAR LATERALES, 1 REFUERZOS, PLAFONES DE CARRITO ROJOS P/ESTRIBO</t>
  </si>
  <si>
    <t>SEMIREMOLQUE TIPO: PLATAFORMA 40 FT 2 EJES, CON SUSPENSIÓN FLEET MASTER, EJES FLEET MASTER, 2 PAR DE PATÍN HJ, PISO DE MADERA DE PINO, CON RIEL, 10 MATRACA CORREDIZA, GANCHO HOLLAND, CONCHA LAMINADA A 1.20 M, SIN REDILAS, 2 SISTEMA RETRÁCTIL,  SIN RINES,    SIN LLANTAS,  1 LODERA DE CENTRO, 20 PLAFONES DE CARRITO AMBAR LATERALES, 1 REFUERZOS, PLAFONES DE CARRITO ROJOS P/ESTRIBO</t>
  </si>
  <si>
    <t>SEMIREMOLQUE TIPO: PLATAFORMA 40 FT 3 EJES, CON SUSPENSIÓN FLEET MASTER, EJES FLEET MASTER, 2 PAR DE PATÍN HJ, PISO DE MADERA DE PINO, CON RIEL, 10 MATRACA CORREDIZA, GANCHO HOLLAND, CONCHA LAMINADA A 1.20 M, SIN REDILAS, 2 SISTEMA RETRÁCTIL,  SIN RINES,    SIN LLANTAS,  1 LODERA DE CENTRO, 20 PLAFONES DE CARRITO AMBAR LATERALES, 1 REFUERZOS, PLAFONES DE CARRITO ROJOS P/ESTRIBO</t>
  </si>
  <si>
    <t>FOL-20-05-24-2</t>
  </si>
  <si>
    <t>SEMIREMOLQUE TIPO: PLATAFORMA 40 FT 2 EJES, CON SUSPENSIÓN HENDRICKSON, EJES FLEET MASTER, 2 PAR DE PATÍN HOLLAND, PISO DE PLASTICO NEGRO, CON RIEL, 10 MATRACA CORREDIZA, GANCHO PREMIER, BURRO LAMINADO A 1.20 M, SIN REDILAS, 1 SISTEMA RETRÁCTIL, 8 RINES DE ALUMINIO,   8 LLANTAS FIRESTONE,  0 LODERA DE CENTRO, 10 PLAFONES DE CARRITO AMBAR LATERALES,  REFUERZOS, PLAFONES DE CARRITO ROJOS P/ESTRIBO</t>
  </si>
  <si>
    <t>PD-20-05-24-0</t>
  </si>
  <si>
    <t>PRESUPUESTO DE DOLLY CON 2 EJES FLEET MASTER,  SUSPENSIÓN HENDRICKSON, 1 SISTEMA RETRÁCTIL, 8 RINES DE ALUMINIO,  SIN RINES, 8 LLANTAS FIRESTONE</t>
  </si>
  <si>
    <t>SEMIREMOLQUE TIPO: PLATAFORMA 40 FT 2 EJES, CON SUSPENSIÓN FLEET MASTER, EJES FLEET MASTER, 2 PAR DE PATÍN HJ, SIN PISO, CON RIEL, 10 MATRACA CORREDIZA, SIN GANCHO, SIN FRENTE, SIN REDILAS, 2 SISTEMA RETRÁCTIL,  SIN RINES,    SIN LLANTAS,  1 LODERA DE CENTRO,  PLAFONES DE CARRITO AMBAR LATERALES,  REFUERZOS, PLAFONES DE CARRITO ROJOS P/ESTRIBO</t>
  </si>
  <si>
    <t>FOL-22-05-24-2</t>
  </si>
  <si>
    <t>SEMIREMOLQUE TIPO: PLATAFORMA 40 FT 2 EJES, CON SUSPENSIÓN FLEET MASTER, EJES FLEET MASTER, 2 PAR DE PATÍN HJ, PISO DE PLÁSTICO CAFÉ, CON RIEL, 10 MATRACA CORREDIZA, GANCHO HOLLAND, CONCHA LAMINADA A 1.20 M, SIN REDILAS, 1 SISTEMA RETRÁCTIL,  SIN RINES,    SIN LLANTAS,  1 LODERA DE CENTRO, 20 PLAFONES DE CARRITO AMBAR LATERALES,  REFUERZOS, PLAFONES DE CARRITO ROJOS P/ESTRIBO</t>
  </si>
  <si>
    <t>PD-22-05-24-0</t>
  </si>
  <si>
    <t>PRESUPUESTO DE DOLLY CON 2 EJES FLEET MASTER,  SUSPENSIÓN FLEET MASTER, 1 SISTEMA RETRÁCTIL,  RINES DE ALUMINIO,  SIN RINES,  LLANTAS FIRESTONE</t>
  </si>
  <si>
    <t>SEMIREMOLQUE TIPO: PLATAFORMA 40 FT 2 EJES, CON SUSPENSIÓN HENDRICKSON, EJES FLEET MASTER, 2 PAR DE PATÍN HJ, PISO DE PLASTICO NEGRO, CON RIEL, 10 MATRACA CORREDIZA, GANCHO HOLLAND, CONCHA LAMINADA A 1.20 M, SIN REDILAS,   SIN SISTEMA RETRÁCTIL, 8 RINES DE ALUMINIO,   8 LLANTAS FIRESTONE,  0 LODERA DE CENTRO,  PLAFONES DE CARRITO AMBAR LATERALES,  REFUERZOS, PLAFONES DE CARRITO ROJOS P/ESTRIBO</t>
  </si>
  <si>
    <t>SEMIREMOLQUE TIPO: PLATAFORMA 40 FT 2 EJES, CON SUSPENSIÓN FLEET MASTER, EJES FLEET MASTER, 2 PAR DE PATÍN HJ, PISO DE PLASTICO NEGRO, CON RIEL, 10 MATRACA CORREDIZA, GANCHO HOLLAND, CONCHA LAMINADA A 1.20 M, SIN REDILAS,   SIN SISTEMA RETRÁCTIL, 8 RINES DE ALUMINIO,   8 LLANTAS FIRESTONE,  0 LODERA DE CENTRO,  PLAFONES DE CARRITO AMBAR LATERALES,  REFUERZOS, PLAFONES DE CARRITO ROJOS P/ESTRIBO</t>
  </si>
  <si>
    <t>SEMIREMOLQUE TIPO: PLATAFORMA 40 FT 2 EJES, CON SUSPENSIÓN HENDRICKSON, EJES FLEET MASTER, 2 PAR DE PATÍN HJ, PISO DE PLASTICO NEGRO, CON RIEL, 10 MATRACA CORREDIZA, GANCHO HOLLAND, CONCHA LAMINADA A 1.20 M, SIN REDILAS,   SIN SISTEMA RETRÁCTIL, 8 RINES DE ALUMINIO,   8 LLANTAS AMULET,  0 LODERA DE CENTRO, 20 PLAFONES DE CARRITO AMBAR LATERALES,  REFUERZOS, PLAFONES DE CARRITO ROJOS P/ESTRIBO</t>
  </si>
  <si>
    <t>FOL-24-05-24-2</t>
  </si>
  <si>
    <t>SEMIREMOLQUE TIPO: PLATAFORMA 40 FT 2 EJES, CON SUSPENSIÓN FLEET MASTER, EJES FLEET MASTER, 2 PAR DE PATÍN HJ, PISO DE MADERA DE PINO, CON RIEL, 10 MATRACA CORREDIZA, GANCHO HOLLAND, CONCHA LAMINADA A 1.20 M, REDILAS DE 80 CM, 1 SISTEMA RETRÁCTIL,  SIN RINES,    SIN LLANTAS,  0 LODERA DE CENTRO,  PLAFONES DE CARRITO AMBAR LATERALES,  REFUERZOS, PLAFONES DE CARRITO ROJOS P/ESTRIBO</t>
  </si>
  <si>
    <t>PD-24-05-24-0</t>
  </si>
  <si>
    <t>FOL-25-05-24-2</t>
  </si>
  <si>
    <t>SEMIREMOLQUE TIPO: PLATAFORMA 40 FT 2 EJES, CON SUSPENSIÓN HENDRICKSON, EJES FLEET MASTER, 2 PAR DE PATÍN HJ, PISO DE PLASTICO NEGRO, CON RIEL, 10 MATRACA CORREDIZA, GANCHO HOLLAND, BURRO LAMINADO A 1.20 M, SIN REDILAS,   SIN SISTEMA RETRÁCTIL,  SIN RINES,    SIN LLANTAS,  1 LODERA DE CENTRO,  PLAFONES DE CARRITO AMBAR LATERALES,  REFUERZOS, PLAFONES DE CARRITO ROJOS P/ESTRIBO</t>
  </si>
  <si>
    <t>FOL-27-05-24-2</t>
  </si>
  <si>
    <t>SEMIREMOLQUE TIPO: PLATAFORMA 40 FT 2 EJES, CON SUSPENSIÓN FLEET MASTER, EJES FLEET MASTER, 2 PAR DE PATÍN HJ, PISO DE PLÁSTICO CAFÉ, CON RIEL, 10 MATRACA CORREDIZA, GANCHO HOLLAND, SIN FRENTE, SIN REDILAS, 1 SIN SISTEMA RETRÁCTIL,  SIN RINES,    SIN LLANTAS,  0 LODERA DE CENTRO,  PLAFONES DE CARRITO AMBAR LATERALES, 1 PORTALLANTAS EXTRA, PLAFONES DE CARRITO ROJOS P/ESTRIBO</t>
  </si>
  <si>
    <t>SEMIREMOLQUE TIPO: PLATAFORMA 40 FT 2 EJES, CON SUSPENSIÓN FLEET MASTER, EJES FLEET MASTER, 2 PAR DE PATÍN HJ, PISO DE PLÁSTICO CAFÉ, CON RIEL, 10 MATRACA CORREDIZA, GANCHO HOLLAND, SIN FRENTE, SIN REDILAS, 1 SISTEMA RETRÁCTIL,  SIN RINES,    SIN LLANTAS,  0 LODERA DE CENTRO,  PLAFONES DE CARRITO AMBAR LATERALES, 1 PORTALLANTAS EXTRA, PLAFONES DE CARRITO ROJOS P/ESTRIBO</t>
  </si>
  <si>
    <t>SEMIREMOLQUE TIPO: PLATAFORMA 40 FT 2 EJES, CON SUSPENSIÓN FLEET MASTER, EJES FLEET MASTER, 2 PAR DE PATÍN HJ, PISO DE PLÁSTICO CAFÉ, CON RIEL, 10 MATRACA CORREDIZA, GANCHO HOLLAND, SIN FRENTE, SIN REDILAS, 1 SISTEMA RETRÁCTIL,  SIN RINES,    SIN LLANTAS,  0 LODERA DE CENTRO,  1 PORTALLANTAS EXTRA, PLAFONES DE CARRITO ROJOS P/ESTRIBO</t>
  </si>
  <si>
    <t>SEMIREMOLQUE TIPO: PLATAFORMA 45 FT 3 EJES, CON SUSPENSIÓN FLEET MASTER, EJES FLEET MASTER, 1 PAR DE PATÍN HJ, PISO DE PLASTICO NEGRO, SIN RIEL,  SIN MATRACAS, SIN GANCHO, SIN FRENTE, SIN REDILAS, 1 SISTEMA RETRÁCTIL,  SIN RINES,    SIN LLANTAS,  0 LODERA DE CENTRO,  PLAFONES DE CARRITO AMBAR LATERALES,  PORTALLANTAS EXTRA, PLAFONES DE CARRITO ROJOS P/ESTRIBO</t>
  </si>
  <si>
    <t>FOL-28-05-24-2</t>
  </si>
  <si>
    <t>SEMIREMOLQUE TIPO: PLATAFORMA 45 FT 3 EJES, CON SUSPENSIÓN FLEET MASTER, EJES FLEET MASTER, 1 PAR DE PATÍN HJ, PISO DE PLASTICO NEGRO, SIN RIEL,  SIN MATRACAS, SIN GANCHO, SIN FRENTE, SIN REDILAS, 1 SISTEMA RETRÁCTIL, 4 RINES DE ACERO, 4 RINES DE ALUMINIO, 8 LLANTAS AMULET,  0 LODERA DE CENTRO,  PLAFONES DE CARRITO AMBAR LATERALES,  PORTALLANTAS EXTRA, PLAFONES DE CARRITO ROJOS P/ESTRIBO</t>
  </si>
  <si>
    <t>PD-28-05-24-0</t>
  </si>
  <si>
    <t>SEMIREMOLQUE TIPO: PLATAFORMA 45 FT 3 EJES, CON SUSPENSIÓN FLEET MASTER, EJES FLEET MASTER, 1 PAR DE PATÍN HJ, PISO DE MADERA DE PINO, SIN RIEL,  SIN MATRACAS, SIN GANCHO, SIN FRENTE, SIN REDILAS, 1 SISTEMA RETRÁCTIL, 12 RINES DE ACERO,   12 LLANTAS AMULET,  0 LODERA DE CENTRO,  PLAFONES DE CARRITO AMBAR LATERALES,  PORTALLANTAS EXTRA, PLAFONES DE CARRITO ROJOS P/ESTRIBO</t>
  </si>
  <si>
    <t>SEMIREMOLQUE TIPO: PLATAFORMA 45 FT 3 EJES, CON SUSPENSIÓN FLEET MASTER, EJES FLEET MASTER, 1 PAR DE PATÍN HJ, PISO DE MADERA DE PINO, SIN RIEL,  SIN MATRACAS, SIN GANCHO, SIN FRENTE, SIN REDILAS, 1 SISTEMA RETRÁCTIL,  SIN RINES,    SIN LLANTAS,  0 LODERA DE CENTRO,  PLAFONES DE CARRITO AMBAR LATERALES,  PORTALLANTAS EXTRA, PLAFONES DE CARRITO ROJOS P/ESTRIBO</t>
  </si>
  <si>
    <t>SEMIREMOLQUE TIPO: PLATAFORMA 45 FT 3 EJES, CON SUSPENSIÓN FLEET MASTER, EJES FLEET MASTER, 1 PAR DE PATÍN HJ, PISO DE MADERA DE PINO, SIN RIEL,  SIN MATRACAS, SIN GANCHO, SIN FRENTE, SIN REDILAS, 1 SISTEMA RETRÁCTIL, 1 RINES DE ALUMINIO,    SIN LLANTAS,  0 LODERA DE CENTRO,  PLAFONES DE CARRITO AMBAR LATERALES,  PORTALLANTAS EXTRA, PLAFONES DE CARRITO ROJOS P/ESTRIBO</t>
  </si>
  <si>
    <t>SEMIREMOLQUE TIPO: PLATAFORMA 40 FT 2 EJES, CON SUSPENSIÓN FLEET MASTER, EJES FLEET MASTER, 2 PAR DE PATÍN HJ, PISO DE MADERA DE PINO, CON RIEL, 10 SIN MATRACAS, GANCHO HOLLAND, CONCHA LAMINADA A 1.20 M, SIN REDILAS, 1 SISTEMA RETRÁCTIL, 1 SIN RINES,    SIN LLANTAS,  1 LODERA DE CENTRO,  PLAFONES DE CARRITO AMBAR LATERALES, 1 POLINERA  GRANDE, PLAFONES DE CARRITO ROJOS P/ESTRIBO</t>
  </si>
  <si>
    <t>FOL-29-05-24-2</t>
  </si>
  <si>
    <t>SEMIREMOLQUE TIPO: PLATAFORMA 45 FT 3 EJES, CON SUSPENSIÓN ALTA HENDRICKSON, EJES FLEET MASTER, 2 PAR DE PATÍN HJ, PISO DE MADERA DE PINO, SIN RIEL,  SIN MATRACAS, SIN GANCHO, SIN FRENTE, SIN REDILAS, 1 SISTEMA RETRÁCTIL, 1 SIN RINES,    SIN LLANTAS,  0 LODERA DE CENTRO,  PLAFONES DE CARRITO AMBAR LATERALES,  POLINERA  GRANDE, PLAFONES DE CARRITO ROJOS P/ESTRIBO</t>
  </si>
  <si>
    <t>SEMIREMOLQUE TIPO: PLATAFORMA 45 FT 3 EJES, CON SUSPENSIÓN ALTA HENDRICKSON, EJES FLEET MASTER, 2 PAR DE PATÍN HJ, PISO DE MADERA DE PINO, SIN RIEL,  SIN MATRACAS, SIN GANCHO, SIN FRENTE, SIN REDILAS, 1 SISTEMA RETRÁCTIL, 12 RINES DE ACERO,   12 LLANTAS AMULET,  0 LODERA DE CENTRO,  PLAFONES DE CARRITO AMBAR LATERALES,  POLINERA  GRANDE, PLAFONES DE CARRITO ROJOS P/ESTRIBO</t>
  </si>
  <si>
    <t>FOL-30-05-24-2</t>
  </si>
  <si>
    <t>SEMIREMOLQUE TIPO: PLATAFORMA 40 FT 2 EJES, CON SUSPENSIÓN AMPRO, EJES AMPRO, 2 PAR DE PATÍN HJ, PISO DE PLÁSTICO CAFÉ, CON RIEL, 10 MATRACA CORREDIZA, GANCHO HOLLAND, CONCHA LAMINADA A 1.20 M, SIN REDILAS, 1 SISTEMA RETRÁCTIL, 4 RINES DE ACERO, 4 RINES DE ALUMINIO, 8 LLANTAS CEREX,  0 LODERA DE CENTRO,  PLAFONES DE CARRITO AMBAR LATERALES,  POLINERA  GRANDE, PLAFONES DE CARRITO ROJOS P/ESTRIBO</t>
  </si>
  <si>
    <t>SEMIREMOLQUE TIPO: PLATAFORMA 40 FT 2 EJES, CON SUSPENSIÓN AMPRO, EJES AMPRO, 2 PAR DE PATÍN HJ, PISO DE PLÁSTICO CAFÉ, CON RIEL, 10 MATRACA CORREDIZA, GANCHO HOLLAND, CONCHA LAMINADA A 1.20 M, SIN REDILAS, 1 SISTEMA RETRÁCTIL, 4 RINES DE ACERO, 4 RINES DE ALUMINIO, 8 LLANTAS CEREX, LLANTAS AMULET, 0 LODERA DE CENTRO,  PLAFONES DE CARRITO AMBAR LATERALES,  POLINERA  GRANDE, PLAFONES DE CARRITO ROJOS P/ESTRIBO</t>
  </si>
  <si>
    <t>SEMIREMOLQUE TIPO: PLATAFORMA 40 FT 2 EJES, CON SUSPENSIÓN AMPRO, EJES AMPRO, 2 PAR DE PATÍN HJ, PISO DE PLÁSTICO CAFÉ, CON RIEL, 10 MATRACA CORREDIZA, GANCHO HOLLAND, CONCHA LAMINADA A 1.20 M, SIN REDILAS, 1 SISTEMA RETRÁCTIL, 4 RINES DE ACERO, 4 RINES DE ALUMINIO, 8 LLANTAS CEREX, LLANTAS VALIANT, 0 LODERA DE CENTRO,  PLAFONES DE CARRITO AMBAR LATERALES,  POLINERA  GRANDE, PLAFONES DE CARRITO ROJOS P/ESTRIBO</t>
  </si>
  <si>
    <t>SEMIREMOLQUE TIPO: PLATAFORMA 45 FT 3 EJES, CON SUSPENSIÓN FLEET MASTER, EJES FLEET MASTER, 2 PAR DE PATÍN HJ, PISO DE PLÁSTICO CAFÉ, CON RIEL, 10 MATRACA CORREDIZA, SIN GANCHO, CONCHA LAMINADA A 1.20 M, SIN REDILAS,   SIN SISTEMA RETRÁCTIL,  SIN RINES,    SIN LLANTAS,  0 LODERA DE CENTRO,  PLAFONES DE CARRITO AMBAR LATERALES,  POLINERA  GRANDE, PLAFONES DE CARRITO ROJOS P/ESTRIBO</t>
  </si>
  <si>
    <t>SEMIREMOLQUE TIPO: PLATAFORMA 45 FT 3 EJES, CON SUSPENSIÓN FLEET MASTER, EJES FLEET MASTER, 2 PAR DE PATÍN HJ, PISO DE PLASTICO NEGRO, CON RIEL, 10 MATRACA CORREDIZA, SIN GANCHO, CONCHA LAMINADA A 1.20 M, SIN REDILAS, 2 SISTEMA RETRÁCTIL,  SIN RINES,    SIN LLANTAS,  0 LODERA DE CENTRO,  PLAFONES DE CARRITO AMBAR LATERALES,  POLINERA  GRANDE, PLAFONES DE CARRITO ROJOS P/ESTRIBO</t>
  </si>
  <si>
    <t>SEMIREMOLQUE TIPO: PLATAFORMA 45 FT 3 EJES, CON SUSPENSIÓN FLEET MASTER, EJES FLEET MASTER, 2 PAR DE PATÍN HJ, PISO DE PLASTICO NEGRO, CON RIEL, 10 MATRACA CORREDIZA, SIN GANCHO, CONCHA LAMINADA A 1.20 M, SIN REDILAS, 2 SISTEMA RETRÁCTIL,  SIN RINES,    SIN LLANTAS,  1 LODERA DE CENTRO,  PLAFONES DE CARRITO AMBAR LATERALES,  POLINERA  GRANDE, PLAFONES DE CARRITO ROJOS P/ESTRIBO</t>
  </si>
  <si>
    <t>FOL-31-05-24-2</t>
  </si>
  <si>
    <t>SEMIREMOLQUE TIPO: PLATAFORMA 40 FT 2 EJES, CON SUSPENSIÓN FLEET MASTER, EJES FLEET MASTER, 2 PAR DE PATÍN HJ, PISO DE PLASTICO NEGRO, CON RIEL, 10 MATRACA CORREDIZA, GANCHO HOLLAND, CONCHA LAMINADA A 1.20 M, SIN REDILAS, 1 SISTEMA RETRÁCTIL,  SIN RINES,    SIN LLANTAS,  1 LODERA DE CENTRO,  PLAFONES DE CARRITO AMBAR LATERALES,  POLINERA  GRANDE, PLAFONES DE CARRITO ROJOS P/ESTRIBO</t>
  </si>
  <si>
    <t>FOL-03-06-24-2</t>
  </si>
  <si>
    <t>SEMIREMOLQUE TIPO: PLATAFORMA 40 FT 2 EJES, CON SUSPENSIÓN FLEET MASTER, EJES FLEET MASTER, 2 PAR DE PATÍN HJ, PISO DE PLASTICO NEGRO, CON RIEL, 10 MATRACA CORREDIZA, GANCHO BESTIA, CONCHA LAMINADA A 1.20 M, SIN REDILAS, 1 SISTEMA RETRÁCTIL,  SIN RINES,    SIN LLANTAS,  1 LODERA DE CENTRO,  PLAFONES DE CARRITO AMBAR LATERALES,  POLINERA  GRANDE, PLAFONES DE CARRITO ROJOS P/ESTRIBO</t>
  </si>
  <si>
    <t>SEMIREMOLQUE TIPO: PLATAFORMA 40 FT 2 EJES, CON SUSPENSIÓN FLEET MASTER, EJES FLEET MASTER, 2 PAR DE PATÍN HJ, PISO DE PLÁSTICO CAFÉ, CON RIEL, 10 MATRACA CORREDIZA, GANCHO HOLLAND, CONCHA LAMINADA A 1.20 M, SIN REDILAS, 1 SISTEMA RETRÁCTIL,  SIN RINES,    SIN LLANTAS,  1 LODERA DE CENTRO,  PLAFONES DE CARRITO AMBAR LATERALES,  POLINERA  GRANDE, PLAFONES DE CARRITO ROJOS P/ESTRIBO</t>
  </si>
  <si>
    <t>PD-03-06-24-0</t>
  </si>
  <si>
    <t>SEMIREMOLQUE TIPO: PLATAFORMA 45 FT 3 EJES, CON SUSPENSIÓN FLEET MASTER, EJES FLEET MASTER, 2 PAR DE PATÍN HJ, PISO DE PLASTICO NEGRO, CON RIEL, 12 MATRACA CORREDIZA, SIN GANCHO, CONCHA LAMINADA A 1.20 M, SIN REDILAS, 2 SISTEMA RETRÁCTIL,  SIN RINES,    SIN LLANTAS,  1 LODERA DE CENTRO,  PLAFONES DE CARRITO AMBAR LATERALES,  POLINERA  GRANDE, PLAFONES DE CARRITO ROJOS P/ESTRIBO</t>
  </si>
  <si>
    <t>SEMIREMOLQUE TIPO: PLATAFORMA 45 FT 3 EJES, CON SUSPENSIÓN FLEET MASTER, EJES FLEET MASTER, 2 PAR DE PATÍN HJ, PISO DE PLÁSTICO CAFÉ, CON RIEL, 12 MATRACA CORREDIZA, SIN GANCHO, CONCHA LAMINADA A 1.20 M, SIN REDILAS, 2 SISTEMA RETRÁCTIL,  SIN RINES,    SIN LLANTAS,  1 LODERA DE CENTRO,  PLAFONES DE CARRITO AMBAR LATERALES,  POLINERA  GRANDE, PLAFONES DE CARRITO ROJOS P/ESTRIBO</t>
  </si>
  <si>
    <t>SEMIREMOLQUE TIPO: PLATAFORMA 45 FT 3 EJES, CON SUSPENSIÓN FLEET MASTER, EJES FLEET MASTER, 2 PAR DE PATÍN HJ, SIN PISO, CON RIEL, 12 MATRACA CORREDIZA, SIN GANCHO, CONCHA LAMINADA A 1.20 M, SIN REDILAS, 2 SISTEMA RETRÁCTIL,  SIN RINES,    SIN LLANTAS,  1 LODERA DE CENTRO,  PLAFONES DE CARRITO AMBAR LATERALES,  POLINERA  GRANDE, PLAFONES DE CARRITO ROJOS P/ESTRIBO</t>
  </si>
  <si>
    <t>SEMIREMOLQUE TIPO: PLATAFORMA 40 FT 2 EJES, CON SUSPENSIÓN ALTA HENDRICKSON, EJES FLEET MASTER, 2 PAR DE PATÍN HJ, PISO DE MADERA DE PINO, CON RIEL, 10 MATRACA CORREDIZA, GANCHO HOLLAND, SIN FRENTE, SIN REDILAS, 1 SISTEMA RETRÁCTIL,  SIN RINES,    SIN LLANTAS,  0 LODERA DE CENTRO,  PLAFONES DE CARRITO AMBAR LATERALES,  POLINERA  GRANDE, PLAFONES DE CARRITO ROJOS P/ESTRIBO</t>
  </si>
  <si>
    <t>SEMIREMOLQUE TIPO: PLATAFORMA 40 FT 2 EJES, CON SUSPENSIÓN ALTA HENDRICKSON, EJES FLEET MASTER, 2 PAR DE PATÍN HJ, PISO DE MADERA DE PINO, CON RIEL, 10 MATRACA CORREDIZA, GANCHO HOLLAND, SIN FRENTE, SIN REDILAS, 1 SISTEMA RETRÁCTIL,  SIN RINES,    SIN LLANTAS,  0 LODERA DE CENTRO,  PLAFONES DE CARRITO AMBAR LATERALES,  CANASTILLA, PLAFONES DE CARRITO ROJOS P/ESTRIBO</t>
  </si>
  <si>
    <t>SEMIREMOLQUE TIPO: PLATAFORMA 40 FT 2 EJES, CON SUSPENSIÓN ALTA HENDRICKSON, EJES FLEET MASTER, 2 PAR DE PATÍN HJ, PISO DE MADERA DE PINO, CON RIEL, 10 MATRACA CORREDIZA, GANCHO HOLLAND, SIN FRENTE, SIN REDILAS, 1 SISTEMA RETRÁCTIL,  SIN RINES,    SIN LLANTAS,  0 LODERA DE CENTRO,  PLAFONES DE CARRITO AMBAR LATERALES, 1 CANASTILLA, PLAFONES DE CARRITO ROJOS P/ESTRIBO</t>
  </si>
  <si>
    <t>SEMIREMOLQUE TIPO: PLATAFORMA 40 FT 2 EJES, CON SUSPENSIÓN ALTA HENDRICKSON, EJES FLEET MASTER, 2 PAR DE PATÍN HJ, PISO DE MADERA DE PINO, CON RIEL, 10 MATRACA CORREDIZA, GANCHO HOLLAND, SIN FRENTE, SIN REDILAS, 1 SISTEMA RETRÁCTIL,  SIN RINES,    SIN LLANTAS,  1 POLINERA  GRANDE,  PLAFONES DE CARRITO AMBAR LATERALES,  CANASTILLA, PLAFONES DE CARRITO ROJOS P/ESTRIBO</t>
  </si>
  <si>
    <t>SEMIREMOLQUE TIPO: PLATAFORMA 40 FT 2 EJES, CON SUSPENSIÓN HENDRICKSON, EJES FLEET MASTER, 2 PAR DE PATÍN HJ, PISO DE MADERA DE PINO, CON RIEL, 10 MATRACA CORREDIZA, GANCHO HOLLAND, SIN FRENTE, SIN REDILAS, 1 SISTEMA RETRÁCTIL,  SIN RINES,    SIN LLANTAS,  1 POLINERA  GRANDE,  PLAFONES DE CARRITO AMBAR LATERALES,  CANASTILLA, PLAFONES DE CARRITO ROJOS P/ESTRIBO</t>
  </si>
  <si>
    <t>SEMIREMOLQUE TIPO: PLATAFORMA 40 FT 2 EJES, CON SUSPENSIÓN FLEET MASTER, EJES FLEET MASTER, 2 PAR DE PATÍN HJ, PISO DE PLÁSTICO CAFÉ, CON RIEL, 10 MATRACA CORREDIZA, GANCHO HOLLAND, CONCHA LAMINADA A 1.20 M, SIN REDILAS, 1 SISTEMA RETRÁCTIL,  SIN RINES,    SIN LLANTAS,  1 LODERA DE CENTRO,  PLAFONES DE CARRITO AMBAR LATERALES,  CANASTILLA, PLAFONES DE CARRITO ROJOS P/ESTRIBO</t>
  </si>
  <si>
    <t>FOL-04-06-24-2</t>
  </si>
  <si>
    <t>SEMIREMOLQUE TIPO: PLATAFORMA 40 FT 2 EJES, CON SUSPENSIÓN HENDRICKSON, EJES AMPRO, 2 PAR DE PATÍN HJ, PISO LAMINADO CON BASE DE MADERA, SIN RIEL,  SIN MATRACAS, GANCHO HOLLAND, BURRO LAMINADO A 1.20 M, SIN REDILAS,   SIN SISTEMA RETRÁCTIL,  SIN RINES,    SIN LLANTAS,  1 LODERA DE CENTRO,  PLAFONES DE CARRITO AMBAR LATERALES, 1 PORTALLANTAS EXTRA, PLAFONES DE CARRITO ROJOS P/ESTRIBO</t>
  </si>
  <si>
    <t>SEMIREMOLQUE TIPO: PLATAFORMA 40 FT 2 EJES, CON SUSPENSIÓN HENDRICKSON, EJES AMPRO, 2 PAR DE PATÍN HJ, PISO LAMINADO CON BASE DE MADERA, SIN RIEL,  SIN MATRACAS, GANCHO HOLLAND, BURRO LAMINADO A 1.20 M, SIN REDILAS,   SIN SISTEMA RETRÁCTIL,  SIN RINES,    SIN LLANTAS,  0 LODERA DE CENTRO,  PLAFONES DE CARRITO AMBAR LATERALES,  PORTALLANTAS EXTRA, PLAFONES DE CARRITO ROJOS P/ESTRIBO</t>
  </si>
  <si>
    <t>SEMIREMOLQUE TIPO: PLATAFORMA 40 FT 2 EJES, CON SUSPENSIÓN HENDRICKSON, EJES FLEET MASTER, 2 PAR DE PATÍN HJ, PISO DE PLASTICO NEGRO, CON RIEL, 10 MATRACA CORREDIZA, GANCHO PREMIER, BURRO LAMINADO A 1.20 M, SIN REDILAS, 1 SISTEMA RETRÁCTIL, 8 RINES DE ALUMINIO,   8 LLANTAS FIRESTONE,  12 CANDADOS, 10 PLAFONES DE CARRITO AMBAR LATERALES,  PORTALLANTAS EXTRA, PLAFONES DE CARRITO ROJOS P/ESTRIBO</t>
  </si>
  <si>
    <t>15</t>
  </si>
  <si>
    <t>FOL-05-06-24-2</t>
  </si>
  <si>
    <t>SEMIREMOLQUE TIPO: PLATAFORMA 45 FT 3 EJES, CON SUSPENSIÓN HENDRICKSON, EJES FLEET MASTER, 2 PAR DE PATÍN HJ, PISO DE MADERA DE ENCINO, CON RIEL, 15 MATRACA CORREDIZA, SIN GANCHO, CONCHA LAMINADA A 1.20 M, SIN REDILAS, 2 SISTEMA RETRÁCTIL, 6 RINES DE ALUMINIO,   812 LLANTAS FIRESTONE,  1 LODERA DE CENTRO,  PLAFONES DE CARRITO AMBAR LATERALES,  PORTALLANTAS EXTRA, PLAFONES DE CARRITO ROJOS P/ESTRIBO</t>
  </si>
  <si>
    <t>SEMIREMOLQUE TIPO: PLATAFORMA 40 FT 2 EJES, CON SUSPENSIÓN HENDRICKSON, EJES FLEET MASTER, 2 PAR DE PATÍN HJ, PISO DE PLÁSTICO CAFÉ, CON RIEL, 10 MATRACA CORREDIZA, GANCHO HOLLAND, CONCHA LAMINADA A 1.20 M, SIN REDILAS, 1 SISTEMA RETRÁCTIL,  SIN RINES,    SIN LLANTAS,  0 LODERA DE CENTRO,  PLAFONES DE CARRITO AMBAR LATERALES,  PORTALLANTAS EXTRA, PLAFONES DE CARRITO ROJOS P/ESTRIBO</t>
  </si>
  <si>
    <t>PD-05-06-24-0</t>
  </si>
  <si>
    <t>FOL-06-06-24-2</t>
  </si>
  <si>
    <t>SEMIREMOLQUE TIPO: PLATAFORMA 40 FT 2 EJES, CON SUSPENSIÓN HENDRICKSON, EJES FLEET MASTER, 2 PAR DE PATÍN HOLLAND, PISO DE PLASTICO NEGRO, CON RIEL, 10 MATRACA CORREDIZA, GANCHO PREMIER, CONCHA A 1.50 M, SIN REDILAS,   SIN SISTEMA RETRÁCTIL, 8 RINES DE ALUMINIO,   8 LLANTAS FIRESTONE,  2 CAJA DE HRRTAS GRANDE 1.10 CM,  PLAFONES DE CARRITO AMBAR LATERALES,  PORTALLANTAS EXTRA, PLAFONES DE CARRITO ROJOS P/ESTRIBO</t>
  </si>
  <si>
    <t>SEMIREMOLQUE TIPO: PLATAFORMA 40 FT 2 EJES, CON SUSPENSIÓN HENDRICKSON, EJES FLEET MASTER, 2 PAR DE PATÍN HOLLAND, PISO DE PLASTICO NEGRO, CON RIEL, 10 MATRACA CORREDIZA, GANCHO PREMIER, CONCHA A 1.50 M, SIN REDILAS,   SIN SISTEMA RETRÁCTIL, 8 RINES DE ALUMINIO,   8 LLANTAS FIRESTONE,  1 POLINERA ATRAVESADA,  PLAFONES DE CARRITO AMBAR LATERALES,  PORTALLANTAS EXTRA, CAJA DE HRRTAS GRANDE 1.10 CM</t>
  </si>
  <si>
    <t>SEMIREMOLQUE TIPO: PLATAFORMA 40 FT 2 EJES, CON SUSPENSIÓN HENDRICKSON, EJES FLEET MASTER, 2 PAR DE PATÍN HOLLAND, PISO DE PLASTICO NEGRO, CON RIEL, 10 MATRACA CORREDIZA, GANCHO PREMIER, CONCHA A 1.50 M, SIN REDILAS,   SIN SISTEMA RETRÁCTIL, 8 RINES DE ALUMINIO,   8 LLANTAS FIRESTONE,  1 POLINERA CON BICICLETERA,  PLAFONES DE CARRITO AMBAR LATERALES,  PORTALLANTAS EXTRA, CAJA DE HRRTAS GRANDE 1.10 CM</t>
  </si>
  <si>
    <t>SEMIREMOLQUE TIPO: PLATAFORMA 40 FT 2 EJES, CON SUSPENSIÓN HENDRICKSON, EJES FLEET MASTER, 2 PAR DE PATÍN HOLLAND, PISO DE PLASTICO NEGRO, CON RIEL, 10 MATRACA CORREDIZA, GANCHO PREMIER, CONCHA A 1.50 M, SIN REDILAS,   SIN SISTEMA RETRÁCTIL, 8 RINES DE ALUMINIO,   8 LLANTAS FIRESTONE,  1 POLINERA  GRANDE,  PLAFONES DE CARRITO AMBAR LATERALES,  PORTALLANTAS EXTRA, CAJA DE HRRTAS GRANDE 1.10 CM</t>
  </si>
  <si>
    <t>SEMIREMOLQUE TIPO: PLATAFORMA 40 FT 2 EJES, CON SUSPENSIÓN HENDRICKSON, EJES FLEET MASTER, 2 PAR DE PATÍN HOLLAND, PISO DE PLASTICO NEGRO, CON RIEL, 10 MATRACA CORREDIZA, GANCHO PREMIER, CONCHA A 1.50 M, SIN REDILAS,   SIN SISTEMA RETRÁCTIL, 8 RINES DE ALUMINIO,   8 LLANTAS FIRESTONE,  0  ,  PLAFONES DE CARRITO AMBAR LATERALES,  PORTALLANTAS EXTRA, CAJA DE HRRTAS GRANDE 1.10 CM</t>
  </si>
  <si>
    <t>FOL-07-06-24-2</t>
  </si>
  <si>
    <t>SEMIREMOLQUE TIPO: PLATAFORMA 45 FT 3 EJES, CON SUSPENSIÓN HENDRICKSON, EJES FLEET MASTER, 2 PAR DE PATÍN HJ, PISO DE MADERA DE ENCINO, CON RIEL, 15 MATRACA CORREDIZA,  , CONCHA LAMINADA A 1.20 M, SIN REDILAS, 2 SISTEMA RETRÁCTIL,  SIN RINES,    SIN LLANTAS,  1 LODERA DE CENTRO,  PLAFONES DE CARRITO AMBAR LATERALES,  PORTALLANTAS EXTRA, CAJA DE HRRTAS GRANDE 1.10 CM</t>
  </si>
  <si>
    <t>SEMIREMOLQUE TIPO: PLATAFORMA 45 FT 3 EJES, CON SUSPENSIÓN ALTA HENDRICKSON, EJES FLEET MASTER, 2 PAR DE PATÍN HOLLAND, PISO DE MADERA DE PINO, SIN RIEL,  SIN MATRACAS,  , SIN FRENTE, SIN REDILAS, 2 SISTEMA RETRÁCTIL,  SIN RINES,    SIN LLANTAS,  1 LODERA DE CENTRO,  PLAFONES DE CARRITO AMBAR LATERALES, 1 PORTALLANTAS EXTRA, CAJA DE HRRTAS GRANDE 1.10 CM</t>
  </si>
  <si>
    <t>SEMIREMOLQUE TIPO: PLATAFORMA 40 FT 2 EJES, CON SUSPENSIÓN FLEET MASTER, EJES FLEET MASTER, 2 PAR DE PATÍN HJ, PISO DE MADERA DE PINO, CON RIEL, 15 MATRACA CORREDIZA, GANCHO HOLLAND, CONCHA LAMINADA A 1.20 M, SIN REDILAS, 2 SISTEMA RETRÁCTIL,  SIN RINES,    SIN LLANTAS,  0 LODERA DE CENTRO,  PLAFONES DE CARRITO AMBAR LATERALES,  PORTALLANTAS EXTRA, CAJA DE HRRTAS GRANDE 1.10 CM</t>
  </si>
  <si>
    <t>SEMIREMOLQUE TIPO: PLATAFORMA 40 FT 2 EJES, CON SUSPENSIÓN AMPRO, EJES FLEET MASTER, 2 PAR DE PATÍN HJ, PISO DE MADERA DE PINO, CON RIEL, 15 MATRACA CORREDIZA, GANCHO HOLLAND, CONCHA LAMINADA A 1.20 M, SIN REDILAS, 2 SISTEMA RETRÁCTIL,  SIN RINES,    SIN LLANTAS,  0 LODERA DE CENTRO,  PLAFONES DE CARRITO AMBAR LATERALES,  PORTALLANTAS EXTRA, CAJA DE HRRTAS GRANDE 1.10 CM</t>
  </si>
  <si>
    <t>FOL-10-06-24-2</t>
  </si>
  <si>
    <t>SEMIREMOLQUE TIPO: PLATAFORMA 40 FT 2 EJES, CON SUSPENSIÓN AMPRO, EJES FLEET MASTER, 2 PAR DE PATÍN HJ, PISO DE MADERA DE PINO, CON RIEL, 15 MATRACA CORREDIZA, GANCHO HOLLAND, BURRO LAMINADO A 1.20 M, SIN REDILAS, 2 SISTEMA RETRÁCTIL,  SIN RINES,    SIN LLANTAS,  0 LODERA DE CENTRO,  PLAFONES DE CARRITO AMBAR LATERALES,  PORTALLANTAS EXTRA, CAJA DE HRRTAS GRANDE 1.10 CM</t>
  </si>
  <si>
    <t>SEMIREMOLQUE TIPO: PLATAFORMA 40 FT 2 EJES, CON SUSPENSIÓN AMPRO, EJES FLEET MASTER, 2 PAR DE PATÍN HJ, PISO DE MADERA DE PINO, CON RIEL, 15 MATRACA CORREDIZA, GANCHO HOLLAND, BURRO LAMINADO A 1.20 M, SIN REDILAS, 2 SISTEMA RETRÁCTIL,  SIN RINES,    SIN LLANTAS,  0 LODERA DE CENTRO, 2 PATA DE ELEFANTE,  PORTALLANTAS EXTRA, CAJA DE HRRTAS GRANDE 1.10 CM</t>
  </si>
  <si>
    <t>FOL-11-06-24-2</t>
  </si>
  <si>
    <t>SEMIREMOLQUE TIPO: PLATAFORMA 40 FT 2 EJES, CON SUSPENSIÓN AMPRO, EJES FLEET MASTER, 2 PAR DE PATÍN HJ, PISO DE MADERA DE PINO, CON RIEL, 15 MATRACA CORREDIZA, GANCHO HOLLAND, BURRO LAMINADO A 1.20 M, SIN REDILAS, 2 SISTEMA RETRÁCTIL,  RINES DE ACERO,    SIN LLANTAS,  0 LODERA DE CENTRO, 2 PATA DE ELEFANTE,  PORTALLANTAS EXTRA, CAJA DE HRRTAS GRANDE 1.10 CM</t>
  </si>
  <si>
    <t>FOL-14-06-24-2</t>
  </si>
  <si>
    <t>SEMIREMOLQUE TIPO: PLATAFORMA 45 FT 3 EJES, CON SUSPENSIÓN HENDRICKSON, EJES FLEET MASTER, 2 PAR DE PATÍN HJ, PISO DE MADERA DE ENCINO, CON RIEL, 15 MATRACA CORREDIZA, SIN GANCHO, BURRO LAMINADO A 1.20 M, SIN REDILAS, 2 SISTEMA RETRÁCTIL,  RINES DE ACERO,    SIN LLANTAS,  1 LODERA DE CENTRO, 16 PLAFONES DE CARRITO ROJOS P/ESTRIBO, 1 PORTALLANTAS EXTRA, PLAFONES DE CARRITO AMBAR LATERALES</t>
  </si>
  <si>
    <t>SEMIREMOLQUE TIPO: PLATAFORMA 40 FT 2 EJES, CON SUSPENSIÓN HENDRICKSON, EJES FLEET MASTER, 2 PAR DE PATÍN HJ, PISO DE PLASTICO NEGRO, CON RIEL, 10 MATRACA CORREDIZA, GANCHO HOLLAND, CONCHA LAMINADA A 1.20 M, SIN REDILAS,   SIN SISTEMA RETRÁCTIL, 8 RINES DE ALUMINIO,   8 LLANTAS AMULET,  0 LODERA DE CENTRO,  PLAFONES DE CARRITO ROJOS P/ESTRIBO, 1 BICiCLETERA, PLAFONES DE CARRITO AMBAR LATERALES</t>
  </si>
  <si>
    <t>PD-14-06-24-0</t>
  </si>
  <si>
    <t>PRESUPUESTO DE DOLLY CON 2 EJES FLEET MASTER,  SUSPENSIÓN HENDRICKSON, 1 SISTEMA RETRÁCTIL,  RINES DE ALUMINIO,  SIN RINES,  LLANTAS AMULET</t>
  </si>
  <si>
    <t>SEMIREMOLQUE TIPO: PLATAFORMA 40 FT 2 EJES, CON SUSPENSIÓN FLEET MASTER, EJES FLEET MASTER, 2 PAR DE PATÍN HJ, PISO DE PLASTICO NEGRO, CON RIEL, 10 MATRACA CORREDIZA, GANCHO HOLLAND, CONCHA LAMINADA A 1.20 M, SIN REDILAS,   SIN SISTEMA RETRÁCTIL, 8 RINES DE ACERO,   8 LLANTAS AMULET,  0 LODERA DE CENTRO,  PLAFONES DE CARRITO ROJOS P/ESTRIBO, 1 BICiCLETERA, PLAFONES DE CARRITO AMBAR LATERALES</t>
  </si>
  <si>
    <t>SEMIREMOLQUE TIPO: PLATAFORMA 40 FT 2 EJES, CON SUSPENSIÓN FLEET MASTER, EJES FLEET MASTER, 2 PAR DE PATÍN HJ, PISO DE PLASTICO NEGRO, CON RIEL, 10 MATRACA CORREDIZA, GANCHO HOLLAND, CONCHA LAMINADA A 1.20 M, SIN REDILAS,   SIN SISTEMA RETRÁCTIL, 8 RINES DE ACERO,   8 LLANTAS AMULET,  1 POLINERA ATRAVESADA,  PLAFONES DE CARRITO ROJOS P/ESTRIBO, 1 BICiCLETERA, PLAFONES DE CARRITO AMBAR LATERALES</t>
  </si>
  <si>
    <t>PRESUPUESTO DE DOLLY CON 2 EJES FLEET MASTER,  SUSPENSIÓN FLEET MASTER, 1 SISTEMA RETRÁCTIL, 8 RINES DE ALUMINIO,  SIN RINES, 8 LLANTAS AMULET</t>
  </si>
  <si>
    <t>FOL-24-06-24-2</t>
  </si>
  <si>
    <t>SEMIREMOLQUE TIPO: PLATAFORMA 40 FT 2 EJES, CON SUSPENSIÓN FLEET MASTER, EJES FLEET MASTER, 2 PAR DE PATÍN HJ, PISO DE PLASTICO NEGRO, CON RIEL, 10 MATRACA CORREDIZA, GANCHO HOLLAND, CONCHA LAMINADA A 1.20 M, SIN REDILAS,   SIN SISTEMA RETRÁCTIL, 8 RINES DE ACERO, 1 RINES DE ALUMINIO, 8 LLANTAS AMULET,  1 POLINERA ATRAVESADA,  PLAFONES DE CARRITO ROJOS P/ESTRIBO, 1 BICiCLETERA, PLAFONES DE CARRITO AMBAR LATERALES</t>
  </si>
  <si>
    <t>FOL-25-06-24-2</t>
  </si>
  <si>
    <t>SEMIREMOLQUE TIPO: PLATAFORMA 40 FT 2 EJES, CON SUSPENSIÓN FLEET MASTER, EJES FLEET MASTER, 2 PAR DE PATÍN HJ, PISO DE PLASTICO NEGRO, CON RIEL, 10 MATRACA CORREDIZA, GANCHO HOLLAND, CONCHA LAMINADA A 1.20 M, SIN REDILAS, 1 SISTEMA RETRÁCTIL,  SIN RINES,    SIN LLANTAS,  1 POLINERA CON BICICLETERA,  PLAFONES DE CARRITO ROJOS P/ESTRIBO,  BICiCLETERA, PLAFONES DE CARRITO AMBAR LATERALES</t>
  </si>
  <si>
    <t>SEMIREMOLQUE TIPO: PLATAFORMA 40 FT 2 EJES, CON SUSPENSIÓN HENDRICKSON, EJES FLEET MASTER, 2 PAR DE PATÍN HJ, PISO DE PLASTICO NEGRO, CON RIEL, 10 MATRACA CORREDIZA, GANCHO HOLLAND, CONCHA LAMINADA A 1.20 M, SIN REDILAS, 1 SISTEMA RETRÁCTIL,  SIN RINES,    SIN LLANTAS,  1 POLINERA CON BICICLETERA,  PLAFONES DE CARRITO ROJOS P/ESTRIBO,  BICiCLETERA, PLAFONES DE CARRITO AMBAR LATERALES</t>
  </si>
  <si>
    <t>SEMIREMOLQUE TIPO: PLATAFORMA 40 FT 2 EJES, CON SUSPENSIÓN HENDRICKSON, EJES FLEET MASTER, 2 PAR DE PATÍN HJ, PISO DE PLASTICO NEGRO, CON RIEL, 10 MATRACA CORREDIZA, GANCHO HOLLAND, CONCHA LAMINADA A 1.20 M, SIN REDILAS, 1 SISTEMA RETRÁCTIL,  SIN RINES,    SIN LLANTAS,  0 POLINERA CON BICICLETERA,  PLAFONES DE CARRITO ROJOS P/ESTRIBO,  BICiCLETERA, PLAFONES DE CARRITO AMBAR LATERALES</t>
  </si>
  <si>
    <t>SEMIREMOLQUE TIPO: PLATAFORMA 40 FT 2 EJES, CON SUSPENSIÓN HENDRICKSON, EJES FLEET MASTER, 2 PAR DE PATÍN HJ, PISO DE PLASTICO NEGRO, CON RIEL, 10 MATRACA CORREDIZA, GANCHO PREMIER, CONCHA LAMINADA A 1.20 M, SIN REDILAS, 1 SISTEMA RETRÁCTIL,  SIN RINES,    SIN LLANTAS,  0 POLINERA CON BICICLETERA,  PLAFONES DE CARRITO ROJOS P/ESTRIBO,  BICiCLETERA, PLAFONES DE CARRITO AMBAR LATERALES</t>
  </si>
  <si>
    <t>SEMIREMOLQUE TIPO: PLATAFORMA 42 FT 3 EJES, CON SUSPENSIÓN FLEET MASTER, EJES FLEET MASTER, 2 PAR DE PATÍN HJ, PISO DE PLÁSTICO CAFÉ, CON RIEL, 11 MATRACA CORREDIZA, SIN GANCHO, BURRO LAMINADO A 1.20 M, SIN REDILAS, 2 SISTEMA RETRÁCTIL,  SIN RINES,    SIN LLANTAS,  1 POLINERA ATRAVESADA, 16 PLAFONES DE CARRITO ROJOS P/ESTRIBO,  BICiCLETERA, PLAFONES DE CARRITO AMBAR LATERALES</t>
  </si>
  <si>
    <t>PD-25-06-24-0</t>
  </si>
  <si>
    <t>FOL-26-06-24-2</t>
  </si>
  <si>
    <t>SEMIREMOLQUE TIPO: PLATAFORMA 40 FT 2 EJES, CON SUSPENSIÓN FLEET MASTER, EJES FLEET MASTER, 2 PAR DE PATÍN HJ, PISO DE PLÁSTICO CAFÉ, CON RIEL, 10 MATRACA CORREDIZA, GANCHO HOLLAND, CONCHA LAMINADA A 1.20 M, SIN REDILAS, 1 SISTEMA RETRÁCTIL,  SIN RINES,    SIN LLANTAS,  0 POLINERA ATRAVESADA,  PLAFONES DE CARRITO ROJOS P/ESTRIBO,  BICiCLETERA, PLAFONES DE CARRITO AMBAR LATERALES</t>
  </si>
  <si>
    <t>SEMIREMOLQUE TIPO: PLATAFORMA 40 FT 2 EJES, CON SUSPENSIÓN FLEET MASTER, EJES FLEET MASTER, 2 PAR DE PATÍN HJ, PISO DE PLÁSTICO CAFÉ, CON RIEL, 10 MATRACA CORREDIZA, GANCHO HOLLAND, CONCHA LAMINADA A 1.20 M, SIN REDILAS, 1 SISTEMA RETRÁCTIL, 8 RINES DE ACERO,   8 LLANTAS AMULET,  0 POLINERA ATRAVESADA,  PLAFONES DE CARRITO ROJOS P/ESTRIBO,  BICiCLETERA, PLAFONES DE CARRITO AMBAR LATERALES</t>
  </si>
  <si>
    <t>FOL-27-06-24-2</t>
  </si>
  <si>
    <t>SEMIREMOLQUE TIPO: PLATAFORMA 40 FT 2 EJES, CON SUSPENSIÓN FLEET MASTER, EJES FLEET MASTER, 2 PAR DE PATÍN HJ, PISO DE PLASTICO NEGRO, CON RIEL, 10 MATRACA CORREDIZA, GANCHO HOLLAND, CONCHA LAMINADA A 1.20 M, SIN REDILAS, 1 SISTEMA RETRÁCTIL, 8 RINES DE ACERO,   8 LLANTAS VALIANT,  0 POLINERA ATRAVESADA, 16 PLAFONES DE CARRITO ROJOS P/ESTRIBO,  BICiCLETERA, PLAFONES DE CARRITO AMBAR LATERALES</t>
  </si>
  <si>
    <t>SEMIREMOLQUE TIPO: PLATAFORMA 40 FT 2 EJES, CON SUSPENSIÓN FLEET MASTER, EJES FLEET MASTER, 2 PAR DE PATÍN HJ, PISO DE PLASTICO NEGRO, CON RIEL, 10 MATRACA CORREDIZA, GANCHO HOLLAND, CONCHA LAMINADA A 1.20 M, SIN REDILAS, 1 SISTEMA RETRÁCTIL,  SIN RINES,    SIN LLANTAS,  0 POLINERA ATRAVESADA, 16 PLAFONES DE CARRITO ROJOS P/ESTRIBO,  BICiCLETERA, PLAFONES DE CARRITO AMBAR LATERALES</t>
  </si>
  <si>
    <t>SEMIREMOLQUE TIPO: PLATAFORMA 40 FT 2 EJES, CON SUSPENSIÓN FLEET MASTER, EJES FLEET MASTER, 2 PAR DE PATÍN HJ, PISO DE PLASTICO NEGRO, CON RIEL, 10 MATRACA CORREDIZA, GANCHO HOLLAND, CONCHA LAMINADA A 1.20 M, SIN REDILAS, 1 SISTEMA RETRÁCTIL,  RINES DE ACERO,    LLANTAS VALIANT,  0 POLINERA ATRAVESADA, 16 PLAFONES DE CARRITO ROJOS P/ESTRIBO,  BICiCLETERA, PLAFONES DE CARRITO AMBAR LATERALES</t>
  </si>
  <si>
    <t>FOL-28-06-24-2</t>
  </si>
  <si>
    <t>SEMIREMOLQUE TIPO: PLATAFORMA 40 FT 3 EJES, CON SUSPENSIÓN FLEET MASTER, EJES FLEET MASTER, 2 PAR DE PATIN AMPRO, PISO DE PLÁSTICO CAFÉ, CON RIEL, 10 MATRACA CORREDIZA, SIN GANCHO, CONCHA LAMINADA A 1.20 M, SIN REDILAS, 2 SISTEMA RETRÁCTIL, 6 RINES DE ACERO, 6 RINES DE ALUMINIO,  SIN LLANTAS,  1 LODERA DE CENTRO, 16 PLAFONES DE CARRITO ROJOS P/ESTRIBO, 1 POLINERA  GRANDE, PLAFONES DE CARRITO AMBAR LATERALES</t>
  </si>
  <si>
    <t>FOL-01-07-24-2</t>
  </si>
  <si>
    <t>SEMIREMOLQUE TIPO: PLATAFORMA 40 FT 2 EJES, CON SUSPENSIÓN HENDRICKSON, EJES FLEET MASTER, 2 PAR DE PATÍN HJ, PISO DE PLASTICO NEGRO, CON RIEL, 10 MATRACA CORREDIZA, SIN GANCHO, CONCHA LAMINADA A 1.20 M, SIN REDILAS, 1 SISTEMA RETRÁCTIL, 8 RINES DE ALUMINIO,  SIN RINES, 8 LLANTAS FIRESTONE,  1 BICiCLETERA, 16 PLAFONES DE CARRITO ROJOS P/ESTRIBO,  POLINERA  GRANDE, PLAFONES DE CARRITO AMBAR LATERALES</t>
  </si>
  <si>
    <t>FOL-02-07-24-2</t>
  </si>
  <si>
    <t>SEMIREMOLQUE TIPO: PLATAFORMA 40 FT 2 EJES, CON SUSPENSIÓN FLEET MASTER, EJES FLEET MASTER, 2 PAR DE PATÍN HJ, PISO DE PLASTICO NEGRO, CON RIEL, 10 MATRACA CORREDIZA, SIN GANCHO, CONCHA LAMINADA A 1.20 M, SIN REDILAS, 1 SISTEMA RETRÁCTIL, 8 RINES DE ALUMINIO,  SIN RINES, 8 LLANTAS AMULET,  1 BICiCLETERA, 16 PLAFONES DE CARRITO ROJOS P/ESTRIBO,  PLAFONES DE CARRITO AMBAR LATERALES</t>
  </si>
  <si>
    <t>SEMIREMOLQUE TIPO: PLATAFORMA 40 FT 2 EJES, CON SUSPENSIÓN FLEET MASTER, EJES FLEET MASTER, 2 PAR DE PATÍN HJ, PISO DE PLASTICO NEGRO, CON RIEL, 10 MATRACA CORREDIZA, GANCHO HOLLAND, CONCHA LAMINADA A 1.20 M, SIN REDILAS, 1 SISTEMA RETRÁCTIL, 8 RINES DE ALUMINIO,  SIN RINES, 8 LLANTAS AMULET,  1 BICiCLETERA, 16 PLAFONES DE CARRITO ROJOS P/ESTRIBO,  PLAFONES DE CARRITO AMBAR LATERALES</t>
  </si>
  <si>
    <t>SEMIREMOLQUE TIPO: PLATAFORMA 40 FT 2 EJES, CON SUSPENSIÓN HENDRICKSON, EJES FLEET MASTER, 2 PAR DE PATÍN HJ, PISO DE PLASTICO NEGRO, CON RIEL, 10 MATRACA CORREDIZA, GANCHO HOLLAND, CONCHA LAMINADA A 1.20 M, SIN REDILAS, 1 SISTEMA RETRÁCTIL, 8 RINES DE ALUMINIO,  SIN RINES, 8 LLANTAS AMULET,  1 BICiCLETERA, 16 PLAFONES DE CARRITO ROJOS P/ESTRIBO,  PLAFONES DE CARRITO AMBAR LATERALES</t>
  </si>
  <si>
    <t xml:space="preserve">SEMIREMOLQUE TIPO: PLATAFORMA 40 FT 3 EJES, CON SUSPENSIÓN FLEET MASTER, EJES FLEET MASTER, 2 PAR DE PATÍN HJ, PISO DE PLASTICO NEGRO, SIN RIEL,  SIN MATRACAS, SIN GANCHO, SIN FRENTE, SIN REDILAS, 1 SISTEMA RETRÁCTIL,  SIN RINES,  SIN RINES,  SIN LLANTAS,  0  ,   </t>
  </si>
  <si>
    <t xml:space="preserve">SEMIREMOLQUE TIPO: PLATAFORMA 40 FT 3 EJES, CON SUSPENSIÓN FLEET MASTER, EJES FLEET MASTER, 2 PAR DE PATÍN HJ, PISO DE MADERA DE PINO, SIN RIEL,  SIN MATRACAS, SIN GANCHO, SIN FRENTE, SIN REDILAS, 1 SISTEMA RETRÁCTIL,  SIN RINES,  SIN RINES,  SIN LLANTAS,  0  ,   </t>
  </si>
  <si>
    <t xml:space="preserve">SEMIREMOLQUE TIPO: PLATAFORMA 42 FT 3 EJES, CON SUSPENSIÓN FLEET MASTER, EJES FLEET MASTER, 2 PAR DE PATÍN HJ, PISO DE PLÁSTICO CAFÉ, CON RIEL, 12 MATRACA CORREDIZA, SIN GANCHO, CONCHA LAMINADA A 1.20 M, SIN REDILAS, 2 SISTEMA RETRÁCTIL, 12 RINES DE ACERO,  SIN RINES, 12 LLANTAS FIRESTONE,  1 LODERA DE CENTRO,   </t>
  </si>
  <si>
    <t>FOL-03-07-24-2</t>
  </si>
  <si>
    <t xml:space="preserve">SEMIREMOLQUE TIPO: PLATAFORMA 42 FT 3 EJES, CON SUSPENSIÓN HENDRICKSON, EJES FLEET MASTER, 2 PAR DE PATÍN HJ, PISO DE PLÁSTICO CAFÉ, CON RIEL, 12 MATRACA CORREDIZA, SIN GANCHO, CONCHA LAMINADA A 1.20 M, SIN REDILAS, 2 SISTEMA RETRÁCTIL, 12 RINES DE ACERO,  SIN RINES, 12 LLANTAS FIRESTONE,  1 LODERA DE CENTRO,   </t>
  </si>
  <si>
    <t>FOL-06-07-24-2</t>
  </si>
  <si>
    <t xml:space="preserve">SEMIREMOLQUE TIPO: PLATAFORMA 40 FT 2 EJES, CON SUSPENSIÓN FLEET MASTER, EJES FLEET MASTER, 2 PAR DE PATÍN HJ, PISO DE PLASTICO NEGRO, CON RIEL, 10 MATRACA CORREDIZA, GANCHO HOLLAND, CONCHA LAMINADA A 1.20 M, SIN REDILAS, 1 SISTEMA RETRÁCTIL,  SIN RINES,  SIN RINES,  SIN LLANTAS,  1 BICiCLETERA,   </t>
  </si>
  <si>
    <t xml:space="preserve">SEMIREMOLQUE TIPO: PLATAFORMA 40 FT 2 EJES, CON SUSPENSIÓN FLEET MASTER, EJES FLEET MASTER, 2 PAR DE PATÍN HJ, PISO DE PLASTICO NEGRO, CON RIEL, 10 MATRACA CORREDIZA, GANCHO HOLLAND, CONCHA LAMINADA A 1.20 M, SIN REDILAS, 1 SISTEMA RETRÁCTIL,  SIN RINES,  SIN RINES,  SIN LLANTAS,  1 BICiCLETERA, 1 POLINERA  GRANDE,  </t>
  </si>
  <si>
    <t>FOL-08-07-24-2</t>
  </si>
  <si>
    <t xml:space="preserve">SEMIREMOLQUE TIPO: PLATAFORMA 40 FT 2 EJES, CON SUSPENSIÓN HENDRICKSON, EJES AMPRO, 2 PAR DE PATÍN HOLLAND, PISO DE PLASTICO NEGRO, CON RIEL, 10 MATRACA CORREDIZA, GANCHO HOLLAND, SIN FRENTE, SIN REDILAS, 1 SISTEMA RETRÁCTIL, 8 RINES DE ACERO,  SIN RINES, 8 LLANTAS CHINAS,  0  , 1 POLINERA  GRANDE,  </t>
  </si>
  <si>
    <t>PD-08-07-24-0</t>
  </si>
  <si>
    <t xml:space="preserve">SEMIREMOLQUE TIPO: PLATAFORMA 40 FT 2 EJES, CON SUSPENSIÓN HENDRICKSON, EJES AMPRO, 2 PAR DE PATÍN HOLLAND, PISO DE PLASTICO NEGRO, CON RIEL, 10 MATRACA CORREDIZA, GANCHO HOLLAND, SIN FRENTE, SIN REDILAS, 1 SISTEMA RETRÁCTIL,  RINES DE ACERO,  SIN RINES, 8 LLANTAS CHINAS,  0  , 1 POLINERA  GRANDE,  </t>
  </si>
  <si>
    <t>FOL-09-07-24-2</t>
  </si>
  <si>
    <t xml:space="preserve">SEMIREMOLQUE TIPO: PLATAFORMA 40 FT 2 EJES, CON SUSPENSIÓN HENDRICKSON, EJES AMPRO, 2 PAR DE PATÍN HOLLAND, PISO DE MADERA DE PINO, CON RIEL, 10 MATRACA CORREDIZA, GANCHO HOLLAND, SIN FRENTE, SIN REDILAS, 1 SISTEMA RETRÁCTIL,  RINES DE ACERO,  SIN RINES, 8 LLANTAS CHINAS,  0  , 1 POLINERA  GRANDE,  </t>
  </si>
  <si>
    <t xml:space="preserve">SEMIREMOLQUE TIPO: PLATAFORMA 40 FT 2 EJES, CON SUSPENSIÓN HENDRICKSON, EJES AMPRO, 2 PAR DE PATÍN HOLLAND, PISO DE MADERA DE ENCINO, CON RIEL, 10 MATRACA CORREDIZA, GANCHO HOLLAND, SIN FRENTE, SIN REDILAS, 1 SISTEMA RETRÁCTIL,  RINES DE ACERO,  SIN RINES, 8 LLANTAS CHINAS,  0  , 1 POLINERA  GRANDE,  </t>
  </si>
  <si>
    <t xml:space="preserve">SEMIREMOLQUE TIPO: PLATAFORMA 40 FT 2 EJES, CON SUSPENSIÓN HENDRICKSON, EJES AMPRO, 2 PAR DE PATÍN HOLLAND, PISO DE MADERA DE ENCINO, CON RIEL, 10 MATRACA CORREDIZA, GANCHO PREMIER, SIN FRENTE, SIN REDILAS, 1 SISTEMA RETRÁCTIL,  RINES DE ACERO,  SIN RINES, 8 LLANTAS CHINAS,  0  , 1 POLINERA  GRANDE,  </t>
  </si>
  <si>
    <t xml:space="preserve">SEMIREMOLQUE TIPO: PLATAFORMA 40 FT 2 EJES, CON SUSPENSIÓN HENDRICKSON, EJES AMPRO, 2 PAR DE PATÍN HOLLAND, PISO DE MADERA DE ENCINO, CON RIEL, 10 MATRACA CORREDIZA, GANCHO BESTIA, SIN FRENTE, SIN REDILAS, 1 SISTEMA RETRÁCTIL,  RINES DE ACERO,  SIN RINES, 8 LLANTAS CHINAS,  0  , 1 POLINERA  GRANDE,  </t>
  </si>
  <si>
    <t xml:space="preserve">SEMIREMOLQUE TIPO: PLATAFORMA 40 FT 2 EJES, CON SUSPENSIÓN HENDRICKSON, EJES FLEET MASTER, 2 PAR DE PATÍN HJ, PISO DE PLASTICO NEGRO, CON RIEL, 10 MATRACA CORREDIZA, GANCHO PREMIER, SIN FRENTE, SIN REDILAS,   SIN SISTEMA RETRÁCTIL,  SIN RINES,  SIN RINES,  SIN LLANTAS,  0  , 1 BICiCLETERA,  </t>
  </si>
  <si>
    <t xml:space="preserve">SEMIREMOLQUE TIPO: PLATAFORMA 40 FT 3 EJES, CON SUSPENSIÓN HENDRICKSON, EJES FLEET MASTER, 2 PAR DE PATÍN HJ, PISO DE PLASTICO NEGRO, CON RIEL, 10 MATRACA CORREDIZA, GANCHO PREMIER, SIN FRENTE, SIN REDILAS,   SIN SISTEMA RETRÁCTIL,  SIN RINES,  SIN RINES,  SIN LLANTAS,  0  , 1 BICiCLETERA,  </t>
  </si>
  <si>
    <t>FOL-15-07-24-2</t>
  </si>
  <si>
    <t xml:space="preserve">SEMIREMOLQUE TIPO: PLATAFORMA 40 FT 2 EJES, CON SUSPENSIÓN ALTA HENDRICKSON, EJES FLEET MASTER, 2 PAR DE PATÍN HOLLAND, PISO DE PLÁSTICO CAFÉ, CON RIEL, 15 MATRACA CORREDIZA, GANCHO PREMIER, BURRO LAMINADO A 1.20 M, SIN REDILAS, 1 SISTEMA RETRÁCTIL,  SIN RINES,  SIN RINES,  SIN LLANTAS,  1 POLINERA  GRANDE, 1 BICiCLETERA, 20 PLAFONES DE CARRITO ROJOS LATERALES, </t>
  </si>
  <si>
    <t>FOL-16-07-24-2</t>
  </si>
  <si>
    <t>SEMIREMOLQUE TIPO: PLATAFORMA 40 FT 2 EJES, CON SUSPENSIÓN FLEET MASTER, EJES FLEET MASTER, 2 PAR DE PATÍN HJ, PISO DE PLÁSTICO CAFÉ, CON RIEL, 10 MATRACA CORREDIZA, GANCHO HOLLAND, SIN FRENTE, SIN REDILAS,   SIN SISTEMA RETRÁCTIL,  SIN RINES, 8 RINES DE ALUMINIO, 8 LLANTAS FIRESTONE,  1 POLINERA  GRANDE, 1 BICiCLETERA, 20 PLAFONES DE CARRITO ROJOS LATERALES, REFUERZOS</t>
  </si>
  <si>
    <t>PD-16-07-24-0</t>
  </si>
  <si>
    <t>PRESUPUESTO DE DOLLY CON 2 EJES FLEET MASTER,  SUSPENSIÓN FLEET MASTER,  SIN SISTEMA RETRÁCTIL, 8 RINES DE ALUMINIO,  SIN RINES, 8 LLANTAS FIRESTONE</t>
  </si>
  <si>
    <t>SEMIREMOLQUE TIPO: PLATAFORMA 40 FT 2 EJES, CON SUSPENSIÓN FLEET MASTER, EJES FLEET MASTER, 2 PAR DE PATÍN HJ, PISO DE PLASTICO NEGRO, CON RIEL, 10 MATRACA CORREDIZA, GANCHO HOLLAND, SIN FRENTE, SIN REDILAS,   SIN SISTEMA RETRÁCTIL,  SIN RINES, 8 RINES DE ALUMINIO, 8 LLANTAS FIRESTONE,  1 POLINERA  GRANDE, 1 BICiCLETERA, 20 PLAFONES DE CARRITO ROJOS LATERALES, REFUERZOS</t>
  </si>
  <si>
    <t>SEMIREMOLQUE TIPO: PLATAFORMA 40 FT 2 EJES, CON SUSPENSIÓN FLEET MASTER, EJES FLEET MASTER, 2 PAR DE PATÍN HJ, PISO DE PLASTICO NEGRO, CON RIEL, 10 MATRACA CORREDIZA, GANCHO HOLLAND, SIN FRENTE, SIN REDILAS,   SIN SISTEMA RETRÁCTIL,  SIN RINES, 8 RINES DE ALUMINIO, 8 LLANTAS FIRESTONE,  1 POLINERA  GRANDE, 1 BICiCLETERA, 20 PLAFONES DE CARRITO ROJOS LATERALES, CAJA DE HRRTAS GRANDE 1.10 CM</t>
  </si>
  <si>
    <t>SEMIREMOLQUE TIPO: PLATAFORMA 40 FT 2 EJES, CON SUSPENSIÓN FLEET MASTER, EJES FLEET MASTER, 2 PAR DE PATÍN HJ, PISO DE PLASTICO NEGRO, CON RIEL, 10 MATRACA CORREDIZA, GANCHO HOLLAND, SIN FRENTE, SIN REDILAS,   SIN SISTEMA RETRÁCTIL,  SIN RINES, 8 RINES DE ALUMINIO, 8 LLANTAS FIRESTONE,  1 POLINERA  GRANDE, 1 BICiCLETERA, 20 PLAFONES DE CARRITO ROJOS LATERALES, PORTALLANTAS EXTRA</t>
  </si>
  <si>
    <t xml:space="preserve">SEMIREMOLQUE TIPO: PLATAFORMA 40 FT 2 EJES, CON SUSPENSIÓN HENDRICKSON, EJES FLEET MASTER, 1 PAR DE PATÍN HOLLAND, PISO DE PLÁSTICO CAFÉ, SIN RIEL,  SIN MATRACAS, GANCHO PREMIER, SIN FRENTE, SIN REDILAS,   SIN SISTEMA RETRÁCTIL,  SIN RINES, 8 RINES DE ALUMINIO, 8 LLANTAS FIRESTONE,  8 CANDADOS,   </t>
  </si>
  <si>
    <t>PD-18-07-24-0</t>
  </si>
  <si>
    <t>PD-19-07-24-0</t>
  </si>
  <si>
    <t>PRESUPUESTO DE DOLLY CON 2 EJES FLEET MASTER,  SUSPENSIÓN HENDRICKSON,  SIN SISTEMA RETRÁCTIL, 8 RINES DE ACERO,  SIN RINES,  SIN LLANTAS</t>
  </si>
  <si>
    <t>PRESUPUESTO DE DOLLY CON 2 EJES FLEET MASTER,  SUSPENSIÓN HENDRICKSON, 1 SISTEMA RETRÁCTIL, 8 RINES DE ACERO,  SIN RINES,  SIN LLANTAS</t>
  </si>
  <si>
    <t>FOL-24-07-24-2</t>
  </si>
  <si>
    <t xml:space="preserve">SEMIREMOLQUE TIPO: PLATAFORMA 40 FT 2 EJES, CON SUSPENSIÓN FLEET MASTER, EJES AMPRO, 1 PAR DE PATÍN HOLLAND, PISO DE PLASTICO NEGRO, CON RIEL, 10 MATRACA CORREDIZA, GANCHO PREMIER, BURRO LAMINADO A 1.20 M, SIN REDILAS, 1 SISTEMA RETRÁCTIL,  SIN RINES,   8 SIN LLANTAS,  1 BICiCLETERA, 20 PLAFONES DE CARRITO AMBAR LATERALES,  </t>
  </si>
  <si>
    <t xml:space="preserve">SEMIREMOLQUE TIPO: PLATAFORMA 40 FT 2 EJES, CON SUSPENSIÓN FLEET MASTER, EJES AMPRO, 1 PAR DE PATÍN HOLLAND, PISO DE PLASTICO NEGRO, CON RIEL, 10 MATRACA CORREDIZA, GANCHO PREMIER, BURRO LAMINADO A 1.20 M, SIN REDILAS, 1 SISTEMA RETRÁCTIL,  SIN RINES,    SIN LLANTAS,  1 BICiCLETERA, 20 PLAFONES DE CARRITO AMBAR LATERALES,  </t>
  </si>
  <si>
    <t>FOL-29-07-24-2</t>
  </si>
  <si>
    <t xml:space="preserve">SEMIREMOLQUE TIPO: PLATAFORMA 40 FT 2 EJES, CON SUSPENSIÓN FLEET MASTER, EJES FLEET MASTER, 2 PAR DE PATÍN HOLLAND, PISO DE MADERA DE PINO, CON RIEL, 10 MATRACA CORREDIZA, GANCHO HOLLAND, BURRO LAMINADO A 1.20 M, SIN REDILAS, 1 SISTEMA RETRÁCTIL,  SIN RINES,    SIN LLANTAS,  1 BICiCLETERA, 20 PLAFONES DE CARRITO AMBAR LATERALES,  </t>
  </si>
  <si>
    <t xml:space="preserve">SEMIREMOLQUE TIPO: PLATAFORMA 45 FT 3 EJES, CON SUSPENSIÓN FLEET MASTER, EJES FLEET MASTER, 2 PAR DE PATÍN HJ, SIN PISO, CON RIEL, 10 MATRACA CORREDIZA, SIN GANCHO, CONCHA LAMINADA A 1.20 M, SIN REDILAS, 2 SISTEMA RETRÁCTIL, 8 RINES DE ACERO,   8 LLANTAS AMULET,  0  ,   </t>
  </si>
  <si>
    <t xml:space="preserve">SEMIREMOLQUE TIPO: PLATAFORMA 45 FT 3 EJES, CON SUSPENSIÓN FLEET MASTER, EJES FLEET MASTER, 2 PAR DE PATÍN HJ, PISO DE MADERA DE ENCINO, CON RIEL, 10 MATRACA CORREDIZA, SIN GANCHO, CONCHA LAMINADA A 1.20 M, SIN REDILAS, 2 SISTEMA RETRÁCTIL, 8 RINES DE ACERO,   8 LLANTAS AMULET,  0  ,   </t>
  </si>
  <si>
    <t xml:space="preserve">SEMIREMOLQUE TIPO: PLATAFORMA 45 FT 3 EJES, CON SUSPENSIÓN FLEET MASTER, EJES FLEET MASTER, 2 PAR DE PATÍN HJ, PISO DE MADERA DE ENCINO, CON RIEL, 10 MATRACA CORREDIZA, SIN GANCHO, CONCHA LAMINADA A 1.20 M, SIN REDILAS, 2 SISTEMA RETRÁCTIL,  SIN RINES,    SIN LLANTAS,  0  ,   </t>
  </si>
  <si>
    <t xml:space="preserve">SEMIREMOLQUE TIPO: PLATAFORMA 45 FT 3 EJES, CON SUSPENSIÓN FLEET MASTER, EJES FLEET MASTER, 2 PAR DE PATÍN HJ, SIN PISO, CON RIEL, 10 MATRACA CORREDIZA, SIN GANCHO, CONCHA LAMINADA A 1.20 M, SIN REDILAS, 2 SISTEMA RETRÁCTIL,  SIN RINES,    SIN LLANTAS,  0  ,   </t>
  </si>
  <si>
    <t>PD-07-08-24-0</t>
  </si>
  <si>
    <t>PRESUPUESTO DE DOLLY CON 2 EJES AMPRO,  SUSPENSIÓN FLEET MASTER,  SIN SISTEMA RETRÁCTIL, 8 RINES DE ACERO,  SIN RINES, 8 LLANTAS FIRESTONE</t>
  </si>
  <si>
    <t>PRESUPUESTO DE DOLLY CON 2 EJES AMPRO,  SUSPENSIÓN FLEET MASTER,  SIN SISTEMA RETRÁCTIL,  SIN RINES,  SIN RINES,  SIN LLANTAS</t>
  </si>
  <si>
    <t>PRESUPUESTO DE DOLLY CON 2 EJES AMPRO,  SUSPENSIÓN FLEET MASTER,  SIN SISTEMA RETRÁCTIL, 8 RINES DE ACERO,  SIN RINES, 8 LLANTAS CHINAS</t>
  </si>
  <si>
    <t>FOL-07-08-24-2</t>
  </si>
  <si>
    <t xml:space="preserve">SEMIREMOLQUE TIPO: PLATAFORMA 40 FT 2 EJES, CON SUSPENSIÓN HENDRICKSON, EJES FLEET MASTER, 2 PAR DE PATÍN HJ, PISO DE PLASTICO NEGRO, CON RIEL, 12 MATRACA CORREDIZA, SIN GANCHO, SIN FRENTE, SIN REDILAS, 1 SISTEMA RETRÁCTIL,  SIN RINES,    SIN LLANTAS,  1 CAJA DE HRRTAS GRANDE 1.10 CM,   </t>
  </si>
  <si>
    <t xml:space="preserve">SEMIREMOLQUE TIPO: PLATAFORMA 40 FT 2 EJES, CON SUSPENSIÓN FLEET MASTER, EJES AMPRO, 2 PAR DE PATÍN HJ, PISO DE PLASTICO NEGRO, CON RIEL, 10 MATRACA CORREDIZA, SIN GANCHO, SIN FRENTE, SIN REDILAS, 1 SISTEMA RETRÁCTIL, 8 RINES DE ACERO,   8 LLANTAS CHINAS,  0 CAJA DE HRRTAS GRANDE 1.10 CM,   </t>
  </si>
  <si>
    <t xml:space="preserve">SEMIREMOLQUE TIPO: PLATAFORMA 40 FT 2 EJES, CON SUSPENSIÓN HENDRICKSON, EJES FLEET MASTER, 2 PAR DE PATÍN HJ, PISO DE PLASTICO NEGRO, CON RIEL, 12 MATRACA CORREDIZA, GANCHO HOLLAND, CONCHA LAMINADA A 1.20 M, SIN REDILAS, 1 SISTEMA RETRÁCTIL, 8 RINES DE ACERO,   8 LLANTAS FIRESTONE,  1 BICiCLETERA,   </t>
  </si>
  <si>
    <t xml:space="preserve">        </t>
  </si>
  <si>
    <t>FOL-09-08-24-2</t>
  </si>
  <si>
    <t xml:space="preserve">SEMIREMOLQUE TIPO: PLATAFORMA 40 FT 2 EJES, CON SUSPENSIÓN HENDRICKSON, EJES FLEET MASTER, 2 PAR DE PATÍN HJ, PISO DE PLASTICO NEGRO, CON RIEL, 12 MATRACA CORREDIZA, GANCHO HOLLAND, CONCHA LAMINADA A 1.20 M, SIN REDILAS, 1 SISTEMA RETRÁCTIL, 8 RINES DE ACERO,   1 LLANTAS CHINAS,  1 BICiCLETERA,   </t>
  </si>
  <si>
    <t>SEMIREMOLQUE TIPO: PLATAFORMA 40 FT 2 EJES, CON SUSPENSIÓN FLEET MASTER, EJES FLEET MASTER, 2 PAR DE PATÍN HJ, PISO ANTIDERRAPANTE, CON RIEL, 10 MATRACA CORREDIZA, GANCHO HOLLAND, CONCHA LAMINADA A 1.20 M, SIN REDILAS, 1 SISTEMA RETRÁCTIL,  SIN RINES,    SIN LLANTAS,  1 LODERA DE CENTRO, 1 POLINERA  GRANDE, 20 PLAFONES DE CARRITO AMBAR LATERALES, PLAFONES DE CARRITO ROJOS P/ESTRIBO</t>
  </si>
  <si>
    <t>PD-09-08-24-0</t>
  </si>
  <si>
    <t>PRESUPUESTO DE DOLLY CON 2 EJES AMPRO,  SUSPENSIÓN FLEET MASTER, 1 SISTEMA RETRÁCTIL, 8 RINES DE ACERO,  SIN RINES, 8 LLANTAS FIRESTONE</t>
  </si>
  <si>
    <t>PRESUPUESTO DE DOLLY CON 2 EJES AMPRO,  SUSPENSIÓN FLEET MASTER,  SIN SISTEMA RETRÁCTIL,  RINES DE ACERO,  SIN RINES,  SIN LLANTAS</t>
  </si>
  <si>
    <t xml:space="preserve">SEMIREMOLQUE TIPO: PLATAFORMA 40 FT 2 EJES, CON SUSPENSIÓN FLEET MASTER, EJES AMPRO, 2 PAR DE PATÍN HJ, PISO DE MADERA DE PINO, CON RIEL, 10 MATRACA CORREDIZA, GANCHO HOLLAND, CONCHA LAMINADA A 1.20 M, SIN REDILAS,   SIN SISTEMA RETRÁCTIL, 8 RINES DE ACERO,   8 LLANTAS CHINAS,  0  ,   </t>
  </si>
  <si>
    <t xml:space="preserve">SEMIREMOLQUE TIPO: PLATAFORMA 40 FT 2 EJES, CON SUSPENSIÓN FLEET MASTER, EJES AMPRO, 2 PAR DE PATÍN HJ, PISO DE MADERA DE PINO, CON RIEL, 10 MATRACA CORREDIZA, GANCHO HOLLAND, CONCHA LAMINADA A 1.20 M, SIN REDILAS,   SIN SISTEMA RETRÁCTIL,  SIN RINES,    SIN LLANTAS,  0  ,   </t>
  </si>
  <si>
    <t xml:space="preserve">SEMIREMOLQUE TIPO: PLATAFORMA 40 FT 2 EJES, CON SUSPENSIÓN FLEET MASTER, EJES AMPRO, 2 PAR DE PATÍN HJ, PISO DE MADERA DE PINO, CON RIEL, 10 MATRACA CORREDIZA, GANCHO HOLLAND, CONCHA LAMINADA A 1.20 M, SIN REDILAS,   SIN SISTEMA RETRÁCTIL, 8 RINES DE ACERO,   8 LLANTAS FIRESTONE,  0  ,   </t>
  </si>
  <si>
    <t xml:space="preserve">SEMIREMOLQUE TIPO: PLATAFORMA 40 FT 2 EJES, CON SUSPENSIÓN FLEET MASTER, EJES AMPRO, 2 PAR DE PATÍN HJ, PISO DE MADERA DE PINO, CON RIEL, 10 MATRACA CORREDIZA, GANCHO HOLLAND, CONCHA LAMINADA A 1.20 M, SIN REDILAS, 1 SISTEMA RETRÁCTIL, 8 RINES DE ACERO,   8 LLANTAS FIRESTONE,  0  ,   </t>
  </si>
  <si>
    <t xml:space="preserve">SEMIREMOLQUE TIPO: PLATAFORMA 40 FT 3 EJES, CON SUSPENSIÓN FLEET MASTER, EJES AMPRO, 2 PAR DE PATÍN HJ, PISO DE MADERA DE PINO, CON RIEL, 10 MATRACA CORREDIZA, GANCHO HOLLAND, CONCHA LAMINADA A 1.20 M, SIN REDILAS, 1 SISTEMA RETRÁCTIL, 8 RINES DE ACERO,   8 LLANTAS FIRESTONE,  0  ,   </t>
  </si>
  <si>
    <t xml:space="preserve">SEMIREMOLQUE TIPO: PLATAFORMA 40 FT 3 EJES, CON SUSPENSIÓN FLEET MASTER, EJES AMPRO, 2 PAR DE PATÍN HJ, PISO DE MADERA DE PINO, CON RIEL, 10 MATRACA CORREDIZA, GANCHO HOLLAND, CONCHA LAMINADA A 1.20 M, SIN REDILAS,   SIN SISTEMA RETRÁCTIL, 8 RINES DE ACERO,   8 LLANTAS FIRESTONE,  0  ,   </t>
  </si>
  <si>
    <t xml:space="preserve">SEMIREMOLQUE TIPO: PLATAFORMA 40 FT 3 EJES, CON SUSPENSIÓN FLEET MASTER, EJES AMPRO, 2 PAR DE PATÍN HJ, PISO DE MADERA DE PINO, CON RIEL, 10 MATRACA CORREDIZA, GANCHO HOLLAND, CONCHA LAMINADA A 1.20 M, SIN REDILAS,   SIN SISTEMA RETRÁCTIL,  SIN RINES,    SIN LLANTAS,  0  ,   </t>
  </si>
  <si>
    <t xml:space="preserve">SEMIREMOLQUE TIPO: PLATAFORMA 40 FT 3 EJES, CON SUSPENSIÓN FLEET MASTER, EJES AMPRO, 2 PAR DE PATÍN HJ, PISO DE MADERA DE PINO, CON RIEL, 10 MATRACA CORREDIZA, GANCHO HOLLAND, CONCHA LAMINADA A 1.20 M, SIN REDILAS,   SIN SISTEMA RETRÁCTIL, 8 RINES DE ACERO,   8 LLANTAS CHINAS,  0  ,   </t>
  </si>
  <si>
    <t>FOL-12-08-24-2</t>
  </si>
  <si>
    <t>SEMIREMOLQUE TIPO: PLATAFORMA 45 FT 3 EJES, CON SUSPENSIÓN ALTA HENDRICKSON, EJES FLEET MASTER, 2 PAR DE PATÍN HJ, PISO DE PLASTICO NEGRO, CON RIEL, 15 MATRACA CORREDIZA, SIN GANCHO, CONCHA LAMINADA A 1.20 M, SIN REDILAS, 2 SISTEMA RETRÁCTIL,  SIN RINES,    SIN LLANTAS,  1 BARRENADO SOBRE CHASIS, 1 LODERA DE CENTRO, 16 PLAFONES DE CARRITO ROJOS P/ESTRIBO, PLAFONES DE CARRITO AMBAR LATERALES</t>
  </si>
  <si>
    <t>FOL-13-08-24-2</t>
  </si>
  <si>
    <t>SEMIREMOLQUE TIPO: PLATAFORMA 40 FT 2 EJES, CON SUSPENSIÓN FLEET MASTER, EJES FLEET MASTER, 1 PAR DE PATÍN HJ, PISO DE PLASTICO NEGRO, CON RIEL, 10 MATRACA CORREDIZA, GANCHO PREMIER, SIN FRENTE, SIN REDILAS, 1 SISTEMA RETRÁCTIL,  SIN RINES,    SIN LLANTAS,  0  ,   PLAFONES DE CARRITO AMBAR LATERALES</t>
  </si>
  <si>
    <t xml:space="preserve">SEMIREMOLQUE TIPO: PLATAFORMA 40 FT 3 EJES, CON SUSPENSIÓN FLEET MASTER, EJES FLEET MASTER, 2 PAR DE PATÍN HJ, PISO DE MADERA DE PINO, CON RIEL, 10 MATRACA CORREDIZA, SIN GANCHO, CONCHA LAMINADA A 1.20 M, SIN REDILAS, 1 SISTEMA RETRÁCTIL,  SIN RINES,    SIN LLANTAS,  0  ,   </t>
  </si>
  <si>
    <t xml:space="preserve">SEMIREMOLQUE TIPO: PLATAFORMA 40 FT 2 EJES, CON SUSPENSIÓN HENDRICKSON, EJES FLEET MASTER, 2 PAR DE PATÍN HJ, PISO DE PLASTICO NEGRO, CON RIEL, 10 MATRACA CORREDIZA, GANCHO HOLLAND, CONCHA LAMINADA A 1.20 M, SIN REDILAS, 1 SISTEMA RETRÁCTIL,  SIN RINES,    SIN LLANTAS,  1 POLINERA CON BICICLETERA,   </t>
  </si>
  <si>
    <t>FOL-15-08-24-2</t>
  </si>
  <si>
    <t>SEMIREMOLQUE TIPO: PLATAFORMA 40 FT 2 EJES, CON SUSPENSIÓN FLEET MASTER, EJES FLEET MASTER, 2 PAR DE PATÍN HJ, PISO DE PLASTICO NEGRO, CON RIEL, 10 MATRACA CORREDIZA, GANCHO HOLLAND, CONCHA LAMINADA A 1.20 M, SIN REDILAS, 1 SISTEMA RETRÁCTIL,  SIN RINES,    SIN LLANTAS,  1 LODERA DE CENTRO, 20 PLAFONES DE CARRITO AMBAR LATERALES,  BARRENADO SOBRE CHASIS</t>
  </si>
  <si>
    <t>PD-15-08-24-0</t>
  </si>
  <si>
    <t xml:space="preserve">SEMIREMOLQUE TIPO: PLATAFORMA 42 FT 3 EJES, CON SUSPENSIÓN FLEET MASTER, EJES FLEET MASTER, 2 PAR DE PATÍN HJ, PISO DE MADERA DE PINO, CON RIEL, 12 MATRACA CORREDIZA, SIN GANCHO, CONCHA LAMINADA A 1.20 M, SIN REDILAS, 2 SISTEMA RETRÁCTIL,  SIN RINES,    SIN LLANTAS,  0  ,   </t>
  </si>
  <si>
    <t xml:space="preserve">SEMIREMOLQUE TIPO: PLATAFORMA 42 FT 3 EJES, CON SUSPENSIÓN FLEET MASTER, EJES FLEET MASTER, 2 PAR DE PATÍN HJ, PISO DE MADERA DE PINO, CON RIEL, 12 MATRACA CORREDIZA, SIN GANCHO, CONCHA LAMINADA A 1.20 M, SIN REDILAS, 2 SISTEMA RETRÁCTIL,  SIN RINES,    SIN LLANTAS,  1 POLINERA  GRANDE, 1 BICiCLETERA,  </t>
  </si>
  <si>
    <t xml:space="preserve">SEMIREMOLQUE TIPO: PLATAFORMA 42 FT 3 EJES, CON SUSPENSIÓN HENDRICKSON, EJES FLEET MASTER, 2 PAR DE PATÍN HJ, PISO DE MADERA DE PINO, CON RIEL, 12 MATRACA CORREDIZA, SIN GANCHO, CONCHA LAMINADA A 1.20 M, SIN REDILAS, 2 SISTEMA RETRÁCTIL,  SIN RINES,    SIN LLANTAS,  1 POLINERA  GRANDE, 1 BICiCLETERA,  </t>
  </si>
  <si>
    <t xml:space="preserve">SEMIREMOLQUE TIPO: PLATAFORMA 42 FT 3 EJES, CON SUSPENSIÓN HENDRICKSON, EJES FLEET MASTER, 2 PAR DE PATÍN HJ, PISO DE PLASTICO NEGRO, CON RIEL, 12 MATRACA CORREDIZA, SIN GANCHO, CONCHA LAMINADA A 1.20 M, SIN REDILAS, 2 SISTEMA RETRÁCTIL,  SIN RINES,    SIN LLANTAS,  1 POLINERA  GRANDE, 1 BICiCLETERA,  </t>
  </si>
  <si>
    <t xml:space="preserve">SEMIREMOLQUE TIPO: PLATAFORMA 42 FT 3 EJES, CON SUSPENSIÓN HENDRICKSON, EJES FLEET MASTER, 2 PAR DE PATÍN HJ, PISO DE PLASTICO NEGRO, CON RIEL, 12 MATRACA CORREDIZA, SIN GANCHO, CONCHA LAMINADA A 1.20 M, SIN REDILAS, 2 SISTEMA RETRÁCTIL, 12 RINES DE ACERO,    SIN LLANTAS,  1 POLINERA  GRANDE, 1 BICiCLETERA,  </t>
  </si>
  <si>
    <t>FOL-16-08-24-2</t>
  </si>
  <si>
    <t xml:space="preserve">SEMIREMOLQUE TIPO: PLATAFORMA 40 FT 2 EJES, CON SUSPENSIÓN HENDRICKSON, EJES FLEET MASTER, 2 PAR DE PATÍN HJ, PISO DE PLASTICO NEGRO, CON RIEL, 10 MATRACA CORREDIZA, GANCHO HOLLAND, CONCHA LAMINADA A 1.20 M, SIN REDILAS, 1 SISTEMA RETRÁCTIL,  SIN RINES,    SIN LLANTAS,  1 POLINERA ATRAVESADA,   </t>
  </si>
  <si>
    <t xml:space="preserve">SEMIREMOLQUE TIPO: PLATAFORMA 40 FT 2 EJES, CON SUSPENSIÓN HENDRICKSON, EJES FLEET MASTER, 2 PAR DE PATÍN HJ, PISO DE PLASTICO NEGRO, CON RIEL, 10 MATRACA CORREDIZA, GANCHO HOLLAND, CONCHA LAMINADA A 1.20 M, SIN REDILAS, 1 SISTEMA RETRÁCTIL,  SIN RINES,    SIN LLANTAS,  1 POLINERA ATRAVESADA, 1 BICiCLETERA,  </t>
  </si>
  <si>
    <t xml:space="preserve">SEMIREMOLQUE TIPO: PLATAFORMA 40 FT 3 EJES, CON SUSPENSIÓN FLEET MASTER, EJES FLEET MASTER, 2 PAR DE PATÍN HJ, PISO DE PLASTICO NEGRO, CON RIEL, 10 MATRACA CORREDIZA, GANCHO HOLLAND, CONCHA LAMINADA A 1.20 M, SIN REDILAS, 1 SISTEMA RETRÁCTIL,  SIN RINES,    SIN LLANTAS,  0  ,   </t>
  </si>
  <si>
    <t xml:space="preserve">SEMIREMOLQUE TIPO: PLATAFORMA 40 FT 2 EJES, CON SUSPENSIÓN FLEET MASTER, EJES FLEET MASTER, 2 PAR DE PATÍN HJ, PISO DE PLASTICO NEGRO, CON RIEL, 10 MATRACA CORREDIZA, GANCHO HOLLAND, CONCHA LAMINADA A 1.20 M, SIN REDILAS, 1 SISTEMA RETRÁCTIL,  SIN RINES,    SIN LLANTAS,  0  ,   </t>
  </si>
  <si>
    <t xml:space="preserve">SEMIREMOLQUE TIPO: PLATAFORMA 40 FT 2 EJES, CON SUSPENSIÓN HENDRICKSON, EJES FLEET MASTER, 2 PAR DE PATÍN HJ, PISO DE PLASTICO NEGRO, CON RIEL, 10 MATRACA CORREDIZA, GANCHO HOLLAND, CONCHA LAMINADA A 1.20 M, SIN REDILAS, 1 SISTEMA RETRÁCTIL, 8 RINES DE ACERO,   8 LLANTAS CHINAS,  0  ,   </t>
  </si>
  <si>
    <t>PD-17-08-24-0</t>
  </si>
  <si>
    <t>PD-19-08-24-0</t>
  </si>
  <si>
    <t>FOL-19-08-24-2</t>
  </si>
  <si>
    <t xml:space="preserve">SEMIREMOLQUE TIPO: PLATAFORMA 40 FT 2 EJES, CON SUSPENSIÓN FLEET MASTER, EJES FLEET MASTER, 2 PAR DE PATÍN HJ, PISO DE PLASTICO NEGRO, CON RIEL, 10 MATRACA CORREDIZA, GANCHO HOLLAND, CONCHA LAMINADA A 1.20 M, SIN REDILAS, 1 SISTEMA RETRÁCTIL, 8 RINES DE ACERO,   8 LLANTAS FIRESTONE,  0  ,   </t>
  </si>
  <si>
    <t>PRESUPUESTO DE DOLLY CON 2 EJES FLEET MASTER,  SUSPENSIÓN FLEET MASTER, 1 SISTEMA RETRÁCTIL, 8 RINES DE ACERO,  SIN RINES, 8 LLANTAS ROYAL BLACK</t>
  </si>
  <si>
    <t xml:space="preserve">SEMIREMOLQUE TIPO: PLATAFORMA 40 FT 2 EJES, CON SUSPENSIÓN FLEET MASTER, EJES FLEET MASTER, 2 PAR DE PATÍN HJ, PISO DE MADERA DE PINO, CON RIEL, 10 MATRACA CORREDIZA, GANCHO HOLLAND, CONCHA LAMINADA A 1.20 M, SIN REDILAS, 1 SISTEMA RETRÁCTIL, 8 RINES DE ACERO,   8 LLANTAS FIRESTONE,  0  ,   </t>
  </si>
  <si>
    <t xml:space="preserve">SEMIREMOLQUE TIPO: PLATAFORMA 40 FT 2 EJES, CON SUSPENSIÓN FLEET MASTER, EJES FLEET MASTER, 2 PAR DE PATÍN HJ, PISO LAMINADO CON BASE DE MADERA, CON RIEL, 10 MATRACA CORREDIZA, GANCHO HOLLAND, CONCHA LAMINADA A 1.20 M, SIN REDILAS, 1 SISTEMA RETRÁCTIL, 8 RINES DE ACERO,   8 LLANTAS FIRESTONE,  1 BICiCLETERA,   </t>
  </si>
  <si>
    <t xml:space="preserve">SEMIREMOLQUE TIPO: PLATAFORMA 40 FT 2 EJES, CON SUSPENSIÓN FLEET MASTER, EJES FLEET MASTER, 2 PAR DE PATÍN HJ, PISO LAMINADO CON BASE DE MADERA, CON RIEL, 10 MATRACA CORREDIZA, GANCHO HOLLAND, CONCHA LAMINADA A 1.20 M, SIN REDILAS, 1 SISTEMA RETRÁCTIL, 8 RINES DE ACERO,   8 LLANTAS FIRESTONE,  2 BICiCLETERA,   </t>
  </si>
  <si>
    <t xml:space="preserve">NOTA: </t>
  </si>
  <si>
    <t>FOL-20-08-24-2</t>
  </si>
  <si>
    <t xml:space="preserve">SEMIREMOLQUE TIPO: PLATAFORMA 40 FT 2 EJES, CON SUSPENSIÓN HENDRICKSON, EJES FLEET MASTER, 2 PAR DE PATÍN HJ, PISO LAMINADO CON BASE DE MADERA, CON RIEL, 10 MATRACA CORREDIZA, GANCHO HOLLAND, CONCHA LAMINADA A 1.20 M, SIN REDILAS, 1 SISTEMA RETRÁCTIL, 8 RINES DE ACERO,   8 LLANTAS FIRESTONE,  2 BICiCLETERA,   </t>
  </si>
  <si>
    <t xml:space="preserve">SEMIREMOLQUE TIPO: PLATAFORMA 40 FT 3 EJES, CON SUSPENSIÓN HENDRICKSON, EJES FLEET MASTER, 2 PAR DE PATÍN HJ, PISO DE PLASTICO NEGRO, CON RIEL, 10 MATRACA CORREDIZA, SIN GANCHO, CONCHA LAMINADA A 1.20 M, SIN REDILAS, 2 SISTEMA RETRÁCTIL,  SIN RINES,    SIN LLANTAS,  2 BICiCLETERA,   </t>
  </si>
  <si>
    <t>PD-21-08-24-0</t>
  </si>
  <si>
    <t>PRESUPUESTO DE DOLLY CON 2 EJES FLEET MASTER,  SUSPENSIÓN FLEET MASTER, 1 SISTEMA RETRÁCTIL, 8 RINES DE ALUMINIO,  SIN RINES, 8 LLANTAS FIRESTONE</t>
  </si>
  <si>
    <t>PRESUPUESTO DE DOLLY CON 2 EJES FLEET MASTER,  SUSPENSIÓN FLEET MASTER, 1 SISTEMA RETRÁCTIL, 8 SIN RINES,  SIN RINES, 8 SIN LLANTAS</t>
  </si>
  <si>
    <t>PRESUPUESTO DE DOLLY CON 2 EJES FLEET MASTER,  SUSPENSIÓN HENDRICKSON, 1 SISTEMA RETRÁCTIL, 8 SIN RINES,  SIN RINES, 8 SIN LLANTAS</t>
  </si>
  <si>
    <t>FOL-22-08-24-2</t>
  </si>
  <si>
    <t xml:space="preserve">SEMIREMOLQUE TIPO: PLATAFORMA 40 FT 2 EJES, CON SUSPENSIÓN ALTA HENDRICKSON, EJES FLEET MASTER, 2 PAR DE PATÍN HJ, PISO LAMINADO CON BASE DE MADERA, CON RIEL, 10 MATRACA CORREDIZA, GANCHO HOLLAND, CONCHA LAMINADA A 1.20 M, SIN REDILAS, 1 SISTEMA RETRÁCTIL, 4 RINES DE ACERO, 4 RINES DE ALUMINIO, 8 LLANTAS FIRESTONE,  20 PLAFONES DE CARRITO AMBAR LATERALES, 16 PLAFONES DE CARRITO ROJOS P/ESTRIBO, 1 BARRENADO SOBRE CHASIS, </t>
  </si>
  <si>
    <t>PD-22-08-24-0</t>
  </si>
  <si>
    <t>PD-27-08-24-0</t>
  </si>
  <si>
    <t>FOL-27-08-24-2</t>
  </si>
  <si>
    <t xml:space="preserve">SEMIREMOLQUE TIPO: PLATAFORMA 40 FT 2 EJES, CON SUSPENSIÓN HENDRICKSON, EJES FLEET MASTER, 2 PAR DE PATÍN HJ, PISO DE PLASTICO NEGRO, CON RIEL, 10 MATRACA CORREDIZA, SIN GANCHO, SIN FRENTE, SIN REDILAS,   SIN SISTEMA RETRÁCTIL, 8 RINES DE ACERO,   8 LLANTAS FIRESTONE,  16 PLAFONES DE CARRITO ROJOS P/ESTRIBO, 20 PLAFONES DE CARRITO AMBAR LATERALES,  </t>
  </si>
  <si>
    <t xml:space="preserve">SEMIREMOLQUE TIPO: PLATAFORMA 40 FT 2 EJES, CON SUSPENSIÓN HENDRICKSON, EJES FLEET MASTER, 2 PAR DE PATÍN HJ, PISO DE PLASTICO NEGRO, CON RIEL, 10 MATRACA CORREDIZA, SIN GANCHO, CONCHA LAMINADA A 1.20 M, SIN REDILAS,   SIN SISTEMA RETRÁCTIL, 8 RINES DE ACERO,   8 LLANTAS FIRESTONE,  16 PLAFONES DE CARRITO ROJOS P/ESTRIBO, 20 PLAFONES DE CARRITO AMBAR LATERALES,  </t>
  </si>
  <si>
    <t xml:space="preserve">SEMIREMOLQUE TIPO: PLATAFORMA 40 FT 2 EJES, CON SUSPENSIÓN HENDRICKSON, EJES FLEET MASTER, 2 PAR DE PATÍN HJ, PISO DE PLASTICO NEGRO, CON RIEL, 10 MATRACA CORREDIZA, GANCHO HOLLAND, CONCHA LAMINADA A 1.20 M, SIN REDILAS,   SIN SISTEMA RETRÁCTIL, 8 RINES DE ACERO,   8 LLANTAS FIRESTONE,  16 PLAFONES DE CARRITO ROJOS P/ESTRIBO, 20 PLAFONES DE CARRITO AMBAR LATERALES,  </t>
  </si>
  <si>
    <t xml:space="preserve">SEMIREMOLQUE TIPO: PLATAFORMA 40 FT 2 EJES, CON SUSPENSIÓN FLEET MASTER, EJES FLEET MASTER, 2 PAR DE PATÍN HJ, PISO DE PLASTICO NEGRO, CON RIEL, 10 MATRACA CORREDIZA, GANCHO HOLLAND, CONCHA LAMINADA A 1.20 M, SIN REDILAS,   SIN SISTEMA RETRÁCTIL, 8 RINES DE ACERO,   8 LLANTAS FIRESTONE,  16 PLAFONES DE CARRITO ROJOS P/ESTRIBO, 20 PLAFONES DE CARRITO AMBAR LATERALES,  </t>
  </si>
  <si>
    <t xml:space="preserve">SEMIREMOLQUE TIPO: PLATAFORMA 40 FT 2 EJES, CON SUSPENSIÓN FLEET MASTER, EJES FLEET MASTER, 2 PAR DE PATÍN HJ, PISO DE PLASTICO NEGRO, CON RIEL, 10 MATRACA CORREDIZA, GANCHO HOLLAND, CONCHA LAMINADA A 1.20 M, SIN REDILAS,   SIN SISTEMA RETRÁCTIL,  SIN RINES,    SIN LLANTAS,  16 PLAFONES DE CARRITO ROJOS P/ESTRIBO, 20 PLAFONES DE CARRITO AMBAR LATERALES,  </t>
  </si>
  <si>
    <t xml:space="preserve">SEMIREMOLQUE TIPO: PLATAFORMA 40 FT 2 EJES, CON SUSPENSIÓN HENDRICKSON, EJES FLEET MASTER, 2 PAR DE PATÍN HJ, PISO DE PLASTICO NEGRO, CON RIEL, 10 MATRACA CORREDIZA, GANCHO HOLLAND, CONCHA LAMINADA A 1.20 M, SIN REDILAS,   SIN SISTEMA RETRÁCTIL,  SIN RINES,    SIN LLANTAS,  16 PLAFONES DE CARRITO ROJOS P/ESTRIBO, 20 PLAFONES DE CARRITO AMBAR LATERALES,  </t>
  </si>
  <si>
    <t xml:space="preserve">SEMIREMOLQUE TIPO: PLATAFORMA 40 FT 2 EJES, CON SUSPENSIÓN HENDRICKSON, EJES AMPRO, 2 PAR DE PATIN AMPRO, PISO DE PLASTICO NEGRO, CON RIEL, 10 MATRACA CORREDIZA, GANCHO HOLLAND, CONCHA LAMINADA A 1.20 M, SIN REDILAS, 1 SISTEMA RETRÁCTIL, 8 RINES DE ACERO,   8 LLANTAS CHINAS,  1 BICiCLETERA, 1 POLINERA  GRANDE, 12 CANDADOS, </t>
  </si>
  <si>
    <t>PD-28-08-24-0</t>
  </si>
  <si>
    <t>PRESUPUESTO DE DOLLY CON 2 EJES AMPRO,  SUSPENSIÓN HENDRICKSON, 1 SISTEMA RETRÁCTIL, 8 RINES DE ACERO,  SIN RINES, 8 LLANTAS CHINAS</t>
  </si>
  <si>
    <t>FOL-28-08-24-2</t>
  </si>
  <si>
    <t>SEMIREMOLQUE TIPO: PLATAFORMA 40 FT 2 EJES, CON SUSPENSIÓN HENDRICKSON, EJES FLEET MASTER, 2 PAR DE PATÍN HOLLAND, PISO DE PLASTICO NEGRO, CON RIEL, 10 MATRACA CORREDIZA, GANCHO HOLLAND, CONCHA LAMINADA A 1.20 M, SIN REDILAS, 1 SISTEMA RETRÁCTIL, 8 RINES DE ACERO,   8 LLANTAS CHINAS,  20 PLAFONES DE CARRITO AMBAR LATERALES, 1 POLINERA  GRANDE, 16 PLAFONES DE CARRITO ROJOS P/ESTRIBO, LODERA DE CENTRO</t>
  </si>
  <si>
    <t>SEMIREMOLQUE TIPO: PLATAFORMA 40 FT 2 EJES, CON SUSPENSIÓN HENDRICKSON, EJES FLEET MASTER, 2 PAR DE PATÍN HOLLAND, PISO DE PLASTICO NEGRO, CON RIEL, 10 MATRACA CORREDIZA, GANCHO HOLLAND, CONCHA LAMINADA A 1.20 M, SIN REDILAS, 1 SISTEMA RETRÁCTIL,  SIN RINES,    SIN LLANTAS,  20 PLAFONES DE CARRITO AMBAR LATERALES, 1 POLINERA  GRANDE, 16 PLAFONES DE CARRITO ROJOS P/ESTRIBO, LODERA DE CENTRO</t>
  </si>
  <si>
    <t>FOL-29-08-24-2</t>
  </si>
  <si>
    <t>SEMIREMOLQUE TIPO: PLATAFORMA 40 FT 2 EJES, CON SUSPENSIÓN FLEET MASTER, EJES FLEET MASTER, 2 PAR DE PATÍN HJ, PISO DE PLASTICO NEGRO, CON RIEL, 10 MATRACA CORREDIZA, GANCHO HOLLAND, SIN FRENTE, SIN REDILAS,   SIN SISTEMA RETRÁCTIL,  SIN RINES,    SIN LLANTAS,  20 PLAFONES DE CARRITO AMBAR LATERALES, 1 POLINERA  GRANDE, 16 PLAFONES DE CARRITO ROJOS P/ESTRIBO, BICiCLETERA</t>
  </si>
  <si>
    <t>SEMIREMOLQUE TIPO: PLATAFORMA 40 FT 2 EJES, CON SUSPENSIÓN ALTA HENDRICKSON, EJES FLEET MASTER, 2 PAR DE PATÍN HOLLAND, PISO DE PLASTICO NEGRO, CON RIEL,  MATRACA CORREDIZA, GANCHO HOLLAND, SIN FRENTE, SIN REDILAS,   SIN SISTEMA RETRÁCTIL,  SIN RINES,    SIN LLANTAS,  20 PLAFONES DE CARRITO AMBAR LATERALES, 1 POLINERA  GRANDE, 16 PLAFONES DE CARRITO ROJOS P/ESTRIBO, BICiCLETERA</t>
  </si>
  <si>
    <t>FOL-30-08-24-2</t>
  </si>
  <si>
    <t>SEMIREMOLQUE TIPO: PLATAFORMA 40 FT 2 EJES, CON SUSPENSIÓN FLEET MASTER, EJES FLEET MASTER, 2 PAR DE PATÍN HJ, PISO DE PLASTICO NEGRO, CON RIEL, 10 MATRACA CORREDIZA, GANCHO HOLLAND, SIN FRENTE, SIN REDILAS,   SIN SISTEMA RETRÁCTIL, 8 RINES DE ALUMINIO,   8 LLANTAS FIRESTONE,  20 PLAFONES DE CARRITO AMBAR LATERALES, 1 POLINERA  GRANDE, 16 PLAFONES DE CARRITO ROJOS P/ESTRIBO, BICiCLETERA</t>
  </si>
  <si>
    <t>PD-30-08-24-0</t>
  </si>
  <si>
    <t>FOL-03-09-24-2</t>
  </si>
  <si>
    <t>SEMIREMOLQUE TIPO: PLATAFORMA 40 FT 3 EJES, CON SUSPENSIÓN HENDRICKSON, EJES FLEET MASTER, 2 PAR DE PATÍN HJ, PISO DE PLASTICO NEGRO, CON RIEL, 12 MATRACA CORREDIZA, SIN GANCHO, SIN FRENTE, SIN REDILAS, 2 SISTEMA RETRÁCTIL,  SIN RINES,    SIN LLANTAS,  1 LODERA DE CENTRO, 1 POLINERA  GRANDE,  BICiCLETERA</t>
  </si>
  <si>
    <t>SEMIREMOLQUE TIPO: PLATAFORMA 40 FT 3 EJES, CON SUSPENSIÓN FLEET MASTER, EJES FLEET MASTER, 2 PAR DE PATÍN HJ, PISO DE PLASTICO NEGRO, CON RIEL, 12 MATRACA CORREDIZA, SIN GANCHO, SIN FRENTE, SIN REDILAS, 2 SISTEMA RETRÁCTIL,  SIN RINES,    SIN LLANTAS,  1 LODERA DE CENTRO, 1 POLINERA  GRANDE,  BICiCLETERA</t>
  </si>
  <si>
    <t>FOL-06-09-24-2</t>
  </si>
  <si>
    <t xml:space="preserve">SEMIREMOLQUE TIPO: PLATAFORMA 40 FT 3 EJES, CON SUSPENSIÓN HENDRICKSON, EJES FLEET MASTER, 2 PAR DE PATÍN HOLLAND, PISO DE PLASTICO NEGRO, CON RIEL, 10 MATRACA CORREDIZA, SIN GANCHO, CONCHA LAMINADA A 1.20 M, SIN REDILAS, 1 SISTEMA RETRÁCTIL,  SIN RINES,    SIN LLANTAS,  2 BICiCLETERA,   </t>
  </si>
  <si>
    <t>FOL-11-09-24-2</t>
  </si>
  <si>
    <t xml:space="preserve">SEMIREMOLQUE TIPO: PLATAFORMA 45 FT 3 EJES, CON SUSPENSIÓN FLEET MASTER, EJES FLEET MASTER, 2 PAR DE PATÍN HOLLAND, PISO DE PLASTICO NEGRO, CON RIEL, 15 MATRACA CORREDIZA, SIN GANCHO, CONCHA LAMINADA A 1.20 M, SIN REDILAS, 2 SISTEMA RETRÁCTIL,  SIN RINES,    SIN LLANTAS,  0  ,   </t>
  </si>
  <si>
    <t xml:space="preserve">SEMIREMOLQUE TIPO: PLATAFORMA 45 FT 3 EJES, CON SUSPENSIÓN FLEET MASTER, EJES FLEET MASTER, 2 PAR DE PATÍN HOLLAND, SIN PISO, CON RIEL, 15 MATRACA CORREDIZA, SIN GANCHO, CONCHA LAMINADA A 1.20 M, SIN REDILAS, 2 SISTEMA RETRÁCTIL,  SIN RINES,    SIN LLANTAS,  0  ,   </t>
  </si>
  <si>
    <t xml:space="preserve">SEMIREMOLQUE TIPO: PLATAFORMA 45 FT 3 EJES, CON SUSPENSIÓN FLEET MASTER, EJES FLEET MASTER, 2 PAR DE PATÍN HJ, SIN PISO, CON RIEL, 15 MATRACA CORREDIZA, SIN GANCHO, CONCHA LAMINADA A 1.20 M, SIN REDILAS, 2 SISTEMA RETRÁCTIL,  SIN RINES,    SIN LLANTAS,  0  ,   </t>
  </si>
  <si>
    <t>FOL-12-09-24-2</t>
  </si>
  <si>
    <t xml:space="preserve">SEMIREMOLQUE TIPO: PLATAFORMA 40 FT 2 EJES, CON SUSPENSIÓN HENDRICKSON, EJES FLEET MASTER, 2 PAR DE PATÍN HJ, PISO DE PLASTICO NEGRO, CON RIEL, 10 MATRACA CORREDIZA, GANCHO HOLLAND, CONCHA LAMINADA A 1.20 M, SIN REDILAS, 1 SISTEMA RETRÁCTIL,  SIN RINES,    SIN LLANTAS,  0  ,   </t>
  </si>
  <si>
    <t>PD-13-09-24-0</t>
  </si>
  <si>
    <t>FOL-13-09-24-2</t>
  </si>
  <si>
    <t xml:space="preserve">SEMIREMOLQUE TIPO: PLATAFORMA 42 FT 3 EJES, CON SUSPENSIÓN FLEET MASTER, EJES FLEET MASTER, 2 PAR DE PATÍN HJ, PISO DE PLASTICO NEGRO, CON RIEL, 11 MATRACA CORREDIZA, SIN GANCHO, CONCHA LAMINADA A 1.20 M, SIN REDILAS, 2 SISTEMA RETRÁCTIL,  SIN RINES,    SIN LLANTAS,  1 POLINERA  GRANDE,   </t>
  </si>
  <si>
    <t>PD-14-09-24-0</t>
  </si>
  <si>
    <t>PRESUPUESTO DE DOLLY CON 2 EJES FLEET MASTER,  SUSPENSIÓN HENDRICKSON,  SIN SISTEMA RETRÁCTIL, 8 SIN RINES,  SIN RINES, 8 SIN LLANTAS</t>
  </si>
  <si>
    <t>FOL-14-09-24-2</t>
  </si>
  <si>
    <t xml:space="preserve">SEMIREMOLQUE TIPO: PLATAFORMA 42 FT 3 EJES, CON SUSPENSIÓN ALTA HENDRICKSON, EJES FLEET MASTER, 2 PAR DE PATÍN HJ, PISO DE PLASTICO NEGRO, CON RIEL, 11 MATRACA CORREDIZA, SIN GANCHO, CONCHA LAMINADA A 1.20 M, SIN REDILAS, 2 SISTEMA RETRÁCTIL,  SIN RINES,    SIN LLANTAS,  1 POLINERA  GRANDE,   </t>
  </si>
  <si>
    <t xml:space="preserve">SEMIREMOLQUE TIPO: PLATAFORMA 42 FT 3 EJES, CON SUSPENSIÓN HENDRICKSON, EJES FLEET MASTER, 2 PAR DE PATÍN HJ, PISO DE PLASTICO NEGRO, CON RIEL, 11 MATRACA CORREDIZA, SIN GANCHO, CONCHA LAMINADA A 1.20 M, SIN REDILAS, 2 SISTEMA RETRÁCTIL,  SIN RINES,    SIN LLANTAS,  1 POLINERA  GRANDE,   </t>
  </si>
  <si>
    <t xml:space="preserve">SEMIREMOLQUE TIPO: PLATAFORMA 42 FT 3 EJES, CON SUSPENSIÓN ALTA FLEET MASTER, EJES FLEET MASTER, 2 PAR DE PATÍN HJ, PISO DE PLASTICO NEGRO, CON RIEL, 11 MATRACA CORREDIZA, SIN GANCHO, CONCHA LAMINADA A 1.20 M, SIN REDILAS, 2 SISTEMA RETRÁCTIL,  SIN RINES,    SIN LLANTAS,  1 POLINERA  GRANDE,   </t>
  </si>
  <si>
    <t>FOL-18-09-24-2</t>
  </si>
  <si>
    <t xml:space="preserve">SEMIREMOLQUE TIPO: PLATAFORMA 40 FT 2 EJES, CON SUSPENSIÓN FLEET MASTER, EJES FLEET MASTER, 2 PAR DE PATÍN HJ, PISO DE PLASTICO NEGRO, CON RIEL, 10 MATRACA CORREDIZA, GANCHO HOLLAND, CONCHA LAMINADA A 1.20 M, SIN REDILAS, 1 SISTEMA RETRÁCTIL,  SIN RINES,    SIN LLANTAS,  1 POLINERA  GRANDE,   </t>
  </si>
  <si>
    <t>PD-18-09-24-0</t>
  </si>
  <si>
    <t xml:space="preserve">SEMIREMOLQUE TIPO: PLATAFORMA 40 FT 2 EJES, CON SUSPENSIÓN FLEET MASTER, EJES FLEET MASTER, 2 PAR DE PATÍN HJ, PISO DE PLASTICO NEGRO, CON RIEL, 10 MATRACA CORREDIZA, GANCHO HOLLAND, CONCHA LAMINADA A 1.20 M, SIN REDILAS, 1 SISTEMA RETRÁCTIL,  SIN RINES,    SIN LLANTAS,  1 POLINERA  GRANDE, 1 BICiCLETERA,  </t>
  </si>
  <si>
    <t>FOL-19-09-24-2</t>
  </si>
  <si>
    <t xml:space="preserve">SEMIREMOLQUE TIPO: PLATAFORMA 40 FT 2 EJES, CON SUSPENSIÓN FLEET MASTER, EJES FLEET MASTER, 2 PAR DE PATÍN HJ, PISO DE PLASTICO NEGRO, CON RIEL, 10 MATRACA CORREDIZA, GANCHO HOLLAND, CONCHA LAMINADA A 1.20 M, SIN REDILAS, 1 SISTEMA RETRÁCTIL,  SIN RINES,   1 LLANTAS FIRESTONE,  1 POLINERA  GRANDE, 1 BICiCLETERA,  </t>
  </si>
  <si>
    <t xml:space="preserve">SEMIREMOLQUE TIPO: PLATAFORMA 40 FT 2 EJES, CON SUSPENSIÓN HENDRICKSON, EJES FLEET MASTER, 1 PAR DE PATÍN HJ, PISO DE MADERA DE ENCINO, CON RIEL, 10 MATRACA CORREDIZA, GANCHO HOLLAND, CONCHA LAMINADA A 1.20 M, SIN REDILAS, 1 SISTEMA RETRÁCTIL, 8 RINES DE ACERO,   8 LLANTAS FIRESTONE,  1 POLINERA  GRANDE, 1 BICiCLETERA,  </t>
  </si>
  <si>
    <t>PD-24-09-24-0</t>
  </si>
  <si>
    <t>FOL-26-09-24-2</t>
  </si>
  <si>
    <t>SEMIREMOLQUE TIPO: PLATAFORMA 40 FT 3 EJES, CON SUSPENSIÓN FLEET MASTER, EJES FLEET MASTER, 2 PAR DE PATÍN HJ, PISO DE PLASTICO NEGRO, CON RIEL, 10 MATRACA CORREDIZA, GANCHO HOLLAND, SIN FRENTE, SIN REDILAS, 2 SISTEMA RETRÁCTIL, 6 RINES DE ACERO, 6 RINES DE ALUMINIO,  SIN LLANTAS,  1 POLINERA  GRANDE, 2 BICiCLETERA, 16 PLAFONES DE CARRITO ROJOS P/ESTRIBO, PLAFONES DE CARRITO AMBAR LATERALES</t>
  </si>
  <si>
    <t>SEMIREMOLQUE TIPO: PLATAFORMA 40 FT 2 EJES, CON SUSPENSIÓN HENDRICKSON, EJES FLEET MASTER, 2 PAR DE PATÍN HJ, PISO DE PLASTICO NEGRO, CON RIEL, 10 MATRACA CORREDIZA, GANCHO HOLLAND, BURRO LAMINADO A 1.20 M, SIN REDILAS,   SIN SISTEMA RETRÁCTIL, 8 RINES DE ACERO,  SIN RINES, 8 LLANTAS FIRESTONE,  0 POLINERA  GRANDE, 2 BICiCLETERA, 1 BARRENADO SOBRE CHASIS, PLAFONES DE CARRITO AMBAR LATERALES</t>
  </si>
  <si>
    <t>SEMIREMOLQUE TIPO: PLATAFORMA 40 FT 2 EJES, CON SUSPENSIÓN FLEET MASTER, EJES FLEET MASTER, 2 PAR DE PATÍN HJ, PISO DE PLASTICO NEGRO, CON RIEL, 10 MATRACA CORREDIZA, GANCHO HOLLAND, BURRO LAMINADO A 1.20 M, SIN REDILAS,   SIN SISTEMA RETRÁCTIL, 8 RINES DE ACERO,  SIN RINES, 8 LLANTAS CHINAS,  0 POLINERA  GRANDE, 2 BICiCLETERA, 1 BARRENADO SOBRE CHASIS, PLAFONES DE CARRITO AMBAR LATERALES</t>
  </si>
  <si>
    <t>SEMIREMOLQUE TIPO: PLATAFORMA 40 FT 2 EJES, CON SUSPENSIÓN FLEET MASTER, EJES FLEET MASTER, 2 PAR DE PATÍN HJ, PISO DE PLÁSTICO CAFÉ, CON RIEL, 10 MATRACA CORREDIZA, GANCHO HOLLAND, BURRO LAMINADO A 1.20 M, SIN REDILAS,   SIN SISTEMA RETRÁCTIL, 8 RINES DE ACERO,  SIN RINES, 8 LLANTAS CHINAS,  0 POLINERA  GRANDE, 2 BICiCLETERA, 1 BARRENADO SOBRE CHASIS, PLAFONES DE CARRITO AMBAR LATERALES</t>
  </si>
  <si>
    <t>SEMIREMOLQUE TIPO: PLATAFORMA 40 FT 2 EJES, CON SUSPENSIÓN FLEET MASTER, EJES FLEET MASTER, 1 PAR DE PATÍN HJ, PISO DE PLÁSTICO CAFÉ, CON RIEL, 10 MATRACA CORREDIZA, GANCHO HOLLAND, BURRO LAMINADO A 1.20 M, SIN REDILAS,   SIN SISTEMA RETRÁCTIL, 8 RINES DE ACERO,  SIN RINES, 8 LLANTAS CHINAS,  0 POLINERA  GRANDE, 2 BICiCLETERA, 1 BARRENADO SOBRE CHASIS, PLAFONES DE CARRITO AMBAR LATERALES</t>
  </si>
  <si>
    <t>PD-27-09-24-0</t>
  </si>
  <si>
    <t>FOL-30-09-24-2</t>
  </si>
  <si>
    <t>SEMIREMOLQUE TIPO: PLATAFORMA 40 FT 3 EJES, CON SUSPENSIÓN FLEET MASTER, EJES FLEET MASTER, 2 PAR DE PATÍN HJ, PISO DE MADERA DE PINO, CON RIEL, 10 MATRACA CORREDIZA, GANCHO HOLLAND, CONCHA LAMINADA A 1.20 M, SIN REDILAS, 2 SISTEMA RETRÁCTIL, 12 RINES DE ALUMINIO,  SIN RINES, 12 LLANTAS AMULET,  1 POLINERA  GRANDE, 2 BICiCLETERA, 1 PORTALLANTAS EXTRA, PLAFONES DE CARRITO AMBAR LATERALES</t>
  </si>
  <si>
    <t>SEMIREMOLQUE TIPO: PLATAFORMA 40 FT 3 EJES, CON SUSPENSIÓN FLEET MASTER, EJES FLEET MASTER, 2 PAR DE PATÍN HJ, PISO DE MADERA DE PINO, CON RIEL, 10 MATRACA CORREDIZA, GANCHO HOLLAND, CONCHA LAMINADA A 1.20 M, SIN REDILAS, 2 SISTEMA RETRÁCTIL, 12 RINES DE ACERO,  SIN RINES, 12 LLANTAS AMULET,  1 POLINERA  GRANDE, 2 BICiCLETERA, 1 PORTALLANTAS EXTRA, PLAFONES DE CARRITO AMBAR LATERALES</t>
  </si>
  <si>
    <t>FOL-02-10-24-2</t>
  </si>
  <si>
    <t>SEMIREMOLQUE TIPO: PLATAFORMA 40 FT 2 EJES, CON SUSPENSIÓN FLEET MASTER, EJES AMPRO, 1 PAR DE PATÍN HOLLAND, PISO DE PLASTICO NEGRO, CON RIEL, 10 MATRACA CORREDIZA, GANCHO PREMIER, BURRO LAMINADO A 1.20 M, REDILAS DE 80 CM, 1 SISTEMA RETRÁCTIL,  SIN RINES,  SIN RINES,  SIN LLANTAS,  0 POLINERA  GRANDE, 2 BICiCLETERA,  PORTALLANTAS EXTRA, PLAFONES DE CARRITO AMBAR LATERALES</t>
  </si>
  <si>
    <t>SEMIREMOLQUE TIPO: PLATAFORMA 40 FT 2 EJES, CON SUSPENSIÓN HENDRICKSON, EJES AMPRO, 1 PAR DE PATÍN HOLLAND, PISO DE PLASTICO NEGRO, CON RIEL, 10 MATRACA CORREDIZA, GANCHO PREMIER, BURRO LAMINADO A 1.20 M, REDILAS DE 80 CM, 1 SISTEMA RETRÁCTIL,  SIN RINES,  SIN RINES,  SIN LLANTAS,  0 POLINERA  GRANDE, 2 BICiCLETERA,  PORTALLANTAS EXTRA, PLAFONES DE CARRITO AMBAR LATERALES</t>
  </si>
  <si>
    <t>SEMIREMOLQUE TIPO: PLATAFORMA 40 FT 2 EJES, CON SUSPENSIÓN HENDRICKSON, EJES AMPRO, 1 PAR DE PATÍN HOLLAND, PISO DE PLÁSTICO CAFÉ, CON RIEL, 10 MATRACA CORREDIZA, GANCHO PREMIER, BURRO A 1 M, REDILAS DE 70 CM,   SIN SISTEMA RETRÁCTIL,  SIN RINES,  SIN RINES,  SIN LLANTAS,  0 POLINERA  GRANDE, 2 BICiCLETERA,  PORTALLANTAS EXTRA, PLAFONES DE CARRITO AMBAR LATERALES</t>
  </si>
  <si>
    <t>SEMIREMOLQUE TIPO: PLATAFORMA 40 FT 2 EJES, CON SUSPENSIÓN HENDRICKSON, EJES FLEET MASTER, 2 PAR DE PATIN AMPRO, PISO DE PLÁSTICO CAFÉ, CON RIEL, 12 MATRACA CORREDIZA, GANCHO HOLLAND, BURRO LAMINADO A 1.20 M, REDILAS DE 80 CM, 1 SISTEMA RETRÁCTIL, 8 RINES DE ACERO,  SIN RINES, 8 LLANTAS FIRESTONE,  1 POLINERA  GRANDE, 2 BICiCLETERA,  PORTALLANTAS EXTRA, PLAFONES DE CARRITO AMBAR LATERALES</t>
  </si>
  <si>
    <t>SEMIREMOLQUE TIPO: PLATAFORMA 40 FT 2 EJES, CON SUSPENSIÓN HENDRICKSON, EJES FLEET MASTER, 2 PAR DE PATIN AMPRO, PISO DE PLÁSTICO CAFÉ, CON RIEL, 12 MATRACA CORREDIZA, GANCHO HOLLAND, BURRO LAMINADO A 1.20 M, REDILAS DE 80 CM, 1 SISTEMA RETRÁCTIL, 8 RINES DE ACERO,  SIN RINES, 8 LLANTAS FIRESTONE,  1 POLINERA  GRANDE, 2 BICiCLETERA, 1 LODERA DE CENTRO, PLAFONES DE CARRITO AMBAR LATERALES</t>
  </si>
  <si>
    <t>SEMIREMOLQUE TIPO: PLATAFORMA 40 FT 2 EJES, CON SUSPENSIÓN HENDRICKSON, EJES FLEET MASTER, 2 PAR DE PATIN AMPRO, PISO DE PLÁSTICO CAFÉ, CON RIEL, 12 MATRACA CORREDIZA, GANCHO HOLLAND, BURRO LAMINADO A 1.20 M, REDILAS DE 80 CM, 1 SISTEMA RETRÁCTIL,  SIN RINES,  SIN RINES,  SIN LLANTAS,  1 POLINERA  GRANDE, 2 BICiCLETERA, 1 LODERA DE CENTRO, PLAFONES DE CARRITO AMBAR LATERALES</t>
  </si>
  <si>
    <t>PD-02-10-24-0</t>
  </si>
  <si>
    <t>PRESUPUESTO DE DOLLY CON 2 EJES FLEET MASTER,  SUSPENSIÓN HENDRICKSON, 1 SISTEMA RETRÁCTIL,  RINES DE ACERO,  SIN RINES,  LLANTAS FIRESTONE</t>
  </si>
  <si>
    <t>FOL-04-10-24-2</t>
  </si>
  <si>
    <t>SEMIREMOLQUE TIPO: PLATAFORMA 42 FT 3 EJES, CON SUSPENSIÓN FLEET MASTER, EJES FLEET MASTER, 2 PAR DE PATIN AMPRO, PISO LAMINADO CON BASE DE MADERA, CON RIEL, 12 MATRACA CORREDIZA, SIN GANCHO, CONCHA LAMINADA A 1.70 M, REDILAS DE 80 CM, 1 SISTEMA RETRÁCTIL, 12 RINES DE ACERO,  SIN RINES, 12 LLANTAS CHINAS,  0 POLINERA  GRANDE, 2 BICiCLETERA,  LODERA DE CENTRO, PLAFONES DE CARRITO AMBAR LATERALES</t>
  </si>
  <si>
    <t>SEMIREMOLQUE TIPO: PLATAFORMA 42 FT 3 EJES, CON SUSPENSIÓN FLEET MASTER, EJES FLEET MASTER, 2 PAR DE PATIN AMPRO, PISO LAMINADO CON BASE DE MADERA, CON RIEL, 12 MATRACA CORREDIZA, SIN GANCHO, CONCHA LAMINADA A 1.70 M, REDILAS DE 80 CM, 1 SISTEMA RETRÁCTIL, 12 RINES DE ACERO,  SIN RINES, 12 LLANTAS CHINAS,  0 POLINERA  GRANDE,  BICiCLETERA,  LODERA DE CENTRO, PLAFONES DE CARRITO AMBAR LATERALES</t>
  </si>
  <si>
    <t>SEMIREMOLQUE TIPO: PLATAFORMA 42 FT 3 EJES, CON SUSPENSIÓN FLEET MASTER, EJES FLEET MASTER, 2 PAR DE PATIN AMPRO, PISO DE PLASTICO NEGRO, CON RIEL, 12 MATRACA CORREDIZA, SIN GANCHO, CONCHA LAMINADA A 1.70 M, REDILAS DE 80 CM, 1 SISTEMA RETRÁCTIL, 12 RINES DE ACERO,  SIN RINES, 12 LLANTAS CHINAS,  0 POLINERA  GRANDE,  BICiCLETERA,  LODERA DE CENTRO, PLAFONES DE CARRITO AMBAR LATERALES</t>
  </si>
  <si>
    <t>SEMIREMOLQUE TIPO: PLATAFORMA 42 FT 3 EJES, CON SUSPENSIÓN FLEET MASTER, EJES FLEET MASTER, 2 PAR DE PATIN AMPRO, PISO LAMINADO CON BASE DE PLÁSTICO, CON RIEL, 12 MATRACA CORREDIZA, SIN GANCHO, CONCHA LAMINADA A 1.70 M, REDILAS DE 80 CM, 1 SISTEMA RETRÁCTIL, 12 RINES DE ACERO,  SIN RINES, 12 LLANTAS CHINAS,  0 POLINERA  GRANDE,  BICiCLETERA,  LODERA DE CENTRO, PLAFONES DE CARRITO AMBAR LATERALES</t>
  </si>
  <si>
    <t>SEMIREMOLQUE TIPO: PLATAFORMA 42 FT 3 EJES, CON SUSPENSIÓN FLEET MASTER, EJES FLEET MASTER, 2 PAR DE PATIN AMPRO, PISO LAMINADO CON BASE DE PLÁSTICO, CON RIEL, 12 MATRACA CORREDIZA, SIN GANCHO, CONCHA LAMINADA A 1.70 M, REDILAS DE 80 CM, 1 SISTEMA RETRÁCTIL, 12 RINES DE ACERO,  SIN RINES, 12 LLANTAS CHINAS,  0 POLINERA  GRANDE,  BICiCLETERA, 1 PATA DE ELEFANTE, PLAFONES DE CARRITO AMBAR LATERALES</t>
  </si>
  <si>
    <t>SEMIREMOLQUE TIPO: PLATAFORMA 42 FT 3 EJES, CON SUSPENSIÓN FLEET MASTER, EJES FLEET MASTER, 2 PAR DE PATIN AMPRO, PISO LAMINADO CON BASE DE PLÁSTICO, CON RIEL, 12 MATRACA CORREDIZA, GANCHO HOLLAND, CONCHA LAMINADA A 1.70 M, REDILAS DE 80 CM, 1 SISTEMA RETRÁCTIL, 12 RINES DE ACERO,  SIN RINES, 12 LLANTAS CHINAS,  0 POLINERA  GRANDE,  BICiCLETERA, 1 PATA DE ELEFANTE, PLAFONES DE CARRITO AMBAR LATERALES</t>
  </si>
  <si>
    <t>SEMIREMOLQUE TIPO: PLATAFORMA 42 FT 3 EJES, CON SUSPENSIÓN FLEET MASTER, EJES FLEET MASTER, 2 PAR DE PATIN AMPRO, PISO LAMINADO CON BASE DE PLÁSTICO, CON RIEL, 12 MATRACA CORREDIZA, GANCHO PREMIER, CONCHA LAMINADA A 1.70 M, REDILAS DE 80 CM, 1 SISTEMA RETRÁCTIL, 12 RINES DE ACERO,  SIN RINES, 12 LLANTAS CHINAS,  0 POLINERA  GRANDE,  BICiCLETERA, 1 PATA DE ELEFANTE, PLAFONES DE CARRITO AMBAR LATERALES</t>
  </si>
  <si>
    <t>SEMIREMOLQUE TIPO: PLATAFORMA 42 FT 3 EJES, CON SUSPENSIÓN FLEET MASTER, EJES FLEET MASTER, 2 PAR DE PATIN AMPRO, PISO DE MADERA DE PINO, CON RIEL, 12 MATRACA CORREDIZA, GANCHO PREMIER, CONCHA LAMINADA A 1.70 M, REDILAS DE 80 CM, 1 SISTEMA RETRÁCTIL, 12 RINES DE ACERO,  SIN RINES, 12 LLANTAS CHINAS,  0 POLINERA  GRANDE,  BICiCLETERA, 1 PATA DE ELEFANTE, PLAFONES DE CARRITO AMBAR LATERALES</t>
  </si>
  <si>
    <t>SEMIREMOLQUE TIPO: PLATAFORMA 42 FT 3 EJES, CON SUSPENSIÓN FLEET MASTER, EJES FLEET MASTER, 2 PAR DE PATIN AMPRO, PISO DE MADERA DE ENCINO, CON RIEL, 12 MATRACA CORREDIZA, GANCHO PREMIER, CONCHA LAMINADA A 1.70 M, REDILAS DE 80 CM, 1 SISTEMA RETRÁCTIL, 12 RINES DE ACERO,  SIN RINES, 12 LLANTAS CHINAS,  0 POLINERA  GRANDE,  BICiCLETERA, 1 PATA DE ELEFANTE, PLAFONES DE CARRITO AMBAR LATERALES</t>
  </si>
  <si>
    <t>FOL-07-10-24-2</t>
  </si>
  <si>
    <t>SEMIREMOLQUE TIPO: PLATAFORMA 40 FT 3 EJES, CON SUSPENSIÓN FLEET MASTER, EJES FLEET MASTER, 2 PAR DE PATÍN HJ, PISO DE PLÁSTICO CAFÉ, CON RIEL, 10 MATRACA CORREDIZA, SIN GANCHO, CONCHA LAMINADA A 1.20 M, SIN REDILAS, 1 SISTEMA RETRÁCTIL,  SIN RINES,  SIN RINES,  SIN LLANTAS,  0 POLINERA  GRANDE,  BICiCLETERA,  PATA DE ELEFANTE, PLAFONES DE CARRITO AMBAR LATERALES</t>
  </si>
  <si>
    <t xml:space="preserve">SEMIREMOLQUE TIPO: PLATAFORMA 40 FT 3 EJES, CON SUSPENSIÓN FLEET MASTER, EJES FLEET MASTER, 2 PAR DE PATÍN HJ, PISO DE PLÁSTICO CAFÉ, CON RIEL, 10 MATRACA CORREDIZA, SIN GANCHO, CONCHA LAMINADA A 1.20 M, SIN REDILAS, 1 SISTEMA RETRÁCTIL,  SIN RINES,  SIN RINES,  SIN LLANTAS,  0  ,   </t>
  </si>
  <si>
    <t>FOL-08-10-24-2</t>
  </si>
  <si>
    <t xml:space="preserve">SEMIREMOLQUE TIPO: PLATAFORMA 40 FT 2 EJES, CON SUSPENSIÓN HENDRICKSON, EJES AMPRO, 2 PAR DE PATÍN HJ, PISO DE PLÁSTICO CAFÉ, CON RIEL, 12 MATRACA CORREDIZA, GANCHO PREMIER, CONCHA LAMINADA A 1.20 M, SIN REDILAS, 1 SISTEMA RETRÁCTIL, 8 RINES DE ACERO,  SIN RINES, 8 LLANTAS CHINAS,  1 POLINERA  GRANDE, 2 BICiCLETERA, 20 PLAFONES DE CARRITO AMBAR LATERALES, </t>
  </si>
  <si>
    <t xml:space="preserve">SEMIREMOLQUE TIPO: PLATAFORMA 40 FT 2 EJES, CON SUSPENSIÓN FLEET MASTER, EJES FLEET MASTER, 2 PAR DE PATÍN HJ, PISO DE PLÁSTICO CAFÉ, CON RIEL, 10 MATRACA CORREDIZA, GANCHO PREMIER, CONCHA LAMINADA A 1.20 M, SIN REDILAS, 1 SISTEMA RETRÁCTIL,  SIN RINES,  SIN RINES,  SIN LLANTAS,  1 POLINERA  GRANDE, 2 BICiCLETERA,  </t>
  </si>
  <si>
    <t xml:space="preserve">SEMIREMOLQUE TIPO: PLATAFORMA 40 FT 2 EJES, CON SUSPENSIÓN FLEET MASTER, EJES FLEET MASTER, 2 PAR DE PATÍN HJ, PISO LAMINADO CON BASE DE MADERA, CON RIEL, 10 MATRACA CORREDIZA, GANCHO PREMIER, CONCHA LAMINADA A 1.20 M, SIN REDILAS, 1 SISTEMA RETRÁCTIL,  SIN RINES,  SIN RINES,  SIN LLANTAS,  1 POLINERA  GRANDE, 2 BICiCLETERA,  </t>
  </si>
  <si>
    <t>FOL-09-10-24-2</t>
  </si>
  <si>
    <t xml:space="preserve">SEMIREMOLQUE TIPO: PLATAFORMA 40 FT 2 EJES, CON SUSPENSIÓN FLEET MASTER, EJES FLEET MASTER, 2 PAR DE PATÍN HJ, PISO LAMINADO CON BASE DE MADERA, CON RIEL, 10 MATRACA CORREDIZA, GANCHO HOLLAND, CONCHA LAMINADA A 1.20 M, SIN REDILAS, 1 SISTEMA RETRÁCTIL,  SIN RINES,  SIN RINES,  SIN LLANTAS,  1 POLINERA  GRANDE, 1 LODERA DE CENTRO,  </t>
  </si>
  <si>
    <t>FOL-10-10-24-2</t>
  </si>
  <si>
    <t xml:space="preserve">SEMIREMOLQUE TIPO: PLATAFORMA 45 FT 3 EJES, CON SUSPENSIÓN HENDRICKSON, EJES FLEET MASTER, 2 PAR DE PATÍN HJ, PISO DE MADERA DE PINO, CON RIEL, 12 MATRACA CORREDIZA,  , CONCHA LAMINADA A 1.20 M, SIN REDILAS, 1 SISTEMA RETRÁCTIL,  SIN RINES,  SIN RINES,  SIN LLANTAS,  2 BICiCLETERA, 1 BARRENADO SOBRE CHASIS,  </t>
  </si>
  <si>
    <t>FOL-11-10-24-2</t>
  </si>
  <si>
    <t xml:space="preserve">SEMIREMOLQUE TIPO: PLATAFORMA 40 FT 3 EJES, CON SUSPENSIÓN HENDRICKSON, EJES FLEET MASTER, 2 PAR DE PATÍN HJ, PISO DE PLÁSTICO CAFÉ, CON RIEL, 12 MATRACA CORREDIZA,  , CONCHA LAMINADA A 1.20 M, SIN REDILAS, 1 SISTEMA RETRÁCTIL,  SIN RINES,  SIN RINES,  SIN LLANTAS,  0  ,   </t>
  </si>
  <si>
    <t>FOL-18-10-24-2</t>
  </si>
  <si>
    <t xml:space="preserve">SEMIREMOLQUE TIPO: PLATAFORMA 40 FT 2 EJES, CON SUSPENSIÓN HENDRICKSON, EJES FLEET MASTER, 2 PAR DE PATIN AMPRO, PISO LAMINADO CON BASE DE PLÁSTICO, CON RIEL, 10 MATRACA CORREDIZA, GANCHO HOLLAND, CONCHA LAMINADA A 1.20 M, REDILAS DE 80 CM, 1 SISTEMA RETRÁCTIL,  SIN RINES,  SIN RINES,  SIN LLANTAS,  14 PLAFONES DE CARRITO AMBAR LATERALES, 16 PLAFONES DE CARRITO ROJOS P/ESTRIBO,  </t>
  </si>
  <si>
    <t xml:space="preserve">SEMIREMOLQUE TIPO: PLATAFORMA 40 FT 2 EJES, CON SUSPENSIÓN FLEET MASTER, EJES FLEET MASTER, 2 PAR DE PATIN AMPRO, PISO LAMINADO CON BASE DE PLÁSTICO, CON RIEL, 10 MATRACA CORREDIZA, GANCHO HOLLAND, CONCHA LAMINADA A 1.20 M, REDILAS DE 80 CM, 1 SISTEMA RETRÁCTIL,  SIN RINES,  SIN RINES,  SIN LLANTAS,  14 PLAFONES DE CARRITO AMBAR LATERALES, 16 PLAFONES DE CARRITO ROJOS P/ESTRIBO,  </t>
  </si>
  <si>
    <t>PD-18-10-24-0</t>
  </si>
  <si>
    <t>PRESUPUESTO DE DOLLY CON 2 EJES FLEET MASTER,  SUSPENSIÓN FLEET MASTER, 1 SISTEMA RETRÁCTIL,  RINES DE ACERO,  SIN RINES,  LLANTAS FIRESTONE</t>
  </si>
  <si>
    <t xml:space="preserve">SEMIREMOLQUE TIPO: PLATAFORMA 40 FT 2 EJES, CON SUSPENSIÓN FLEET MASTER, EJES FLEET MASTER, 2 PAR DE PATÍN HJ, PISO DE PLÁSTICO CAFÉ, CON RIEL, 10 MATRACA CORREDIZA, GANCHO HOLLAND, CONCHA LAMINADA A 1.20 M, SIN REDILAS, 1 SISTEMA RETRÁCTIL,  SIN RINES,  SIN RINES,  SIN LLANTAS,  2 BICiCLETERA,   </t>
  </si>
  <si>
    <t xml:space="preserve">SEMIREMOLQUE TIPO: PLATAFORMA 40 FT 2 EJES, CON SUSPENSIÓN FLEET MASTER, EJES FLEET MASTER, 2 PAR DE PATÍN HJ, PISO DE PLÁSTICO CAFÉ, CON RIEL, 10 MATRACA CORREDIZA, GANCHO HOLLAND, CONCHA LAMINADA A 1.20 M, SIN REDILAS, 1 SISTEMA RETRÁCTIL,  SIN RINES,  SIN RINES, 1 LLANTAS AMULET,  2 BICiCLETERA,   </t>
  </si>
  <si>
    <t>FOL-21-10-24-2</t>
  </si>
  <si>
    <t xml:space="preserve">SEMIREMOLQUE TIPO: PLATAFORMA 40 FT 2 EJES, CON SUSPENSIÓN HENDRICKSON, EJES AMPRO, 2 PAR DE PATÍN HOLLAND, PISO DE PLÁSTICO CAFÉ, CON RIEL, 10 MATRACA CORREDIZA, GANCHO PREMIER, SIN FRENTE, SIN REDILAS, 1 SISTEMA RETRÁCTIL, 8 RINES DE ALUMINIO,  SIN RINES, 8 LLANTAS FIRESTONE,  12 CANDADOS,   </t>
  </si>
  <si>
    <t xml:space="preserve">SEMIREMOLQUE TIPO: PLATAFORMA 40 FT 2 EJES, CON SUSPENSIÓN HENDRICKSON, EJES AMPRO, 2 PAR DE PATÍN HOLLAND, PISO DE PLÁSTICO CAFÉ, CON RIEL, 10 MATRACA CORREDIZA, GANCHO PREMIER, SIN FRENTE, SIN REDILAS, 1 SISTEMA RETRÁCTIL, 8 RINES DE ALUMINIO,  SIN RINES, 8 LLANTAS FIRESTONE,  12 CANDADOS, 2 REFUERZOS,  </t>
  </si>
  <si>
    <t xml:space="preserve">SEMIREMOLQUE TIPO: PLATAFORMA 40 FT 2 EJES, CON SUSPENSIÓN HENDRICKSON, EJES AMPRO, 2 PAR DE PATÍN HOLLAND, PISO DE PLÁSTICO CAFÉ, CON RIEL, 10 MATRACA CORREDIZA, GANCHO PREMIER, SIN FRENTE, SIN REDILAS, 1 SISTEMA RETRÁCTIL, 8 RINES DE ALUMINIO,  SIN RINES, 8 LLANTAS FIRESTONE,  12 CANDADOS, 1 REFUERZOS,  </t>
  </si>
  <si>
    <t xml:space="preserve">SEMIREMOLQUE TIPO: PLATAFORMA 40 FT 2 EJES, CON SUSPENSIÓN HENDRICKSON, EJES AMPRO, 2 PAR DE PATÍN HOLLAND, PISO DE PLÁSTICO CAFÉ, CON RIEL, 10 MATRACA CORREDIZA, GANCHO BESTIA, SIN FRENTE, SIN REDILAS, 1 SISTEMA RETRÁCTIL, 8 RINES DE ALUMINIO,  SIN RINES, 8 LLANTAS FIRESTONE,  12 CANDADOS, 1 REFUERZOS,  </t>
  </si>
  <si>
    <t>FOL-22-10-24-2</t>
  </si>
  <si>
    <t>Vigas principales: Viga tipo “I” formada con alma de calibre de ¼” de acero alta resistencia en grado 50, puentes travesaños: Tipo "I" estructural de 4" peralte</t>
  </si>
  <si>
    <t>FOL-01-11-24-2</t>
  </si>
  <si>
    <t xml:space="preserve">SEMIREMOLQUE TIPO: PLATAFORMA 40 FT 2 EJES, CON SUSPENSIÓN FLEET MASTER, EJES FLEET MASTER, 2 PAR DE PATÍN HOLLAND, PISO DE PLÁSTICO CAFÉ, CON RIEL, 10 MATRACA CORREDIZA, GANCHO HOLLAND, SIN FRENTE, SIN REDILAS,   SIN SISTEMA RETRÁCTIL,  SIN RINES,  SIN RINES,  SIN LLANTAS,  2 BICiCLETERA,   </t>
  </si>
  <si>
    <t>EJES HJ</t>
  </si>
  <si>
    <t xml:space="preserve">SEMIREMOLQUE TIPO: PLATAFORMA 40 FT 2 EJES, CON SUSPENSIÓN FLEET MASTER, EJES FLEET MASTER, 2 PAR DE PATÍN HJ, PISO DE PLÁSTICO CAFÉ, CON RIEL, 10 MATRACA CORREDIZA, GANCHO HOLLAND, SIN FRENTE, SIN REDILAS,   SIN SISTEMA RETRÁCTIL,  SIN RINES,  SIN RINES,  SIN LLANTAS,  2 BICiCLETERA,   </t>
  </si>
  <si>
    <t>GANCHO HOLLAND 8/10 BARRENOS</t>
  </si>
  <si>
    <t>GANCHO PREMIER BESTIA 6 BARRENOS</t>
  </si>
  <si>
    <t>GANCHO PREMIER 8 BARRENOS</t>
  </si>
  <si>
    <t>FOL-14-11-24-2</t>
  </si>
  <si>
    <t xml:space="preserve">SEMIREMOLQUE TIPO: PLATAFORMA 40 FT 2 EJES, CON SUSPENSIÓN FLEET MASTER, EJES FLEET MASTER, 2 PAR DE PATÍN HJ, PISO DE MADERA DE PINO, CON RIEL, 10 MATRACA CORREDIZA, SIN GANCHO, CONCHA LAMINADA A 1.20 M, SIN REDILAS, 1 SISTEMA RETRÁCTIL, 12 RINES DE ACERO,   12 LLANTAS CHINAS,  16 PLAFONES DE CARRITO ROJOS P/ESTRIBO, 20 PLAFONES DE CARRITO AMBAR LATERALES,  </t>
  </si>
  <si>
    <t xml:space="preserve">SEMIREMOLQUE TIPO: PLATAFORMA 40 FT 3 EJES, CON SUSPENSIÓN FLEET MASTER, EJES FLEET MASTER, 2 PAR DE PATÍN HJ, PISO DE MADERA DE PINO, CON RIEL, 10 MATRACA CORREDIZA, SIN GANCHO, CONCHA LAMINADA A 1.20 M, SIN REDILAS, 1 SISTEMA RETRÁCTIL, 12 RINES DE ACERO,   12 LLANTAS CHINAS,  16 PLAFONES DE CARRITO ROJOS P/ESTRIBO, 20 PLAFONES DE CARRITO AMBAR LATERALES,  </t>
  </si>
  <si>
    <t>FOL-21-11-24-2</t>
  </si>
  <si>
    <t xml:space="preserve">SEMIREMOLQUE TIPO: PLATAFORMA 40 FT 3 EJES, CON SUSPENSIÓN ALTA HENDRICKSON, EJES FLEET MASTER, 2 PAR DE PATÍN HJ, PISO DE MADERA DE PINO, CON RIEL, 10 MATRACA CORREDIZA, GANCHO HOLLAND 8/10 BARRENOS, CONCHA LAMINADA A 1.20 M, SIN REDILAS, 1 SISTEMA RETRÁCTIL, 12 RINES DE ACERO,   12 LLANTAS CHINAS,  16 PLAFONES DE CARRITO ROJOS P/ESTRIBO, 20 PLAFONES DE CARRITO AMBAR LATERALES,  </t>
  </si>
  <si>
    <t xml:space="preserve">SEMIREMOLQUE TIPO: PLATAFORMA 40 FT 3 EJES, CON SUSPENSIÓN ALTA HENDRICKSON, EJES FLEET MASTER, 2 PAR DE PATÍN HOLLAND, PISO DE MADERA DE PINO, CON RIEL, 10 MATRACA CORREDIZA, GANCHO HOLLAND 8/10 BARRENOS, CONCHA LAMINADA A 1.20 M, SIN REDILAS, 1 SISTEMA RETRÁCTIL, 12 RINES DE ACERO,   12 LLANTAS CHINAS,  16 PLAFONES DE CARRITO ROJOS P/ESTRIBO, 20 PLAFONES DE CARRITO AMBAR LATERALES,  </t>
  </si>
  <si>
    <t>FOL-22-11-24-2</t>
  </si>
  <si>
    <t xml:space="preserve">SEMIREMOLQUE TIPO: PLATAFORMA 40 FT 3 EJES, CON SUSPENSIÓN ALTA HENDRICKSON, EJES FLEET MASTER, 2 PAR DE PATIN AMPRO, PISO DE MADERA DE PINO, CON RIEL, 10 MATRACA CORREDIZA, GANCHO HOLLAND 8/10 BARRENOS, CONCHA LAMINADA A 1.20 M, SIN REDILAS, 1 SISTEMA RETRÁCTIL, 12 RINES DE ACERO,   12 LLANTAS CHINAS,  16 PLAFONES DE CARRITO ROJOS P/ESTRIBO, 20 PLAFONES DE CARRITO AMBAR LATERALES,  </t>
  </si>
  <si>
    <t>PD-22-11-24-0</t>
  </si>
  <si>
    <t>PRESUPUESTO DE DOLLY CON 2 EJES FLEET MASTER,  SUSPENSIÓN FLEET MASTER, 1 SISTEMA RETRÁCTIL, 8 RINES DE ACERO,  SIN RINES, 8 LLANTAS AMULET</t>
  </si>
  <si>
    <t>PRESUPUESTO DE DOLLY CON 2 EJES FLEET MASTER,  SUSPENSIÓN FLEET MASTER, 1 SISTEMA RETRÁCTIL,  RINES DE ACERO,  SIN RINES,  LLANTAS AMULET</t>
  </si>
  <si>
    <t>FOL-25-11-24-2</t>
  </si>
  <si>
    <t>SEMIREMOLQUE TIPO: PLATAFORMA 40 FT 2 EJES, CON SUSPENSIÓN FLEET MASTER, EJES FLEET MASTER, 2 PAR DE PATÍN HJ, PISO DE PLÁSTICO CAFÉ, CON RIEL, 10 MATRACA CORREDIZA, GANCHO HOLLAND 8/10 BARRENOS, SIN FRENTE, SIN REDILAS,   SIN SISTEMA RETRÁCTIL, 8 RINES DE ALUMINIO,   8 LLANTAS FIRESTONE,  16 PLAFONES DE CARRITO ROJOS P/ESTRIBO, 20 PLAFONES DE CARRITO AMBAR LATERALES, 1 REFUERZOS, BICiCLETERA</t>
  </si>
  <si>
    <t>PD-25-11-24-0</t>
  </si>
  <si>
    <t>SEMIREMOLQUE TIPO: PLATAFORMA 40 FT 2 EJES, CON SUSPENSIÓN FLEET MASTER, EJES FLEET MASTER, 2 PAR DE PATÍN HJ, PISO DE PLÁSTICO CAFÉ, CON RIEL, 10 MATRACA CORREDIZA, GANCHO HOLLAND 8/10 BARRENOS, SIN FRENTE, SIN REDILAS,   SIN SISTEMA RETRÁCTIL, 8 RINES DE ALUMINIO,   8 LLANTAS AMULET,  16 PLAFONES DE CARRITO ROJOS P/ESTRIBO, 24 PLAFONES DE CARRITO AMBAR LATERALES, 1 REFUERZOS, BICiCLETERA</t>
  </si>
  <si>
    <t>FOL-26-11-24-2</t>
  </si>
  <si>
    <t>SEMIREMOLQUE TIPO: PLATAFORMA 40 FT 2 EJES, CON SUSPENSIÓN FLEET MASTER, EJES FLEET MASTER, 2 PAR DE PATÍN HJ, PISO DE PLÁSTICO CAFÉ, SIN RIEL,  SIN MATRACAS, GANCHO HOLLAND 8/10 BARRENOS, CONCHA LAMINADA A 1.20 M, SIN REDILAS,   SIN SISTEMA RETRÁCTIL,  SIN RINES,    SIN LLANTAS,  0 PLAFONES DE CARRITO ROJOS P/ESTRIBO,  PLAFONES DE CARRITO AMBAR LATERALES,  REFUERZOS, BICiCLETERA</t>
  </si>
  <si>
    <t>SEMIREMOLQUE TIPO: PLATAFORMA 40 FT 2 EJES, CON SUSPENSIÓN HENDRICKSON, EJES FLEET MASTER, 2 PAR DE PATÍN HJ, PISO DE PLÁSTICO CAFÉ, SIN RIEL,  SIN MATRACAS, GANCHO HOLLAND 8/10 BARRENOS, CONCHA LAMINADA A 1.20 M, SIN REDILAS,   SIN SISTEMA RETRÁCTIL,  SIN RINES,    SIN LLANTAS,  0 PLAFONES DE CARRITO ROJOS P/ESTRIBO,  PLAFONES DE CARRITO AMBAR LATERALES,  REFUERZOS, BICiCLETERA</t>
  </si>
  <si>
    <t>SEMIREMOLQUE TIPO: PLATAFORMA 40 FT 2 EJES, CON SUSPENSIÓN FLEET MASTER, EJES FLEET MASTER, 2 PAR DE PATIN AMPRO, PISO DE PLASTICO NEGRO, CON RIEL, 10 MATRACA CORREDIZA, GANCHO HOLLAND 8/10 BARRENOS, SIN FRENTE, SIN REDILAS, 1 SISTEMA RETRÁCTIL, 8 RINES DE ALUMINIO,   8 LLANTAS FIRESTONE,  16 PLAFONES DE CARRITO ROJOS P/ESTRIBO, 20 PLAFONES DE CARRITO AMBAR LATERALES,  REFUERZOS, BICiCLETERA</t>
  </si>
  <si>
    <t>SEMIREMOLQUE TIPO: PLATAFORMA 40 FT 2 EJES, CON SUSPENSIÓN FLEET MASTER, EJES FLEET MASTER, 2 PAR DE PATIN AMPRO, PISO DE PLASTICO NEGRO, CON RIEL, 10 MATRACA CORREDIZA, GANCHO HOLLAND 8/10 BARRENOS, SIN FRENTE, SIN REDILAS, 1 SISTEMA RETRÁCTIL,  SIN RINES,    SIN LLANTAS,  16 PLAFONES DE CARRITO ROJOS P/ESTRIBO, 20 PLAFONES DE CARRITO AMBAR LATERALES,  REFUERZOS, BICiCLETERA</t>
  </si>
  <si>
    <t>PD-26-11-24-0</t>
  </si>
  <si>
    <t xml:space="preserve">SEMIREMOLQUE TIPO: PLATAFORMA 40 FT 2 EJES, CON SUSPENSIÓN FLEET MASTER, EJES FLEET MASTER, 2 PAR DE PATÍN HJ, PISO DE PLÁSTICO CAFÉ, CON RIEL, 10 MATRACA CORREDIZA, GANCHO HOLLAND 8/10 BARRENOS, CONCHA LAMINADA A 1.20 M, SIN REDILAS, 1 SISTEMA RETRÁCTIL,  SIN RINES,    SIN LLANTAS,  0  ,   </t>
  </si>
  <si>
    <t xml:space="preserve">SEMIREMOLQUE TIPO: PLATAFORMA 40 FT 2 EJES, CON SUSPENSIÓN HENDRICKSON, EJES FLEET MASTER, 2 PAR DE PATÍN HJ, PISO DE PLÁSTICO CAFÉ, CON RIEL, 10 MATRACA CORREDIZA, GANCHO HOLLAND 8/10 BARRENOS, CONCHA LAMINADA A 1.20 M, SIN REDILAS, 1 SISTEMA RETRÁCTIL,  SIN RINES,    SIN LLANTAS,  0  ,   </t>
  </si>
  <si>
    <t xml:space="preserve">SEMIREMOLQUE TIPO: PLATAFORMA 42 FT 3 EJES, CON SUSPENSIÓN HENDRICKSON, EJES HJ, 2 PAR DE PATÍN HOLLAND, PISO DE PLÁSTICO CAFÉ, CON RIEL, 12 MATRACA CORREDIZA, SIN GANCHO, BURRO LAMINADO A 1.20 M, SIN REDILAS, 2 SISTEMA RETRÁCTIL,  SIN RINES,    SIN LLANTAS,  1 LODERA DE CENTRO,   </t>
  </si>
  <si>
    <t>SEMIREMOLQUE TIPO: PLATAFORMA 40 FT 2 EJES, CON SUSPENSIÓN HENDRICKSON, EJES FLEET MASTER, 2 PAR DE PATÍN HJ, PISO DE PLASTICO NEGRO, CON RIEL, 10 MATRACA CORREDIZA, GANCHO HOLLAND 8/10 BARRENOS, BURRO LAMINADO A 1.20 M, SIN REDILAS,   SIN SISTEMA RETRÁCTIL, 8 RINES DE ACERO,   8 LLANTAS FIRESTONE,  1 LODERA DE CENTRO, 1 BARRENADO SOBRE CHASIS,  BICiCLETERA</t>
  </si>
  <si>
    <t>SEMIREMOLQUE TIPO: PLATAFORMA 40 FT 3 EJES, CON SUSPENSIÓN HENDRICKSON, EJES AMPRO, 2 PAR DE PATIN AMPRO, PISO DE MADERA DE PINO, CON RIEL, 10 MATRACA CORREDIZA, SIN GANCHO, BURRO LAMINADO A 1.20 M, REDILAS DE 80 CM, 2 SISTEMA RETRÁCTIL,  SIN RINES,    SIN LLANTAS,  1 LODERA DE CENTRO,  BARRENADO SOBRE CHASIS,  BICiCLETERA</t>
  </si>
  <si>
    <t>SEMIREMOLQUE TIPO: PLATAFORMA 42 FT 3 EJES, CON SUSPENSIÓN HENDRICKSON, EJES AMPRO, 2 PAR DE PATIN AMPRO, PISO DE MADERA DE PINO, CON RIEL, 10 MATRACA CORREDIZA, SIN GANCHO, BURRO LAMINADO A 1.20 M, REDILAS DE 80 CM, 2 SISTEMA RETRÁCTIL,  SIN RINES,    SIN LLANTAS,  1 LODERA DE CENTRO,  BARRENADO SOBRE CHASIS,  BICiCLETERA</t>
  </si>
  <si>
    <t>SEMIREMOLQUE TIPO: PLATAFORMA 40 FT 2 EJES, CON SUSPENSIÓN HENDRICKSON, EJES FLEET MASTER, 2 PAR DE PATÍN HOLLAND, PISO DE PLASTICO NEGRO, CON RIEL, 10 MATRACA CORREDIZA, GANCHO HOLLAND 8/10 BARRENOS, CONCHA LAMINADA A 1.20 M, REDILAS DE 80 CM, 1 SISTEMA RETRÁCTIL, 8 RINES DE ALUMINIO,   8 LLANTAS FIRESTONE,  20 PLAFONES DE CARRITO AMBAR LATERALES, 16 PLAFONES DE CARRITO ROJOS P/ESTRIBO,  BICiCLETERA</t>
  </si>
  <si>
    <t>SEMIREMOLQUE TIPO: PLATAFORMA 40 FT 2 EJES, CON SUSPENSIÓN HENDRICKSON, EJES FLEET MASTER, 2 PAR DE PATÍN HOLLAND, PISO DE PLASTICO NEGRO, CON RIEL, 10 MATRACA CORREDIZA, GANCHO HOLLAND 8/10 BARRENOS, CONCHA LAMINADA A 1.20 M, REDILAS DE 80 CM, 1 SISTEMA RETRÁCTIL, 8 SIN RINES,   8 SIN LLANTAS,  20 PLAFONES DE CARRITO AMBAR LATERALES, 16 PLAFONES DE CARRITO ROJOS P/ESTRIBO,  BICiCLETERA</t>
  </si>
  <si>
    <t>PRESUPUESTO DE DOLLY CON 2 EJES FLEET MASTER,  SUSPENSIÓN ALTA HENDRICKSON, 1 SISTEMA RETRÁCTIL,  RINES DE ACERO,  SIN RINES,  LLANTAS FIRESTONE</t>
  </si>
  <si>
    <t>SEMIREMOLQUE TIPO: PLATAFORMA 40 FT 2 EJES, CON SUSPENSIÓN ALTA HENDRICKSON, EJES FLEET MASTER, 2 PAR DE PATÍN HOLLAND, PISO DE PLÁSTICO ROJO, CON RIEL, 10 MATRACA CORREDIZA, GANCHO HOLLAND 8/10 BARRENOS, BURRO LAMINADO A 1.20 M, REDILAS DE 80 CM, 1 SISTEMA RETRÁCTIL, 8 SIN RINES,   8 SIN LLANTAS,  20 PLAFONES DE CARRITO AMBAR LATERALES, 2 PATA DE ELEFANTE, 1 LODERA DE CENTRO, BICiCLETERA</t>
  </si>
  <si>
    <t>SEMIREMOLQUE TIPO: PLATAFORMA 40 FT 2 EJES, CON SUSPENSIÓN HENDRICKSON, EJES AMPRO, 2 PAR DE PATÍN HOLLAND, PISO DE PLÁSTICO ROJO, CON RIEL, 12 MATRACA CORREDIZA, GANCHO PREMIER 8 BARRENOS, CONCHA LAMINADA A 1.20 M, REDILAS DE 80 CM, 1 SISTEMA RETRÁCTIL, 8 RINES DE ACERO,   8 LLANTAS CHINAS,  20 PLAFONES DE CARRITO AMBAR LATERALES,  PATA DE ELEFANTE, 1 LODERA DE CENTRO, BICiCLETERA</t>
  </si>
  <si>
    <t>SEMIREMOLQUE TIPO: PLATAFORMA 40 FT 2 EJES, CON SUSPENSIÓN FLEET MASTER, EJES FLEET MASTER, 2 PAR DE PATÍN HJ, PISO DE PLÁSTICO ROJO, CON RIEL, 10 MATRACA CORREDIZA, GANCHO HOLLAND 8/10 BARRENOS, CONCHA LAMINADA A 1.20 M, SIN REDILAS, 1 SISTEMA RETRÁCTIL,  SIN RINES,    SIN LLANTAS,  0 PLAFONES DE CARRITO AMBAR LATERALES,  PATA DE ELEFANTE,  LODERA DE CENTRO, BICiCLETERA</t>
  </si>
  <si>
    <t>SEMIREMOLQUE TIPO: PLATAFORMA 40 FT 2 EJES, CON SUSPENSIÓN FLEET MASTER, EJES AMPRO, 2 PAR DE PATIN AMPRO, PISO DE PLÁSTICO ROJO, CON RIEL, 12 MATRACA CORREDIZA, GANCHO PREMIER 8 BARRENOS, CONCHA LAMINADA A 1.20 M, SIN REDILAS, 1 SISTEMA RETRÁCTIL, 8 RINES DE ACERO,   8 LLANTAS FIRESTONE,  0 PLAFONES DE CARRITO AMBAR LATERALES,  PATA DE ELEFANTE, 1 LODERA DE CENTRO, BICiCLETERA</t>
  </si>
  <si>
    <t>SEMIREMOLQUE TIPO: PLATAFORMA 40 FT 2 EJES, CON SUSPENSIÓN HENDRICKSON, EJES FLEET MASTER, 2 PAR DE PATÍN HOLLAND, PISO DE PLÁSTICO ROJO, CON RIEL, 13 MATRACA CORREDIZA, GANCHO PREMIER BESTIA 6 BARRENOS, BURRO A 1 M, SIN REDILAS, 1 SISTEMA RETRÁCTIL, 8 RINES DE ACERO,   8 LLANTAS FIRESTONE,  20 PLAFONES DE CARRITO AMBAR LATERALES,  PATA DE ELEFANTE, 1 LODERA DE CENTRO, BICiCLETERA</t>
  </si>
  <si>
    <t>FOL-27-11-24-2</t>
  </si>
  <si>
    <t>SEMIREMOLQUE TIPO: PLATAFORMA 40 FT 2 EJES, CON SUSPENSIÓN HENDRICKSON, EJES FLEET MASTER, 2 PAR DE PATÍN HJ, PISO DE PLASTICO NEGRO, CON RIEL, 10 MATRACA CORREDIZA, GANCHO HOLLAND 8/10 BARRENOS, CONCHA LAMINADA A 1.20 M, SIN REDILAS,   SIN SISTEMA RETRÁCTIL, 8 RINES DE ALUMINIO,   8 LLANTAS AMULET,  20 PLAFONES DE CARRITO AMBAR LATERALES,  PATA DE ELEFANTE,  LODERA DE CENTRO, BICiCLETERA</t>
  </si>
  <si>
    <t>PD-27-11-24-0</t>
  </si>
  <si>
    <t>SEMIREMOLQUE TIPO: PLATAFORMA 40 FT 2 EJES, CON SUSPENSIÓN FLEET MASTER, EJES FLEET MASTER, 2 PAR DE PATÍN HJ, PISO DE MADERA DE ENCINO, CON RIEL, 10 MATRACA CORREDIZA, GANCHO HOLLAND 8/10 BARRENOS, BURRO LAMINADO A 1.20 M, SIN REDILAS,   SIN SISTEMA RETRÁCTIL,  SIN RINES,    SIN LLANTAS,  0 PLAFONES DE CARRITO AMBAR LATERALES,  PATA DE ELEFANTE,  LODERA DE CENTRO, BICiCLETERA</t>
  </si>
  <si>
    <t>SEMIREMOLQUE TIPO: PLATAFORMA 40 FT 2 EJES, CON SUSPENSIÓN ALTA HENDRICKSON, EJES FLEET MASTER, 2 PAR DE PATÍN HJ, PISO DE PLÁSTICO ROJO, CON RIEL, 10 MATRACA CORREDIZA, GANCHO HOLLAND 8/10 BARRENOS, CONCHA LAMINADA A 1.20 M, SIN REDILAS,   SIN SISTEMA RETRÁCTIL,  SIN RINES,    SIN LLANTAS,  20 PLAFONES DE CARRITO AMBAR LATERALES,  PATA DE ELEFANTE,  LODERA DE CENTRO, BICiCLETERA</t>
  </si>
  <si>
    <t>SEMIREMOLQUE TIPO: PLATAFORMA 40 FT 2 EJES, CON SUSPENSIÓN ALTA HENDRICKSON, EJES FLEET MASTER, 2 PAR DE PATÍN HJ, PISO DE PLÁSTICO ROJO, CON RIEL, 10 MATRACA CORREDIZA, GANCHO HOLLAND 8/10 BARRENOS, CONCHA LAMINADA A 1.20 M, SIN REDILAS,   SIN SISTEMA RETRÁCTIL, 8 RINES DE ALUMINIO,   8 LLANTAS FIRESTONE,  20 PLAFONES DE CARRITO AMBAR LATERALES,  PATA DE ELEFANTE,  LODERA DE CENTRO, BICiCLETERA</t>
  </si>
  <si>
    <t>FOL-28-11-24-2</t>
  </si>
  <si>
    <t>SEMIREMOLQUE TIPO: PLATAFORMA 40 FT 3 EJES, CON SUSPENSIÓN AMPRO, EJES AMPRO, 2 PAR DE PATIN AMPRO, PISO DE PLÁSTICO ROJO, CON RIEL, 10 MATRACA CORREDIZA, SIN GANCHO, CONCHA LAMINADA A 1.20 M, SIN REDILAS, 2 SISTEMA RETRÁCTIL, 6 RINES DE ACERO, 6 RINES DE ALUMINIO,  LLANTAS FIRESTONE, SIN LLANTAS, 20 PLAFONES DE CARRITO AMBAR LATERALES, 16 PLAFONES DE CARRITO ROJOS P/ESTRIBO,  BICiCLETERA</t>
  </si>
  <si>
    <t>SEMIREMOLQUE TIPO: PLATAFORMA 40 FT 3 EJES, CON SUSPENSIÓN AMPRO, EJES AMPRO, 2 PAR DE PATIN AMPRO, PISO DE PLÁSTICO ROJO, CON RIEL, 10 MATRACA CORREDIZA, SIN GANCHO, CONCHA LAMINADA A 1.20 M, SIN REDILAS, 2 SISTEMA RETRÁCTIL,  RINES DE ALUMINIO, 8 RINES DE ALUMINIO, 8 LLANTAS FIRESTONE, SIN LLANTAS, 20 PLAFONES DE CARRITO AMBAR LATERALES, 16 PLAFONES DE CARRITO ROJOS P/ESTRIBO,  BICiCLETERA</t>
  </si>
  <si>
    <t>SEMIREMOLQUE TIPO: PLATAFORMA 40 FT 3 EJES, CON SUSPENSIÓN AMPRO, EJES AMPRO, 2 PAR DE PATIN AMPRO, PISO DE PLÁSTICO ROJO, CON RIEL, 10 MATRACA CORREDIZA, SIN GANCHO, CONCHA LAMINADA A 1.20 M, SIN REDILAS, 2 SISTEMA RETRÁCTIL,  RINES DE ALUMINIO,  RINES DE ALUMINIO,  LLANTAS FIRESTONE, SIN LLANTAS, 20 PLAFONES DE CARRITO AMBAR LATERALES, 16 PLAFONES DE CARRITO ROJOS P/ESTRIBO,  BICiCLETERA</t>
  </si>
  <si>
    <t>SEMIREMOLQUE TIPO: PLATAFORMA 40 FT 3 EJES, CON SUSPENSIÓN AMPRO, EJES AMPRO, 2 PAR DE PATIN AMPRO, PISO DE PLÁSTICO ROJO, CON RIEL, 10 MATRACA CORREDIZA, SIN GANCHO, CONCHA LAMINADA A 1.20 M, SIN REDILAS, 2 SISTEMA RETRÁCTIL, 6 RINES DE ALUMINIO, 6 RINES DE ACERO,  LLANTAS FIRESTONE, SIN LLANTAS, 20 PLAFONES DE CARRITO AMBAR LATERALES, 16 PLAFONES DE CARRITO ROJOS P/ESTRIBO,  BICiCLETERA</t>
  </si>
  <si>
    <t>FOL-29-11-24-2</t>
  </si>
  <si>
    <t>SEMIREMOLQUE TIPO: PLATAFORMA 40 FT 3 EJES, CON SUSPENSIÓN AMPRO, EJES AMPRO, 2 PAR DE PATIN AMPRO, PISO DE PLÁSTICO ROJO, CON RIEL, 10 MATRACA CORREDIZA, SIN GANCHO, CONCHA LAMINADA A 1.20 M, SIN REDILAS, 2 SISTEMA RETRÁCTIL, 6 RINES DE ALUMINIO, 6 RINES DE ACERO,  LLANTAS FIRESTONE, SIN LLANTAS, 24 PLAFONES DE CARRITO AMBAR LATERALES, 16 PLAFONES DE CARRITO ROJOS P/ESTRIBO,  BICiCLETERA</t>
  </si>
  <si>
    <t>Kit de Abs y conexiones a 2 ejes</t>
  </si>
  <si>
    <t>SEMIREMOLQUE TIPO: PLATAFORMA 40 FT 2 EJES, CON SUSPENSIÓN FLEET MASTER, EJES FLEET MASTER, 2 PAR DE PATÍN HJ, PISO DE PLÁSTICO ROJO, CON RIEL, 10 MATRACA CORREDIZA, GANCHO HOLLAND 8/10 BARRENOS, CONCHA LAMINADA A 1.20 M, SIN REDILAS, 1 SISTEMA RETRÁCTIL, 6 RINES DE ALUMINIO, 6 RINES DE ACERO,  LLANTAS FIRESTONE, SIN LLANTAS, 24 PLAFONES DE CARRITO AMBAR LATERALES, 16 PLAFONES DE CARRITO ROJOS P/ESTRIBO, 1 LODERA DE CENTRO, BICiCLETERA</t>
  </si>
  <si>
    <t>SEMIREMOLQUE TIPO: PLATAFORMA 40 FT 2 EJES, CON SUSPENSIÓN FLEET MASTER, EJES FLEET MASTER, 2 PAR DE PATÍN HJ, PISO DE PLÁSTICO ROJO, CON RIEL, 10 MATRACA CORREDIZA, GANCHO HOLLAND 8/10 BARRENOS, CONCHA LAMINADA A 1.20 M, SIN REDILAS, 1 SISTEMA RETRÁCTIL,  RINES DE ALUMINIO,  RINES DE ACERO,  LLANTAS FIRESTONE, SIN LLANTAS, 24 PLAFONES DE CARRITO AMBAR LATERALES, 16 PLAFONES DE CARRITO ROJOS P/ESTRIBO, 1 LODERA DE CENTRO, BICiCLETERA</t>
  </si>
  <si>
    <t>FOL-02-12-24-2</t>
  </si>
  <si>
    <t>SEMIREMOLQUE TIPO: PLATAFORMA 48 FT 3 EJES, CON SIN SUSPENSIÓN, 0, 0 PAR DE PATIN AMPRO, SIN PISO, CON RIEL,  MATRACA CORREDIZA, SIN GANCHO, SIN FRENTE, SIN REDILAS,   SISTEMA RETRÁCTIL,  RINES DE ALUMINIO,  RINES DE ACERO,  LLANTAS FIRESTONE, SIN LLANTAS, 0 PLAFONES DE CARRITO AMBAR LATERALES,  PLAFONES DE CARRITO ROJOS P/ESTRIBO, 1 LODERA DE CENTRO, BICiCLETERA</t>
  </si>
  <si>
    <t>SEMIREMOLQUE TIPO: PLATAFORMA 48 FT 3 EJES, CON SUSPENSIÓN HENDRICKSON, EJES FLEET MASTER, 2 PAR DE PATIN AMPRO, SIN PISO, CON RIEL, 15 MATRACA CORREDIZA, SIN GANCHO, SIN FRENTE, SIN REDILAS, 2 SISTEMA RETRÁCTIL,  RINES DE ALUMINIO,  RINES DE ACERO,  LLANTAS FIRESTONE, SIN LLANTAS, 0 PLAFONES DE CARRITO AMBAR LATERALES,  PLAFONES DE CARRITO ROJOS P/ESTRIBO, 1 LODERA DE CENTRO, BICiCLETERA</t>
  </si>
  <si>
    <t>SEMIREMOLQUE TIPO: PLATAFORMA 40 FT 2 EJES, CON SUSPENSIÓN FLEET MASTER, EJES FLEET MASTER, 2 PAR DE PATÍN HJ, SIN PISO, SIN RIEL,  SIN MATRACAS, GANCHO HOLLAND 8/10 BARRENOS, SIN FRENTE, SIN REDILAS, 1 SISTEMA RETRÁCTIL,  RINES DE ALUMINIO,  RINES DE ACERO,  LLANTAS FIRESTONE, SIN LLANTAS, 0 PLAFONES DE CARRITO AMBAR LATERALES,  PLAFONES DE CARRITO ROJOS P/ESTRIBO,  LODERA DE CENTRO, BICiCLETERA</t>
  </si>
  <si>
    <t>FOL-03-12-24-2</t>
  </si>
  <si>
    <t>SEMIREMOLQUE TIPO: PLATAFORMA 40 FT 2 EJES, CON SUSPENSIÓN ALTA HENDRICKSON, EJES FLEET MASTER, 2 PAR DE PATÍN HOLLAND, PISO DE PLÁSTICO ROJO, CON RIEL, 10 SIN MATRACAS, GANCHO HOLLAND 8/10 BARRENOS, BURRO LAMINADO A 1.20 M, REDILAS DE 80 CM, 1 SISTEMA RETRÁCTIL,  RINES DE ALUMINIO,  RINES DE ACERO,  LLANTAS FIRESTONE, SIN LLANTAS, 20 PLAFONES DE CARRITO AMBAR LATERALES,  PLAFONES DE CARRITO ROJOS P/ESTRIBO, 1 LODERA DE CENTRO, REFUERZOS</t>
  </si>
  <si>
    <t>SEMIREMOLQUE TIPO: PLATAFORMA 40 FT 2 EJES, CON SUSPENSIÓN ALTA HENDRICKSON, EJES FLEET MASTER, 2 PAR DE PATÍN HOLLAND, PISO DE PLÁSTICO ROJO, CON RIEL, 10 MATRACA CORREDIZA, GANCHO HOLLAND 8/10 BARRENOS, BURRO LAMINADO A 1.20 M, REDILAS DE 80 CM, 1 SISTEMA RETRÁCTIL,  RINES DE ALUMINIO,  RINES DE ACERO,  LLANTAS FIRESTONE, SIN LLANTAS, 20 PLAFONES DE CARRITO AMBAR LATERALES,  PLAFONES DE CARRITO ROJOS P/ESTRIBO, 1 LODERA DE CENTRO, REFUERZOS</t>
  </si>
  <si>
    <t>PISO DE PLÁSTICO CAFÉ</t>
  </si>
  <si>
    <t>PD-05-12-24-0</t>
  </si>
  <si>
    <t>FOL-06-12-24-2</t>
  </si>
  <si>
    <t>SEMIREMOLQUE TIPO: PLATAFORMA 40 FT 2 EJES, CON SUSPENSIÓN HENDRICKSON, EJES AMPRO, 2 PAR DE PATÍN HOLLAND, PISO LAMINADO CON BASE DE PLÁSTICO, CON RIEL, 10 MATRACA CORREDIZA, GANCHO PREMIER 8 BARRENOS, BURRO LAMINADO A 1.20 M, SIN REDILAS, 1 SISTEMA RETRÁCTIL, 8 RINES DE ALUMINIO,  RINES DE ACERO, 8 LLANTAS FIRESTONE, SIN LLANTAS, 20 PLAFONES DE CARRITO AMBAR LATERALES, 16 PLAFONES DE CARRITO ROJOS P/ESTRIBO, 1 LODERA DE CENTRO, REFUERZOS</t>
  </si>
  <si>
    <t>PD-06-12-24-0</t>
  </si>
  <si>
    <t>PRESUPUESTO DE DOLLY CON 2 EJES AMPRO,  SUSPENSIÓN HENDRICKSON, 1 SISTEMA RETRÁCTIL, 8 RINES DE ALUMINIO,  SIN RINES, 8 LLANTAS FIRESTONE</t>
  </si>
  <si>
    <t>SEMIREMOLQUE TIPO: PLATAFORMA 40 FT 2 EJES, CON SUSPENSIÓN FLEET MASTER, EJES FLEET MASTER, 2 PAR DE PATÍN HJ, PISO DE PLÁSTICO CAFÉ, CON RIEL, 10 MATRACA CORREDIZA, GANCHO HOLLAND 8/10 BARRENOS, CONCHA A 1 M, REDILAS DE 80 CM, 1 SISTEMA RETRÁCTIL,  RINES DE ALUMINIO,  RINES DE ACERO,  LLANTAS FIRESTONE, SIN LLANTAS, 0 PLAFONES DE CARRITO AMBAR LATERALES,  PLAFONES DE CARRITO ROJOS P/ESTRIBO,  LODERA DE CENTRO, REFUERZOS</t>
  </si>
  <si>
    <t>FOL-09-12-24-2</t>
  </si>
  <si>
    <t>SEMIREMOLQUE TIPO: PLATAFORMA 40 FT 2 EJES, CON SUSPENSIÓN FLEET MASTER, EJES FLEET MASTER, 2 PAR DE PATÍN HJ, PISO DE PLÁSTICO CAFÉ, CON RIEL, 10 MATRACA CORREDIZA, SIN GANCHO, SIN FRENTE, SIN REDILAS,   SIN SISTEMA RETRÁCTIL,  RINES DE ALUMINIO,  RINES DE ACERO,  LLANTAS FIRESTONE, SIN LLANTAS, 0 PLAFONES DE CARRITO AMBAR LATERALES,  PLAFONES DE CARRITO ROJOS P/ESTRIBO,  LODERA DE CENTRO, REFUERZOS</t>
  </si>
  <si>
    <t>SEMIREMOLQUE TIPO: PLATAFORMA 40 FT 3 EJES, CON SUSPENSIÓN FLEET MASTER, EJES FLEET MASTER, 2 PAR DE PATÍN HJ, PISO DE PLÁSTICO CAFÉ, CON RIEL, 10 MATRACA CORREDIZA, SIN GANCHO, SIN FRENTE, SIN REDILAS, 2 SISTEMA RETRÁCTIL,  RINES DE ALUMINIO,  RINES DE ACERO,  LLANTAS FIRESTONE, SIN LLANTAS, 0 PLAFONES DE CARRITO AMBAR LATERALES,  PLAFONES DE CARRITO ROJOS P/ESTRIBO,  LODERA DE CENTRO, REFUERZOS</t>
  </si>
  <si>
    <t>SEMIREMOLQUE TIPO: PLATAFORMA 42 FT 3 EJES, CON SUSPENSIÓN FLEET MASTER, EJES FLEET MASTER, 2 PAR DE PATÍN HJ, PISO DE PLÁSTICO CAFÉ, CON RIEL, 10 MATRACA CORREDIZA, SIN GANCHO, SIN FRENTE, SIN REDILAS, 2 SISTEMA RETRÁCTIL,  RINES DE ALUMINIO,  RINES DE ACERO,  LLANTAS FIRESTONE, SIN LLANTAS, 0 PLAFONES DE CARRITO AMBAR LATERALES,  PLAFONES DE CARRITO ROJOS P/ESTRIBO,  LODERA DE CENTRO, REFUERZOS</t>
  </si>
  <si>
    <t>SEMIREMOLQUE TIPO: PLATAFORMA 42 FT 3 EJES, CON SUSPENSIÓN FLEET MASTER, EJES FLEET MASTER, 2 PAR DE PATÍN HJ, PISO DE PLÁSTICO CAFÉ, CON RIEL, 10 MATRACA CORREDIZA, SIN GANCHO, SIN FRENTE, SIN REDILAS, 2 SISTEMA RETRÁCTIL,  RINES DE ALUMINIO, 8 RINES DE ALUMINIO, 8 LLANTAS FIRESTONE, SIN LLANTAS, 0 PLAFONES DE CARRITO AMBAR LATERALES,  PLAFONES DE CARRITO ROJOS P/ESTRIBO,  LODERA DE CENTRO, REFUERZOS</t>
  </si>
  <si>
    <t>SEMIREMOLQUE TIPO: PLATAFORMA 42 FT 3 EJES, CON SUSPENSIÓN FLEET MASTER, EJES FLEET MASTER, 2 PAR DE PATÍN HJ, PISO DE PLÁSTICO CAFÉ, CON RIEL, 10 MATRACA CORREDIZA, SIN GANCHO, SIN FRENTE, SIN REDILAS, 2 SISTEMA RETRÁCTIL,  RINES DE ALUMINIO, 8 RINES DE ACERO, 8 LLANTAS CHINAS, SIN LLANTAS, 0 PLAFONES DE CARRITO AMBAR LATERALES,  PLAFONES DE CARRITO ROJOS P/ESTRIBO,  LODERA DE CENTRO, REFUERZOS</t>
  </si>
  <si>
    <t>FOL-11-12-24-2</t>
  </si>
  <si>
    <t>SEMIREMOLQUE TIPO: PLATAFORMA 42 FT 3 EJES, CON SUSPENSIÓN HENDRICKSON, EJES FLEET MASTER, 2 PAR DE PATÍN HOLLAND, PISO LAMINADO CON BASE DE PLÁSTICO, SIN RIEL,  SIN MATRACAS, SIN GANCHO, SIN FRENTE, SIN REDILAS, 1 SISTEMA RETRÁCTIL,  RINES DE ALUMINIO, 12 RINES DE ACERO, 12 LLANTAS AMULET, SIN LLANTAS, 0 PLAFONES DE CARRITO AMBAR LATERALES,  PLAFONES DE CARRITO ROJOS P/ESTRIBO,  LODERA DE CENTRO, REFUERZOS</t>
  </si>
  <si>
    <t>FOL-12-12-24-2</t>
  </si>
  <si>
    <t>SEMIREMOLQUE TIPO: PLATAFORMA 42 FT 3 EJES, CON SUSPENSIÓN HENDRICKSON, EJES FLEET MASTER, 2 PAR DE PATÍN HOLLAND, PISO LAMINADO CON BASE DE PLÁSTICO, SIN RIEL,  SIN MATRACAS, SIN GANCHO, SIN FRENTE, SIN REDILAS, 1 SISTEMA RETRÁCTIL,  RINES DE ALUMINIO, 12 RINES DE ACERO, 12 LLANTAS CHINAS, SIN LLANTAS, 0 PLAFONES DE CARRITO AMBAR LATERALES,  PLAFONES DE CARRITO ROJOS P/ESTRIBO,  LODERA DE CENTRO, REFUERZOS</t>
  </si>
  <si>
    <t>SEMIREMOLQUE TIPO: PLATAFORMA 40 FT 2 EJES, CON SUSPENSIÓN HENDRICKSON, EJES FLEET MASTER, 2 PAR DE PATÍN HJ, PISO DE PLÁSTICO CAFÉ, CON RIEL, 10 MATRACA CORREDIZA, GANCHO PREMIER BESTIA 6 BARRENOS, CONCHA LAMINADA A 1.20 M, SIN REDILAS, 1 SISTEMA RETRÁCTIL, 8 RINES DE ALUMINIO,   8  , LLANTAS FIRESTONE, 20 PLAFONES DE CARRITO AMBAR LATERALES, 16 PLAFONES DE CARRITO ROJOS P/ESTRIBO, 12 CANDADOS, REFUERZOS</t>
  </si>
  <si>
    <t>FOL-14-12-24-2</t>
  </si>
  <si>
    <t>SEMIREMOLQUE TIPO: PLATAFORMA 40 FT 2 EJES, CON SUSPENSIÓN HENDRICKSON, EJES FLEET MASTER, 2 PAR DE PATÍN HJ, PISO DE PLÁSTICO CAFÉ, CON RIEL, 10 MATRACA CORREDIZA, GANCHO PREMIER BESTIA 6 BARRENOS, CONCHA LAMINADA A 1.20 M, SIN REDILAS, 1 SISTEMA RETRÁCTIL, 8 RINES DE ALUMINIO,   8  , LLANTAS FIRESTONE, 20 PLAFONES DE CARRITO AMBAR LATERALES, 16 PLAFONES DE CARRITO ROJOS P/ESTRIBO, 12 CANDADOS, LODERA DE CENTRO</t>
  </si>
  <si>
    <t>FOL-16-12-24-2</t>
  </si>
  <si>
    <t>SEMIREMOLQUE TIPO: PLATAFORMA 40 FT 2 EJES, CON SUSPENSIÓN HENDRICKSON, EJES FLEET MASTER, 2 PAR DE PATÍN HJ, PISO DE PLÁSTICO CAFÉ, CON RIEL, 10 MATRACA CORREDIZA, GANCHO PREMIER BESTIA 6 BARRENOS, CONCHA LAMINADA A 1.20 M, SIN REDILAS, 1 SISTEMA RETRÁCTIL, 8 RINES DE ALUMINIO,   8  , LLANTAS AMULET, 20 PLAFONES DE CARRITO AMBAR LATERALES, 16 PLAFONES DE CARRITO ROJOS P/ESTRIBO, 12 CANDADOS, LODERA DE CENTRO</t>
  </si>
  <si>
    <t>FOL-17-12-24-2</t>
  </si>
  <si>
    <t>SEMIREMOLQUE TIPO: PLATAFORMA 40 FT 3 EJES, CON SUSPENSIÓN FLEET MASTER, EJES FLEET MASTER, 2 PAR DE PATÍN HOLLAND, PISO DE MADERA DE PINO, CON RIEL, 10 MATRACA CORREDIZA, SIN GANCHO, SIN FRENTE, SIN REDILAS, 1 SISTEMA RETRÁCTIL, 12 RINES DE ACERO,   12  , LLANTAS CHINAS, 0 PLAFONES DE CARRITO AMBAR LATERALES,  PLAFONES DE CARRITO ROJOS P/ESTRIBO,  CANDADOS, LODERA DE CENTRO</t>
  </si>
  <si>
    <t>SEMIREMOLQUE TIPO: PLATAFORMA 40 FT 3 EJES, CON SUSPENSIÓN HENDRICKSON, EJES FLEET MASTER, 2 PAR DE PATÍN HOLLAND, PISO DE MADERA DE PINO, CON RIEL, 10 MATRACA CORREDIZA, SIN GANCHO, SIN FRENTE, SIN REDILAS, 1 SISTEMA RETRÁCTIL, 12 RINES DE ACERO,   12  , LLANTAS CHINAS, 0 PLAFONES DE CARRITO AMBAR LATERALES,  PLAFONES DE CARRITO ROJOS P/ESTRIBO,  CANDADOS, LODERA DE CENTRO</t>
  </si>
  <si>
    <t>SEMIREMOLQUE TIPO: PLATAFORMA 40 FT 3 EJES, CON SUSPENSIÓN HENDRICKSON, EJES FLEET MASTER, 2 PAR DE PATÍN HOLLAND, PISO DE MADERA DE PINO, CON RIEL, 10 MATRACA CORREDIZA, GANCHO HOLLAND 8/10 BARRENOS, SIN FRENTE, SIN REDILAS, 1 SISTEMA RETRÁCTIL, 12 RINES DE ACERO,   12  , LLANTAS CHINAS, 0 PLAFONES DE CARRITO AMBAR LATERALES,  PLAFONES DE CARRITO ROJOS P/ESTRIBO,  CANDADOS, LODERA DE CENTRO</t>
  </si>
  <si>
    <t xml:space="preserve">SEMIREMOLQUE TIPO: PLATAFORMA 42 FT 3 EJES, CON SUSPENSIÓN FLEET MASTER, EJES FLEET MASTER, 2 PAR DE PATÍN HJ, PISO LAMINADO CON BASE DE MADERA, CON RIEL, 15 MATRACA CORREDIZA, SIN GANCHO, CONCHA 1.10 M, SIN REDILAS, 2 SISTEMA RETRÁCTIL, 6 RINES DE ACERO, 6 RINES DE ALUMINIO,   ,  1 LODERA DE CENTRO, 1 PORTALLANTAS EXTRA,  </t>
  </si>
  <si>
    <t>FOL-18-12-24-2</t>
  </si>
  <si>
    <t xml:space="preserve">SEMIREMOLQUE TIPO: PLATAFORMA 40 FT 2 EJES, CON SUSPENSIÓN FLEET MASTER, EJES FLEET MASTER, 2 PAR DE PATÍN HJ, PISO DE PLÁSTICO CAFÉ, CON RIEL, 10 MATRACA CORREDIZA, GANCHO HOLLAND 8/10 BARRENOS, CONCHA LAMINADA A 1.20 M, SIN REDILAS, 1 SISTEMA RETRÁCTIL, 8 RINES DE ALUMINIO,   8 LLANTAS FIRESTONE,  1 LODERA DE CENTRO, 1 PORTALLANTAS EXTRA,  </t>
  </si>
  <si>
    <t xml:space="preserve">SEMIREMOLQUE TIPO: PLATAFORMA 40 FT 2 EJES, CON SUSPENSIÓN FLEET MASTER, EJES FLEET MASTER, 2 PAR DE PATÍN HJ, PISO DE PLÁSTICO CAFÉ, CON RIEL, 10 MATRACA CORREDIZA, GANCHO HOLLAND 8/10 BARRENOS, CONCHA LAMINADA A 1.20 M, SIN REDILAS, 1 SISTEMA RETRÁCTIL, 8 RINES DE ALUMINIO,   8 LLANTAS FIRESTONE,  0  ,   </t>
  </si>
  <si>
    <t>PD-18-12-24-0</t>
  </si>
  <si>
    <t>SEMIREMOLQUE TIPO: PLATAFORMA 40 FT 2 EJES, CON SUSPENSIÓN FLEET MASTER, EJES FLEET MASTER, 2 PAR DE PATÍN HJ, PISO DE PLÁSTICO CAFÉ, CON RIEL, 10 MATRACA CORREDIZA, GANCHO HOLLAND 8/10 BARRENOS, SIN FRENTE, SIN REDILAS,   SIN SISTEMA RETRÁCTIL, 8 RINES DE ALUMINIO,   8 LLANTAS FIRESTONE,  1 POLINERA  GRANDE, 16 PLAFONES DE CARRITO ROJOS P/ESTRIBO, 1 BICiCLETERA, PLAFONES DE CARRITO AMBAR LATERALES</t>
  </si>
  <si>
    <t>FOL-19-12-24-2</t>
  </si>
  <si>
    <t xml:space="preserve">SEMIREMOLQUE TIPO: PLATAFORMA 40 FT 3 EJES, CON SUSPENSIÓN FLEET MASTER, EJES FLEET MASTER, 2 PAR DE PATÍN HJ, PISO DE PLÁSTICO CAFÉ, CON RIEL, 11 MATRACA CORREDIZA, SIN GANCHO, CONCHA LAMINADA A 1.20 M, SIN REDILAS, 2 SISTEMA RETRÁCTIL,  SIN RINES,    SIN LLANTAS,  1 LODERA DE CENTRO, 1 POLINERA  GRANDE, 1 PORTALLANTAS EXTRA, </t>
  </si>
  <si>
    <t xml:space="preserve">SEMIREMOLQUE TIPO: PLATAFORMA 40 FT 3 EJES, CON SUSPENSIÓN HENDRICKSON, EJES FLEET MASTER, 2 PAR DE PATIN AMPRO, PISO DE MADERA DE PINO, CON RIEL, 10 MATRACA CORREDIZA, GANCHO HOLLAND 8/10 BARRENOS, CONCHA LAMINADA A 1.70 M, SIN REDILAS, 2 SISTEMA RETRÁCTIL,  SIN RINES,    SIN LLANTAS,  0  , 1 POLINERA  GRANDE,  </t>
  </si>
  <si>
    <t xml:space="preserve">SEMIREMOLQUE TIPO: PLATAFORMA 40 FT 2 EJES, CON SUSPENSIÓN HENDRICKSON, EJES FLEET MASTER, 2 PAR DE PATÍN HJ, PISO DE PLÁSTICO CAFÉ, CON RIEL, 10 MATRACA CORREDIZA, GANCHO HOLLAND 8/10 BARRENOS, CONCHA LAMINADA A 1.20 M, SIN REDILAS, 1 SISTEMA RETRÁCTIL, 8 RINES DE ALUMINIO,   8 LLANTAS FIRESTONE,  0  , 1 POLINERA  GRANDE,  </t>
  </si>
  <si>
    <t>PD-19-12-24-0</t>
  </si>
  <si>
    <t>FOL-23-12-24-2</t>
  </si>
  <si>
    <t xml:space="preserve">SEMIREMOLQUE TIPO: PLATAFORMA 40 FT 2 EJES, CON SUSPENSIÓN HENDRICKSON, EJES FLEET MASTER, 2 PAR DE PATÍN HJ, PISO DE PLÁSTICO CAFÉ, CON RIEL, 10 MATRACA CORREDIZA, GANCHO HOLLAND 8/10 BARRENOS, CONCHA LAMINADA A 1.20 M, SIN REDILAS, 1 SISTEMA RETRÁCTIL, 8 RINES DE ALUMINIO,   8 LLANTAS AMULET,  0  , 1 POLINERA  GRANDE,  </t>
  </si>
  <si>
    <t xml:space="preserve">SEMIREMOLQUE TIPO: PLATAFORMA 40 FT 2 EJES, CON SUSPENSIÓN FLEET MASTER, EJES FLEET MASTER, 2 PAR DE PATÍN HJ, PISO DE PLÁSTICO CAFÉ, CON RIEL, 10 MATRACA CORREDIZA, GANCHO HOLLAND 8/10 BARRENOS, SIN FRENTE, SIN REDILAS,   SIN SISTEMA RETRÁCTIL,  SIN RINES,    SIN LLANTAS,  0  ,   </t>
  </si>
  <si>
    <t xml:space="preserve">SEMIREMOLQUE TIPO: PLATAFORMA 40 FT 2 EJES, CON SUSPENSIÓN FLEET MASTER, EJES FLEET MASTER, 2 PAR DE PATÍN HJ, PISO DE PLÁSTICO CAFÉ, CON RIEL, 10 MATRACA CORREDIZA, GANCHO HOLLAND 8/10 BARRENOS, CONCHA A 1 M, SIN REDILAS,   SIN SISTEMA RETRÁCTIL,  SIN RINES,    SIN LLANTAS,  1 BICiCLETERA,   </t>
  </si>
  <si>
    <t>PD-23-12-24-0</t>
  </si>
  <si>
    <t>PRESUPUESTO DE DOLLY CON 2 EJES FLEET MASTER,  SUSPENSIÓN FLEET MASTER,  SISTEMA RETRÁCTIL,  SIN RINES,  SIN RINES,  SIN LLANTAS</t>
  </si>
  <si>
    <t>2 ejes</t>
  </si>
  <si>
    <t xml:space="preserve">SEMIREMOLQUE TIPO: PLATAFORMA 45 FT 3 EJES, CON SUSPENSIÓN FLEET MASTER, EJES FLEET MASTER, 2 PAR DE PATÍN HJ, PISO DE PLÁSTICO CAFÉ, CON RIEL, 15 MATRACA CORREDIZA, SIN GANCHO, SIN FRENTE, SIN REDILAS,   SIN SISTEMA RETRÁCTIL,  SIN RINES,    SIN LLANTAS,  0  ,   </t>
  </si>
  <si>
    <t xml:space="preserve">SEMIREMOLQUE TIPO: PLATAFORMA 45 FT 3 EJES, CON SUSPENSIÓN FLEET MASTER, EJES FLEET MASTER, 2 PAR DE PATÍN HJ, PISO DE PLÁSTICO CAFÉ, CON RIEL, 15 MATRACA CORREDIZA, SIN GANCHO, SIN FRENTE, SIN REDILAS,   SIN SISTEMA RETRÁCTIL,  SIN RINES,    SIN LLANTAS,  1 REFUERZOS,   </t>
  </si>
  <si>
    <t>FOL-26-12-24-2</t>
  </si>
  <si>
    <t xml:space="preserve">SEMIREMOLQUE TIPO: PLATAFORMA 45 FT 3 EJES, CON SUSPENSIÓN HENDRICKSON, EJES FLEET MASTER, 2 PAR DE PATÍN HJ, PISO DE MADERA DE ENCINO, CON RIEL, 10 MATRACA CORREDIZA, GANCHO PREMIER 8 BARRENOS, CONCHA A 1 M, SIN REDILAS, 2 SISTEMA RETRÁCTIL,  SIN RINES,    SIN LLANTAS,  0  ,   </t>
  </si>
  <si>
    <t xml:space="preserve">SEMIREMOLQUE TIPO: PLATAFORMA 40 FT 3 EJES, CON SUSPENSIÓN HENDRICKSON, EJES FLEET MASTER, 2 PAR DE PATÍN HJ, PISO DE MADERA DE ENCINO, CON RIEL, 10 MATRACA CORREDIZA, GANCHO PREMIER 8 BARRENOS, CONCHA A 1 M, SIN REDILAS, 2 SISTEMA RETRÁCTIL,  SIN RINES,    SIN LLANTAS,  0  ,   </t>
  </si>
  <si>
    <t>FOL-27-12-24-2</t>
  </si>
  <si>
    <t xml:space="preserve">SEMIREMOLQUE TIPO: PLATAFORMA 40 FT 3 EJES, CON SUSPENSIÓN HENDRICKSON, EJES FLEET MASTER, 2 PAR DE PATÍN HOLLAND, PISO DE PLÁSTICO CAFÉ, CON RIEL, 13 MATRACA CORREDIZA, GANCHO PREMIER BESTIA 6 BARRENOS, BURRO A 1 M, SIN REDILAS,   SIN SISTEMA RETRÁCTIL,  SIN RINES,    SIN LLANTAS,  1 POLINERA  GRANDE, 1 BICiCLETERA, 20 PLAFONES DE CARRITO AMBAR LATERALES, </t>
  </si>
  <si>
    <t>PD-27-12-24-0</t>
  </si>
  <si>
    <t xml:space="preserve">SEMIREMOLQUE TIPO: PLATAFORMA 40 FT 3 EJES, CON SUSPENSIÓN ALTA HENDRICKSON, EJES FLEET MASTER, 2 PAR DE PATÍN HOLLAND, PISO DE PLÁSTICO CAFÉ, CON RIEL, 13 MATRACA CORREDIZA, GANCHO PREMIER BESTIA 6 BARRENOS, BURRO A 1 M, SIN REDILAS,   SIN SISTEMA RETRÁCTIL,  SIN RINES,    SIN LLANTAS,  1 POLINERA  GRANDE, 1 BICiCLETERA, 20 PLAFONES DE CARRITO AMBAR LATERALES, </t>
  </si>
  <si>
    <t>PRECIO DE VENTA:</t>
  </si>
  <si>
    <t>FOL-30-12-24-2</t>
  </si>
  <si>
    <t xml:space="preserve">SEMIREMOLQUE TIPO: PLATAFORMA 40 FT 2 EJES, CON SUSPENSIÓN FLEET MASTER, EJES FLEET MASTER, 1 PAR DE PATÍN HJ, PISO DE PLÁSTICO CAFÉ, CON RIEL, 10 MATRACA CORREDIZA, GANCHO HOLLAND 8/10 BARRENOS, CONCHA LAMINADA A 1.20 M, SIN REDILAS, 1 SISTEMA RETRÁCTIL,  SIN RINES,    SIN LLANTAS,  1 POLINERA  GRANDE,   </t>
  </si>
  <si>
    <t xml:space="preserve">SEMIREMOLQUE TIPO: PLATAFORMA 40 FT 2 EJES, CON SUSPENSIÓN FLEET MASTER, EJES FLEET MASTER, 1 PAR DE PATÍN HJ, PISO DE PLÁSTICO CAFÉ, CON RIEL, 10 MATRACA CORREDIZA, GANCHO HOLLAND 8/10 BARRENOS, CONCHA LAMINADA A 1.20 M, SIN REDILAS, 1 SISTEMA RETRÁCTIL,  SIN RINES,    SIN LLANTAS,  0  ,   </t>
  </si>
  <si>
    <t>FOL-02-01-25-2</t>
  </si>
  <si>
    <t xml:space="preserve">SEMIREMOLQUE TIPO: PLATAFORMA 40 FT 2 EJES, CON SUSPENSIÓN HENDRICKSON, EJES FLEET MASTER, 1 PAR DE PATÍN HJ, PISO DE PLÁSTICO CAFÉ, CON RIEL, 10 MATRACA CORREDIZA, GANCHO HOLLAND 8/10 BARRENOS, CONCHA LAMINADA A 1.20 M, SIN REDILAS, 2 SISTEMA RETRÁCTIL,  SIN RINES, 8 RINES DE ALUMINIO, 8 LLANTAS FIRESTONE,  0  ,   </t>
  </si>
  <si>
    <t xml:space="preserve">SEMIREMOLQUE TIPO: PLATAFORMA 40 FT 2 EJES, CON SUSPENSIÓN HENDRICKSON, EJES FLEET MASTER, 1 PAR DE PATÍN HJ, PISO DE PLÁSTICO CAFÉ, CON RIEL, 10 MATRACA CORREDIZA, GANCHO HOLLAND 8/10 BARRENOS, CONCHA LAMINADA A 1.20 M, SIN REDILAS,    ,  SIN RINES, 8 RINES DE ALUMINIO, 8 LLANTAS FIRESTONE,  0  ,   </t>
  </si>
  <si>
    <t xml:space="preserve">SEMIREMOLQUE TIPO: PLATAFORMA 40 FT 2 EJES, CON SUSPENSIÓN HENDRICKSON, EJES FLEET MASTER, 1 PAR DE PATÍN HOLLAND, PISO DE PLÁSTICO CAFÉ, CON RIEL, 10 MATRACA CORREDIZA, GANCHO HOLLAND 8/10 BARRENOS, CONCHA LAMINADA A 1.20 M, SIN REDILAS, 1 SISTEMA RETRÁCTIL,  SIN RINES, 8 RINES DE ALUMINIO, 8 LLANTAS FIRESTONE,  1 BICiCLETERA,   </t>
  </si>
  <si>
    <t xml:space="preserve">SEMIREMOLQUE TIPO: PLATAFORMA 40 FT 2 EJES, CON SUSPENSIÓN HENDRICKSON, EJES FLEET MASTER, 1 PAR DE PATÍN HOLLAND, PISO DE PLÁSTICO CAFÉ, CON RIEL, 10 MATRACA CORREDIZA, GANCHO HOLLAND 8/10 BARRENOS, CONCHA LAMINADA A 1.20 M, SIN REDILAS, 1 SISTEMA RETRÁCTIL,  SIN RINES,   8 LLANTAS FIRESTONE,  1 BICiCLETERA,   </t>
  </si>
  <si>
    <t>PD-02-01-25-0</t>
  </si>
  <si>
    <t>PRESUPUESTO DE DOLLY CON 0 EJES FLEET MASTER,  SIN SUSPENSIÓN,  SISTEMA RETRÁCTIL,  SIN RINES,  SIN RINES,  SIN LLANTAS</t>
  </si>
  <si>
    <t>PRESUPUESTO DE DOLLY CON 0 EJES FLEET MASTER,  SIN SUSPENSIÓN,   ,  SIN RINES,  SIN RINES,  SIN LLANTAS</t>
  </si>
  <si>
    <t xml:space="preserve">PRESUPUESTO DE DOLLY CON 0 EJES FLEET MASTER,  SIN SUSPENSIÓN,   ,  SIN RINES,  SIN RINES,   </t>
  </si>
  <si>
    <t xml:space="preserve">PRESUPUESTO DE DOLLY CON 0 EJES FLEET MASTER,  SIN SUSPENSIÓN,   ,  SIN RINES, 2 RINES DE ACERO,   </t>
  </si>
  <si>
    <t xml:space="preserve">PRESUPUESTO DE DOLLY CON 0 EJES FLEET MASTER,  SIN SUSPENSIÓN,   ,  SIN RINES, 0 RINES DE ACERO,   </t>
  </si>
  <si>
    <t xml:space="preserve">PRESUPUESTO DE DOLLY CON 0 EJES FLEET MASTER,  SIN SUSPENSIÓN,   ,  SIN RINES, 0 SIN RINES,   </t>
  </si>
  <si>
    <t>FOL-03-01-25-2</t>
  </si>
  <si>
    <t xml:space="preserve">SEMIREMOLQUE TIPO: PLATAFORMA 40 FT 3 EJES, CON SUSPENSIÓN FLEET MASTER, EJES FLEET MASTER, 2 PAR DE PATÍN HJ, PISO DE PLÁSTICO CAFÉ, CON RIEL, 10 MATRACA CORREDIZA, GANCHO HOLLAND 8/10 BARRENOS, CONCHA LAMINADA A 1.20 M, SIN REDILAS, 1 SISTEMA RETRÁCTIL,  SIN RINES,     ,  1 POLINERA  GRANDE,   </t>
  </si>
  <si>
    <t xml:space="preserve">SEMIREMOLQUE TIPO: PLATAFORMA 40 FT 3 EJES, CON SUSPENSIÓN FLEET MASTER, EJES FLEET MASTER, 2 PAR DE PATÍN HJ, PISO DE PLÁSTICO CAFÉ, CON RIEL, 10 MATRACA CORREDIZA, GANCHO HOLLAND 8/10 BARRENOS, CONCHA LAMINADA A 1.20 M, REDILAS DE 80 CM, 1 SISTEMA RETRÁCTIL,  SIN RINES,     ,  1 POLINERA  GRANDE,   </t>
  </si>
  <si>
    <t>FOL-09-01-25-2</t>
  </si>
  <si>
    <t xml:space="preserve">SEMIREMOLQUE TIPO: PLATAFORMA 40 FT 2 EJES, CON SUSPENSIÓN FLEET MASTER, EJES FLEET MASTER, 2 PAR DE PATÍN HJ, PISO DE PLÁSTICO CAFÉ, CON RIEL, 10 MATRACA CORREDIZA, GANCHO HOLLAND 8/10 BARRENOS, CONCHA LAMINADA A 1.20 M,  , 1 SISTEMA RETRÁCTIL,  SIN RINES,     ,  1 BICiCLETERA,  PLAFONES DE CARRITO ROJOS LATERALES,  PLAFONES DE CARRITO ROJOS P/ESTRIBO, </t>
  </si>
  <si>
    <t xml:space="preserve">SEMIREMOLQUE TIPO: PLATAFORMA 40 FT 2 EJES, CON SUSPENSIÓN HENDRICKSON, EJES FLEET MASTER, 2 PAR DE PATÍN HJ, PISO DE PLÁSTICO CAFÉ, CON RIEL, 10 MATRACA CORREDIZA, GANCHO HOLLAND 8/10 BARRENOS, CONCHA LAMINADA A 1.20 M,  , 1 SISTEMA RETRÁCTIL,  SIN RINES,     ,  1 BICiCLETERA,  PLAFONES DE CARRITO ROJOS LATERALES,  PLAFONES DE CARRITO ROJOS P/ESTRIBO, </t>
  </si>
  <si>
    <t>PD-09-01-25-0</t>
  </si>
  <si>
    <t xml:space="preserve">PRESUPUESTO DE DOLLY CON 2 EJES FLEET MASTER,  SUSPENSIÓN HENDRICKSON,   ,  SIN RINES,  SIN RINES,   </t>
  </si>
  <si>
    <t>FOL-13-01-25-2</t>
  </si>
  <si>
    <t xml:space="preserve">SEMIREMOLQUE TIPO: PLATAFORMA 40 FT 2 EJES, CON SUSPENSIÓN ALTA FLEET MASTER, EJES FLEET MASTER, 2 PAR DE PATÍN HJ, PISO DE PLÁSTICO CAFÉ, CON RIEL, 12 MATRACA CORREDIZA,  , BURRO LAMINADO A 1.20 M,  ,    , 4 RINES DE ACERO, 4 RINES DE ALUMINIO, 8 LLANTAS AMULET,  1 BICiCLETERA, 20 PLAFONES DE CARRITO ROJOS LATERALES,  </t>
  </si>
  <si>
    <t xml:space="preserve">SEMIREMOLQUE TIPO: PLATAFORMA 40 FT 2 EJES, CON SUSPENSIÓN ALTA FLEET MASTER, EJES FLEET MASTER, 2 PAR DE PATÍN HJ, PISO DE PLÁSTICO CAFÉ, CON RIEL, 12 MATRACA CORREDIZA,  , BURRO LAMINADO A 1.20 M,  ,    , 4 RINES DE ACERO, 4 RINES DE ALUMINIO, 8 LLANTAS AMULET,  1 BICiCLETERA, 20 PLAFONES DE CARRITO ROJOS LATERALES, 1 CANASTILLA, </t>
  </si>
  <si>
    <t xml:space="preserve">SEMIREMOLQUE TIPO: PLATAFORMA 40 FT 2 EJES, CON SUSPENSIÓN FLEET MASTER, EJES FLEET MASTER, 2 PAR DE PATÍN HJ, PISO DE PLÁSTICO CAFÉ, CON RIEL, 12 MATRACA CORREDIZA,  , BURRO LAMINADO A 1.20 M,  ,    , 4 RINES DE ACERO, 4 RINES DE ALUMINIO, 8 LLANTAS AMULET,  1 BICiCLETERA, 20 PLAFONES DE CARRITO ROJOS LATERALES, 1 CANASTILLA, </t>
  </si>
  <si>
    <t xml:space="preserve">SEMIREMOLQUE TIPO: PLATAFORMA 40 FT 2 EJES, CON SUSPENSIÓN HENDRICKSON, EJES FLEET MASTER, 2 PAR DE PATÍN HJ, PISO DE MADERA DE PINO, CON RIEL, 12 MATRACA CORREDIZA,  , BURRO LAMINADO A 1.20 M,  ,    , 4 RINES DE ACERO, 4 RINES DE ALUMINIO, 8 LLANTAS AMULET,  1 BICiCLETERA, 20 PLAFONES DE CARRITO ROJOS LATERALES, 1 CANASTILLA, </t>
  </si>
  <si>
    <t xml:space="preserve">SEMIREMOLQUE TIPO: PLATAFORMA 40 FT 2 EJES, CON SUSPENSIÓN HENDRICKSON, EJES FLEET MASTER, 2 PAR DE PATÍN HOLLAND, PISO DE MADERA DE ENCINO, CON RIEL, 12 MATRACA CORREDIZA,  , BURRO LAMINADO A 1.20 M,  , 1 SISTEMA RETRÁCTIL, 4 RINES DE ACERO, 4 RINES DE ALUMINIO, 8 LLANTAS AMULET,  1 BICiCLETERA, 20 PLAFONES DE CARRITO ROJOS LATERALES, 1 CANASTILLA, </t>
  </si>
  <si>
    <t>PD-13-01-25-0</t>
  </si>
  <si>
    <t>PRESUPUESTO DE DOLLY CON 2 EJES FLEET MASTER,  SUSPENSIÓN FLEET MASTER,  SIN SISTEMA RETRÁCTIL, 4 RINES DE ACERO, 4 RINES DE ALUMINIO, 8 LLANTAS AMULET</t>
  </si>
  <si>
    <t>PRESUPUESTO DE DOLLY CON 2 EJES FLEET MASTER,  SUSPENSIÓN HENDRICKSON, 1 SISTEMA RETRÁCTIL, 4 RINES DE ACERO, 4 RINES DE ALUMINIO, 8 LLANTAS AMULET</t>
  </si>
  <si>
    <t xml:space="preserve">SEMIREMOLQUE TIPO: PLATAFORMA 40 FT 2 EJES, CON SUSPENSIÓN HENDRICKSON, EJES AMPRO, 2 PAR DE PATÍN HOLLAND, PISO DE MADERA DE ENCINO, CON RIEL, 15 MATRACA CORREDIZA, GANCHO HOLLAND 8/10 BARRENOS, CONCHA LAMINADA A 1.70 M,  , 1 SISTEMA RETRÁCTIL, 8 RINES DE ACERO,   8 LLANTAS BF GOODRICH,  2 BICiCLETERA, 1 JALON, 1 REFUERZOS, </t>
  </si>
  <si>
    <t>PRESUPUESTO DE DOLLY CON 2 EJES AMPRO,  SUSPENSIÓN HENDRICKSON,   , 8 RINES DE ACERO, 0 SIN RINES, 8 LLANTAS BF GOODRICH</t>
  </si>
  <si>
    <t>PRESUPUESTO DE DOLLY CON 2 EJES AMPRO,  SUSPENSIÓN HENDRICKSON,   , 0 SIN RINES, 0 SIN RINES, 0 SIN LLANTAS</t>
  </si>
  <si>
    <t xml:space="preserve">SEMIREMOLQUE TIPO: PLATAFORMA 45 FT 3 EJES, CON SUSPENSIÓN HENDRICKSON, EJES AMPRO, 2 PAR DE PATÍN HOLLAND, PISO DE MADERA DE ENCINO, CON RIEL, 15 MATRACA CORREDIZA, GANCHO HOLLAND 8/10 BARRENOS, CONCHA LAMINADA A 1.70 M,  , 2 SISTEMA RETRÁCTIL, 12 RINES DE ACERO,   12 LLANTAS BF GOODRICH,  2 BICiCLETERA,  1 REFUERZOS, </t>
  </si>
  <si>
    <t xml:space="preserve">SEMIREMOLQUE TIPO: PLATAFORMA 45 FT 3 EJES, CON SUSPENSIÓN HENDRICKSON, EJES AMPRO, 2 PAR DE PATÍN HOLLAND, PISO DE PLÁSTICO CAFÉ, CON RIEL, 15 MATRACA CORREDIZA, GANCHO HOLLAND 8/10 BARRENOS, CONCHA LAMINADA A 1.70 M,  , 2 SISTEMA RETRÁCTIL, 12 RINES DE ACERO,   12 LLANTAS BF GOODRICH,  2 BICiCLETERA,  1 REFUERZOS, </t>
  </si>
  <si>
    <t xml:space="preserve">SEMIREMOLQUE TIPO: PLATAFORMA 45 FT 3 EJES, CON SUSPENSIÓN HENDRICKSON, EJES AMPRO, 2 PAR DE PATÍN HOLLAND, PISO DE PLÁSTICO CAFÉ, CON RIEL, 15 MATRACA CORREDIZA, GANCHO HOLLAND 8/10 BARRENOS, CONCHA LAMINADA A 1.70 M,  , 2 SISTEMA RETRÁCTIL,  SIN RINES,    SIN LLANTAS,  2 BICiCLETERA,  1 REFUERZOS, </t>
  </si>
  <si>
    <t xml:space="preserve">SEMIREMOLQUE TIPO: PLATAFORMA 45 FT 3 EJES, CON SUSPENSIÓN HENDRICKSON, EJES AMPRO, 2 PAR DE PATÍN HOLLAND, PISO DE MADERA DE ENCINO, CON RIEL, 15 MATRACA CORREDIZA, GANCHO HOLLAND 8/10 BARRENOS, CONCHA LAMINADA A 1.70 M,  , 2 SISTEMA RETRÁCTIL,  SIN RINES,    SIN LLANTAS,  2 BICiCLETERA,  1 REFUERZOS, </t>
  </si>
  <si>
    <t>SEMIREMOLQUE TIPO: PLATAFORMA 40 FT 2 EJES, CON SUSPENSIÓN HENDRICKSON, EJES AMPRO, 2 PAR DE PATÍN HOLLAND, PISO DE MADERA DE ENCINO, CON RIEL, 15 MATRACA CORREDIZA, GANCHO HOLLAND 8/10 BARRENOS, CONCHA LAMINADA A 1.70 M,  , 1 SISTEMA RETRÁCTIL,  SIN RINES,    SIN LLANTAS,  2 BICiCLETERA, 1 JALON, 1 REFUERZOS, DOBLE SOLERA PARTE TRASERA (COLITA)</t>
  </si>
  <si>
    <t>SEMIREMOLQUE TIPO: PLATAFORMA 40 FT 2 EJES, CON SUSPENSIÓN HENDRICKSON, EJES AMPRO, 2 PAR DE PATÍN HOLLAND, PISO DE MADERA DE ENCINO, CON RIEL, 15 MATRACA CORREDIZA, GANCHO HOLLAND 8/10 BARRENOS, CONCHA LAMINADA A 1.70 M,  , 1 SISTEMA RETRÁCTIL, 8 RINES DE ACERO,   8 LLANTAS BF GOODRICH,  2 BICiCLETERA, 1 JALON, 1 REFUERZOS, DOBLE SOLERA PARTE TRASERA (COLITA)</t>
  </si>
  <si>
    <t>SEMIREMOLQUE TIPO: PLATAFORMA 40 FT 2 EJES, CON SUSPENSIÓN HENDRICKSON, EJES AMPRO, 2 PAR DE PATÍN HOLLAND, PISO DE PLÁSTICO CAFÉ, CON RIEL, 15 MATRACA CORREDIZA, GANCHO HOLLAND 8/10 BARRENOS, CONCHA LAMINADA A 1.70 M,  , 1 SISTEMA RETRÁCTIL, 8 RINES DE ACERO,   8 LLANTAS BF GOODRICH,  2 BICiCLETERA, 1 JALON, 1 REFUERZOS, DOBLE SOLERA PARTE TRASERA (COLITA)</t>
  </si>
  <si>
    <t>SEMIREMOLQUE TIPO: PLATAFORMA 40 FT 2 EJES, CON SUSPENSIÓN HENDRICKSON, EJES AMPRO, 2 PAR DE PATÍN HOLLAND, PISO DE PLÁSTICO CAFÉ, CON RIEL, 15 MATRACA CORREDIZA, GANCHO HOLLAND 8/10 BARRENOS, CONCHA LAMINADA A 1.70 M,  , 1 SISTEMA RETRÁCTIL,  SIN RINES,    SIN LLANTAS,  2 BICiCLETERA, 1 JALON, 1 REFUERZOS, DOBLE SOLERA PARTE TRASERA (COLITA)</t>
  </si>
  <si>
    <t xml:space="preserve">SEMIREMOLQUE TIPO: PLATAFORMA 40 FT 3 EJES, CON SUSPENSIÓN FLEET MASTER, EJES FLEET MASTER, 1 PAR DE PATÍN HJ, PISO DE PLÁSTICO CAFÉ, CON RIEL, 10 MATRACA CORREDIZA, SIN GANCHO, BURRO LAMINADO A 1.20 M,  , 1 SISTEMA RETRÁCTIL,  SIN RINES,    SIN LLANTAS,  1 BICiCLETERA, 20 PLAFONES ROJO, 1 CANASTILLA, </t>
  </si>
  <si>
    <t>A QUIEN CORRESPONDA</t>
  </si>
  <si>
    <t>REDILAS DE 1M</t>
  </si>
  <si>
    <t>FOL-14-01-25-2</t>
  </si>
  <si>
    <t xml:space="preserve">SEMIREMOLQUE TIPO: PLATAFORMA 48 FT 3 EJES, CON SUSPENSIÓN FLEET MASTER, EJES FLEET MASTER, 1 PAR DE PATÍN HJ, PISO DE PLÁSTICO CAFÉ, CON RIEL, 15 MATRACA CORREDIZA, SIN GANCHO, CONCHA A 1.40 M, REDILAS DE 1M, 2 SISTEMA RETRÁCTIL,  SIN RINES,     ,  1 LODERA DE CENTRO,   </t>
  </si>
  <si>
    <t xml:space="preserve">SEMIREMOLQUE TIPO: PLATAFORMA 48 FT 3 EJES, CON SUSPENSIÓN FLEET MASTER, EJES FLEET MASTER, 1 PAR DE PATÍN HJ, PISO DE PLÁSTICO CAFÉ, CON RIEL, 15 MATRACA CORREDIZA, SIN GANCHO, CONCHA A 1.40 M, REDILAS DE 90 CM, 2 SISTEMA RETRÁCTIL,  SIN RINES,     ,  1 LODERA DE CENTRO,   </t>
  </si>
  <si>
    <t xml:space="preserve">SEMIREMOLQUE TIPO: PLATAFORMA 48 FT 3 EJES, CON SUSPENSIÓN FLEET MASTER, EJES FLEET MASTER, 1 PAR DE PATÍN HJ, PISO DE PLÁSTICO CAFÉ, CON RIEL, 15 MATRACA CORREDIZA, SIN GANCHO, CONCHA A 1.40 M, REDILAS DE 1M, 2 SISTEMA RETRÁCTIL,  SIN RINES,     ,  2 LODERA DE CENTRO,   </t>
  </si>
  <si>
    <t>FOL-16-01-25-2</t>
  </si>
  <si>
    <t xml:space="preserve">SEMIREMOLQUE TIPO: PLATAFORMA 40 FT 2 EJES, CON SUSPENSIÓN FLEET MASTER, EJES FLEET MASTER, 2 PAR DE PATÍN HJ, PISO DE PLÁSTICO CAFÉ, CON RIEL, 10 MATRACA CORREDIZA, GANCHO HOLLAND 8/10 BARRENOS, CONCHA LAMINADA A 1.20 M, 0,    ,  SIN RINES,     ,  1 CANASTILLA, 1 BICiCLETERA,  </t>
  </si>
  <si>
    <t>FOL-20-01-25-2</t>
  </si>
  <si>
    <t xml:space="preserve">SEMIREMOLQUE TIPO: PLATAFORMA 48 FT 3 EJES, CON SUSPENSIÓN FLEET MASTER, EJES FLEET MASTER, 2 PAR DE PATÍN HJ, PISO DE PLÁSTICO CAFÉ, CON RIEL, 15 MATRACA CORREDIZA, GANCHO HOLLAND 8/10 BARRENOS, CONCHA A 1.40 M, 0, 2 SISTEMA RETRÁCTIL,  SIN RINES,     ,  0  ,   </t>
  </si>
  <si>
    <t xml:space="preserve">SEMIREMOLQUE TIPO: PLATAFORMA 48 FT 3 EJES, CON SUSPENSIÓN FLEET MASTER, EJES FLEET MASTER, 2 PAR DE PATÍN HJ, PISO DE PLÁSTICO CAFÉ, CON RIEL, 15 MATRACA CORREDIZA, GANCHO HOLLAND 8/10 BARRENOS, CONCHA A 1.40 M, REDILAS DE 1M, 2 SISTEMA RETRÁCTIL,  SIN RINES,     ,  0  ,   </t>
  </si>
  <si>
    <t xml:space="preserve">SEMIREMOLQUE TIPO: PLATAFORMA 48 FT 3 EJES, CON SUSPENSIÓN FLEET MASTER, EJES FLEET MASTER, 2 PAR DE PATÍN HJ, PISO DE PLÁSTICO CAFÉ, CON RIEL, 15 MATRACA CORREDIZA, GANCHO HOLLAND 8/10 BARRENOS, CONCHA A 1.40 M, REDILAS DE 1M, 2 SISTEMA RETRÁCTIL,  SIN RINES,     ,  2 LODERA DE CENTRO,   </t>
  </si>
  <si>
    <t xml:space="preserve">SEMIREMOLQUE TIPO: PLATAFORMA 48 FT 3 EJES, CON SUSPENSIÓN FLEET MASTER, EJES FLEET MASTER, 2 PAR DE PATÍN HJ, PISO DE PLÁSTICO CAFÉ, CON RIEL, 15 MATRACA CORREDIZA, SIN GANCHO, CONCHA A 1.40 M, REDILAS DE 1M, 2 SISTEMA RETRÁCTIL,  SIN RINES,     ,  2 LODERA DE CENTRO,   </t>
  </si>
  <si>
    <t>FOL-21-01-25-2</t>
  </si>
  <si>
    <t xml:space="preserve">SEMIREMOLQUE TIPO: PLATAFORMA 40 FT 2 EJES, CON SUSPENSIÓN FLEET MASTER, EJES FLEET MASTER, 2 PAR DE PATIN AMPRO, PISO DE MADERA DE PINO, CON RIEL, 10 MATRACA CORREDIZA, GANCHO HOLLAND 8/10 BARRENOS, CONCHA LAMINADA A 1.20 M, 0, 1 SISTEMA RETRÁCTIL, 8 RINES DE ACERO,   8 LLANTAS CHINAS,  0  ,   </t>
  </si>
  <si>
    <t>PD-21-01-25-0</t>
  </si>
  <si>
    <t>PRESUPUESTO DE DOLLY CON 2 EJES FLEET MASTER,  SUSPENSIÓN FLEET MASTER,   , 8 RINES DE ACERO, 0 SIN RINES, 8 LLANTAS CHINAS</t>
  </si>
  <si>
    <t xml:space="preserve">SEMIREMOLQUE TIPO: PLATAFORMA 40 FT 2 EJES, CON SUSPENSIÓN FLEET MASTER, EJES FLEET MASTER, 2 PAR DE PATÍN HJ, PISO DE PLÁSTICO CAFÉ, CON RIEL, 10 MATRACA CORREDIZA, GANCHO HOLLAND 8/10 BARRENOS, SIN FRENTE, 0, 1 SISTEMA RETRÁCTIL,  SIN RINES,    SIN LLANTAS,  0  ,   </t>
  </si>
  <si>
    <t>PRESUPUESTO DE DOLLY CON 2 EJES FLEET MASTER,  SUSPENSIÓN FLEET MASTER,   , 0 SIN RINES, 0 SIN RINES, 0 SIN LLANTAS</t>
  </si>
  <si>
    <t>PRESUPUESTO DE DOLLY CON 2 EJES FLEET MASTER,  SUSPENSIÓN FLEET MASTER, 1 SISTEMA RETRÁCTIL, 0 SIN RINES, 0 SIN RINES, 0 SIN LLANTAS</t>
  </si>
  <si>
    <t>FOL-22-01-25-2</t>
  </si>
  <si>
    <t xml:space="preserve">SEMIREMOLQUE TIPO: PLATAFORMA 40 FT 2 EJES, CON SUSPENSIÓN FLEET MASTER, EJES FLEET MASTER, 2 PAR DE PATÍN HJ, PISO DE PLÁSTICO CAFÉ, CON RIEL, 10 MATRACA CORREDIZA, GANCHO HOLLAND 8/10 BARRENOS, SIN FRENTE, 0,    ,  SIN RINES,    SIN LLANTAS,  0  ,   </t>
  </si>
  <si>
    <t>FOL-23-01-25-2</t>
  </si>
  <si>
    <t xml:space="preserve">SEMIREMOLQUE TIPO: PLATAFORMA 40 FT 2 EJES, CON SUSPENSIÓN FLEET MASTER, EJES FLEET MASTER, 2 PAR DE PATÍN HJ, PISO DE PLÁSTICO CAFÉ, CON RIEL, 10 MATRACA CORREDIZA, GANCHO HOLLAND 8/10 BARRENOS, SIN FRENTE, 0,    ,  SIN RINES,   1 SIN LLANTAS, LLANTAS VALIANT, 0  ,   </t>
  </si>
  <si>
    <t xml:space="preserve">SEMIREMOLQUE TIPO: PLATAFORMA 40 FT 2 EJES, CON SUSPENSIÓN FLEET MASTER, EJES FLEET MASTER, 2 PAR DE PATÍN HJ, PISO DE PLÁSTICO CAFÉ, CON RIEL, 10 MATRACA CORREDIZA, GANCHO HOLLAND 8/10 BARRENOS, SIN FRENTE, 0,    ,  SIN RINES,   1 SIN LLANTAS, LLANTAS FIRESTONE, 0  ,   </t>
  </si>
  <si>
    <t xml:space="preserve">SEMIREMOLQUE TIPO: PLATAFORMA 42 FT 3 EJES, CON SUSPENSIÓN HENDRICKSON, EJES AMPRO, 2 PAR DE PATÍN HOLLAND, PISO LAMINADO CON BASE DE PLÁSTICO, SIN RIEL,  SIN MATRACAS, SIN GANCHO, SIN FRENTE, 0, 2 SISTEMA RETRÁCTIL,  SIN RINES,   1 SIN LLANTAS, LLANTAS FIRESTONE, 1 BICiCLETERA, 1 PORTALLANTAS EXTRA,  </t>
  </si>
  <si>
    <t xml:space="preserve">SEMIREMOLQUE TIPO: PLATAFORMA 42 FT 3 EJES, CON SUSPENSIÓN HENDRICKSON, EJES AMPRO, 2 PAR DE PATÍN HOLLAND, PISO LAMINADO CON BASE DE PLÁSTICO, SIN RIEL,  SIN MATRACAS, SIN GANCHO, SIN FRENTE, 0, 2 SISTEMA RETRÁCTIL,  SIN RINES,    SIN LLANTAS,  1 BICiCLETERA, 1 PORTALLANTAS EXTRA,  </t>
  </si>
  <si>
    <t xml:space="preserve">SEMIREMOLQUE TIPO: PLATAFORMA 42 FT 3 EJES, CON SUSPENSIÓN HENDRICKSON, EJES AMPRO, 2 PAR DE PATÍN HOLLAND, PISO LAMINADO CON BASE DE PLÁSTICO, SIN RIEL,  SIN MATRACAS, SIN GANCHO, SIN FRENTE, 0, 2 SISTEMA RETRÁCTIL, 12 RINES DE ACERO,   12 LLANTAS FIRESTONE,  1 BICiCLETERA, 1 PORTALLANTAS EXTRA,  </t>
  </si>
  <si>
    <t>FOL-28-01-25-2</t>
  </si>
  <si>
    <t xml:space="preserve">SEMIREMOLQUE TIPO: PLATAFORMA 42 FT 2 EJES, CON SUSPENSIÓN FLEET MASTER, EJES AMPRO, 1 PAR DE PATÍN HJ, PISO LAMINADO CON BASE DE MADERA, CON RIEL, 10 MATRACA CORREDIZA, GANCHO HOLLAND 8/10 BARRENOS, SIN FRENTE, 0, 1 SISTEMA RETRÁCTIL, 8 RINES DE ACERO,   8 LLANTAS CHINAS,  0  ,   </t>
  </si>
  <si>
    <t>FOL-05-05-25-2</t>
  </si>
  <si>
    <t xml:space="preserve">SEMIREMOLQUE TIPO: PLATAFORMA 42 FT 3 EJES, CON SUSPENSIÓN FLEET MASTER, EJES FLEET MASTER, 2 PAR DE PATÍN HJ, PISO DE PLÁSTICO CAFÉ, CON RIEL, 12 MATRACA CORREDIZA, SIN GANCHO, CONCHA LAMINADA A 1.20 M, 0, 2 SISTEMA RETRÁCTIL, 12 RINES DE ACERO,   12 LLANTAS CHINAS,  0  ,   </t>
  </si>
  <si>
    <t xml:space="preserve">SEMIREMOLQUE TIPO: PLATAFORMA 42 FT 3 EJES, CON SUSPENSIÓN FLEET MASTER, EJES FLEET MASTER, 2 PAR DE PATÍN HJ, PISO DE PLÁSTICO CAFÉ, CON RIEL, 12 MATRACA CORREDIZA, SIN GANCHO, CONCHA LAMINADA A 1.20 M, 0, 2 SISTEMA RETRÁCTIL,  SIN RINES,    SIN LLANTAS,  0  ,   </t>
  </si>
  <si>
    <t xml:space="preserve">SEMIREMOLQUE TIPO: PLATAFORMA 42 FT 3 EJES, CON SUSPENSIÓN FLEET MASTER, EJES FLEET MASTER, 2 PAR DE PATÍN HJ, PISO DE PLÁSTICO CAFÉ, CON RIEL, 12 MATRACA CORREDIZA, SIN GANCHO, CONCHA LAMINADA A 1.20 M, 0, 2 SISTEMA RETRÁCTIL,  SIN RINES,    SIN LLANTAS,  1 POLINERA  GRANDE,   </t>
  </si>
  <si>
    <t xml:space="preserve">SEMIREMOLQUE TIPO: PLATAFORMA 42 FT 3 EJES, CON SUSPENSIÓN FLEET MASTER, EJES FLEET MASTER, 2 PAR DE PATÍN HJ, PISO DE PLÁSTICO CAFÉ, CON RIEL, 12 MATRACA CORREDIZA, SIN GANCHO, CONCHA LAMINADA A 1.20 M, REDILAS DE 80 CM, 2 SISTEMA RETRÁCTIL,  SIN RINES,    SIN LLANTAS,  1 POLINERA  GRANDE,   </t>
  </si>
  <si>
    <t>FOL-08-05-25-2</t>
  </si>
  <si>
    <t xml:space="preserve">SEMIREMOLQUE TIPO: PLATAFORMA 42 FT 2 EJES, CON SUSPENSIÓN FLEET MASTER, EJES FLEET MASTER, 2 PAR DE PATÍN HJ, PISO DE PLÁSTICO CAFÉ, SIN RIEL,  SIN MATRACAS, GANCHO HOLLAND 8/10 BARRENOS, SIN FRENTE, SIN REDILAS, 1 SISTEMA RETRÁCTIL, 8 RINES DE ACERO,    SIN LLANTAS,  0  ,   </t>
  </si>
  <si>
    <t xml:space="preserve">SEMIREMOLQUE TIPO: PLATAFORMA 42 FT 2 EJES, CON SUSPENSIÓN FLEET MASTER, EJES FLEET MASTER, 2 PAR DE PATÍN HJ, PISO LAMINADO CON BASE DE PLÁSTICO, SIN RIEL,  SIN MATRACAS, GANCHO HOLLAND 8/10 BARRENOS, SIN FRENTE, SIN REDILAS, 1 SISTEMA RETRÁCTIL, 8 RINES DE ACERO,    SIN LLANTAS,  0  ,   </t>
  </si>
  <si>
    <t>PD-08-05-25-0</t>
  </si>
  <si>
    <t>PRESUPUESTO DE DOLLY CON 2 EJES FLEET MASTER,  SUSPENSIÓN FLEET MASTER, 1 SISTEMA RETRÁCTIL, 8 RINES DE ACERO, 0 SIN RINES, 0 SIN LLANTAS</t>
  </si>
  <si>
    <t xml:space="preserve">SEMIREMOLQUE TIPO: PLATAFORMA 40 FT 2 EJES, CON SUSPENSIÓN FLEET MASTER, EJES FLEET MASTER, 2 PAR DE PATÍN HJ, PISO LAMINADO CON BASE DE PLÁSTICO, SIN RIEL,  SIN MATRACAS, GANCHO HOLLAND 8/10 BARRENOS, SIN FRENTE, SIN REDILAS, 1 SISTEMA RETRÁCTIL, 8 RINES DE ACERO,    SIN LLANTAS,  0  ,   </t>
  </si>
  <si>
    <t>FOL-19-06-25-2</t>
  </si>
  <si>
    <t xml:space="preserve">SEMIREMOLQUE TIPO: PLATAFORMA 40 FT 2 EJES, CON SUSPENSIÓN FLEET MASTER, EJES FLEET MASTER, 2 PAR DE PATÍN HJ, PISO DE PLÁSTICO CAFÉ, CON RIEL, 10 MATRACA CORREDIZA, GANCHO HOLLAND 8/10 BARRENOS, CONCHA LAMINADA A 1.20 M, SIN REDILAS, 1 SISTEMA RETRÁCTIL, 4 RINES DE ACERO, 4 RINES DE ALUMINIO,  SIN LLANTAS,  1 LODERA DE CENTRO, 16 PLAFONES DE CARRITO ROJOS P/ESTRIBO, 16 PLAFONES DE CARRITO AMBAR LATERALES, </t>
  </si>
  <si>
    <t>SEMIREMOLQUE TIPO: PLATAFORMA 40 FT 2 EJES, CON SUSPENSIÓN FLEET MASTER, EJES FLEET MASTER, 2 PAR DE PATÍN HJ, PISO DE PLÁSTICO CAFÉ, CON RIEL, 10 MATRACA CORREDIZA, GANCHO HOLLAND 8/10 BARRENOS, CONCHA LAMINADA A 1.20 M, SIN REDILAS, 1 SISTEMA RETRÁCTIL, 4 RINES DE ACERO, 4 RINES DE ALUMINIO,  SIN LLANTAS,  1 LODERA DE CENTRO, 16 PLAFONES DE CARRITO ROJOS P/ESTRIBO, 16 PLAFONES DE CARRITO AMBAR LATERALES, PATA DE ELEFANTE</t>
  </si>
  <si>
    <t xml:space="preserve">POR DEFINIR </t>
  </si>
  <si>
    <t>PD-19-06-25-0</t>
  </si>
  <si>
    <t>FOL-23-06-25-2</t>
  </si>
  <si>
    <t>SEMIREMOLQUE TIPO: PLATAFORMA 45 FT 3 EJES, CON SUSPENSIÓN HENDRICKSON, EJES FLEET MASTER, 2 PAR DE PATÍN HOLLAND, PISO DE PLÁSTICO CAFÉ, CON RIEL, 12 MATRACA CORREDIZA, SIN GANCHO, CONCHA LAMINADA A 1.20 M, SIN REDILAS, 2 SISTEMA RETRÁCTIL,  SIN RINES,  SIN RINES,  SIN LLANTAS,  1 LODERA DE CENTRO, 16 PLAFONES DE CARRITO ROJOS P/ESTRIBO, 16 PLAFONES DE CARRITO AMBAR LATERALES, CANASTILLA</t>
  </si>
  <si>
    <t>SEMIREMOLQUE TIPO: PLATAFORMA 45 FT 3 EJES, CON SUSPENSIÓN HENDRICKSON, EJES FLEET MASTER, 2 PAR DE PATÍN HOLLAND, PISO DE PLÁSTICO CAFÉ, CON RIEL, 12 MATRACA CORREDIZA, SIN GANCHO, CONCHA LAMINADA A 1.20 M, SIN REDILAS, 2 SISTEMA RETRÁCTIL,  SIN RINES,  SIN RINES,  SIN LLANTAS,  1 LODERA DE CENTRO, 16 PLAFONES DE CARRITO ROJOS P/ESTRIBO, 20 PLAFONES DE CARRITO AMBAR LATERALES, CANASTILLA</t>
  </si>
  <si>
    <t>FOL-02-07-25-2</t>
  </si>
  <si>
    <t xml:space="preserve">SEMIREMOLQUE TIPO: PLATAFORMA 40 FT 2 EJES, CON SUSPENSIÓN FLEET MASTER, EJES FLEET MASTER, 2 PAR DE PATÍN HJ, PISO DE PLÁSTICO CAFÉ, CON RIEL, 10 MATRACA CORREDIZA, GANCHO HOLLAND 8/10 BARRENOS, CONCHA LAMINADA A 1.20 M, SIN REDILAS, 1 SISTEMA RETRÁCTIL, 8 RINES DE ACERO,  SIN RINES, 8 LLANTAS CHINAS,  0  ,   </t>
  </si>
  <si>
    <t xml:space="preserve">SEMIREMOLQUE TIPO: PLATAFORMA 40 FT 2 EJES, CON SUSPENSIÓN FLEET MASTER, EJES FLEET MASTER, 2 PAR DE PATÍN HJ, PISO DE PLÁSTICO CAFÉ, CON RIEL, 10 MATRACA CORREDIZA, GANCHO HOLLAND 8/10 BARRENOS, CONCHA LAMINADA A 1.20 M, SIN REDILAS, 1 SISTEMA RETRÁCTIL,  SIN RINES,  SIN RINES,  SIN LLANTAS,  0  ,   </t>
  </si>
  <si>
    <t xml:space="preserve">SEMIREMOLQUE TIPO: PLATAFORMA 40 FT 2 EJES, CON SUSPENSIÓN FLEET MASTER, EJES FLEET MASTER, 2 PAR DE PATÍN HJ, PISO DE PLÁSTICO CAFÉ, CON RIEL, 10 MATRACA CORREDIZA, GANCHO HOLLAND 8/10 BARRENOS, CONCHA LAMINADA A 1.20 M, SIN REDILAS, 1 SISTEMA RETRÁCTIL,  SIN RINES,  SIN RINES,  SIN LLANTAS,  1 BICiCLETERA, 1 CANASTILLA, 1 PLAFONES DE CARRITO AMBAR LATERALES, </t>
  </si>
  <si>
    <t>FOL-03-07-25-2</t>
  </si>
  <si>
    <t xml:space="preserve">SEMIREMOLQUE TIPO: PLATAFORMA 42 FT 3 EJES, CON SUSPENSIÓN HENDRICKSON, EJES FLEET MASTER, 2 PAR DE PATIN AMPRO, PISO DE PLÁSTICO CAFÉ, CON RIEL, 12 MATRACA CORREDIZA, SIN GANCHO, SIN FRENTE, SIN REDILAS, 2 SISTEMA RETRÁCTIL, 6 RINES DE ACERO, 6 RINES DE ALUMINIO, 12 LLANTAS AMULET,  1 LODERA DE CENTRO, 20 PLAFONES DE CARRITO AMBAR LATERALES, 16 PLAFONES DE CARRITO ROJOS P/ESTRIBO, </t>
  </si>
  <si>
    <t>FOL-08-07-25-2</t>
  </si>
  <si>
    <t xml:space="preserve">SEMIREMOLQUE TIPO: PLATAFORMA 42 FT 3 EJES, CON SUSPENSIÓN HENDRICKSON, EJES FLEET MASTER, 2 PAR DE PATÍN HJ, PISO DE PLÁSTICO CAFÉ, SIN RIEL,  SIN MATRACAS, SIN GANCHO, SIN FRENTE, SIN REDILAS, 2 SISTEMA RETRÁCTIL, 6 RINES DE ACERO, 6 RINES DE ALUMINIO, 12 LLANTAS CHINAS,  1 LODERA DE CENTRO,   </t>
  </si>
  <si>
    <t xml:space="preserve">SEMIREMOLQUE TIPO: PLATAFORMA 42 FT 3 EJES, CON SUSPENSIÓN HENDRICKSON, EJES FLEET MASTER, 2 PAR DE PATÍN HJ, PISO DE PLÁSTICO CAFÉ, SIN RIEL,  SIN MATRACAS, SIN GANCHO, SIN FRENTE, SIN REDILAS, 2 SISTEMA RETRÁCTIL, 12 RINES DE ACERO,   12 LLANTAS CHINAS,  1 LODERA DE CENTRO,   </t>
  </si>
  <si>
    <t xml:space="preserve">SEMIREMOLQUE TIPO: PLATAFORMA 42 FT 3 EJES, CON SUSPENSIÓN HENDRICKSON, EJES FLEET MASTER, 2 PAR DE PATÍN HJ, PISO DE PLÁSTICO CAFÉ, SIN RIEL,  SIN MATRACAS, SIN GANCHO, SIN FRENTE, SIN REDILAS, 2 SISTEMA RETRÁCTIL, 12 RINES DE ACERO,   12 LLANTAS CHINAS,  1 LODERA DE CENTRO, 1 PORTALLANTAS EXTRA,  </t>
  </si>
  <si>
    <t xml:space="preserve">SEMIREMOLQUE TIPO: PLATAFORMA 45 FT 3 EJES, CON SUSPENSIÓN FLEET MASTER, EJES FLEET MASTER, 2 PAR DE PATÍN HJ, PISO DE PLÁSTICO CAFÉ, CON RIEL, 12 MATRACA CORREDIZA, SIN GANCHO, CONCHA LAMINADA A 1.20 M, SIN REDILAS, 2 SISTEMA RETRÁCTIL,  SIN RINES,    SIN LLANTAS,  1 LODERA DE CENTRO,   </t>
  </si>
  <si>
    <t>FOL-10-07-25-2</t>
  </si>
  <si>
    <t xml:space="preserve">SEMIREMOLQUE TIPO: PLATAFORMA 40 FT 2 EJES, CON SUSPENSIÓN FLEET MASTER, EJES FLEET MASTER, 2 PAR DE PATÍN HJ, PISO DE PLÁSTICO CAFÉ, CON RIEL, 10 MATRACA CORREDIZA, GANCHO HOLLAND 8/10 BARRENOS, SIN FRENTE, SIN REDILAS, 1 SISTEMA RETRÁCTIL,  SIN RINES,    SIN LLANTAS,  1 LODERA DE CENTRO, 16 PLAFONES DE CARRITO ROJOS P/ESTRIBO, 20 PLAFONES DE CARRITO AMBAR LATERALES, </t>
  </si>
  <si>
    <t>PD-16-07-25-0</t>
  </si>
  <si>
    <t>PRESUPUESTO DE DOLLY CON 2 EJES FLEET MASTER,  SUSPENSIÓN FLEET MASTER, 1 SISTEMA RETRÁCTIL, 8 RINES DE ACERO,  SIN RINES, 8 LLANTAS CHINAS</t>
  </si>
  <si>
    <t>FOL-24-07-25-2</t>
  </si>
  <si>
    <t xml:space="preserve">SEMIREMOLQUE TIPO: PLATAFORMA 42 FT 3 EJES, CON SUSPENSIÓN FLEET MASTER, EJES FLEET MASTER, 2 PAR DE PATÍN HJ, PISO DE PLÁSTICO CAFÉ, CON RIEL, 10 MATRACA CORREDIZA, SIN GANCHO, CONCHA LAMINADA A 1.20 M, SIN REDILAS, 2 SISTEMA RETRÁCTIL, 6 RINES DE ACERO, 6 RINES DE ALUMINIO, 12 LLANTAS CHINAS,  1 LODERA DE CENTRO, 1 CANASTILLA, 1 BICiCLETERA, </t>
  </si>
  <si>
    <t>FOL-30-07-25-2</t>
  </si>
  <si>
    <t xml:space="preserve">SEMIREMOLQUE TIPO: PLATAFORMA 40 FT 2 EJES, CON SUSPENSIÓN FLEET MASTER, EJES FLEET MASTER, 2 PAR DE PATÍN HJ, PISO DE PLÁSTICO CAFÉ, CON RIEL, 10 MATRACA CORREDIZA, GANCHO HOLLAND 8/10 BARRENOS, SIN FRENTE, SIN REDILAS,   SIN SISTEMA RETRÁCTIL,  SIN RINES,  SIN RINES,  SIN LLANTAS,  0  ,   </t>
  </si>
  <si>
    <t>FOL-31-07-25-2</t>
  </si>
  <si>
    <t xml:space="preserve">SEMIREMOLQUE TIPO: PLATAFORMA 40 FT 2 EJES, CON SUSPENSIÓN FLEET MASTER, EJES FLEET MASTER, 2 PAR DE PATÍN HJ, PISO DE PLÁSTICO CAFÉ, CON RIEL, 10 MATRACA CORREDIZA, GANCHO HOLLAND 8/10 BARRENOS, SIN FRENTE, SIN REDILAS,   SIN SISTEMA RETRÁCTIL, 8 RINES DE ACERO,  SIN RINES, 8 LLANTAS CHINAS,  0  ,   </t>
  </si>
  <si>
    <t>BURRO DE MADERA 1.20 M</t>
  </si>
  <si>
    <t>FOL-01-08-25-2</t>
  </si>
  <si>
    <t xml:space="preserve">SEMIREMOLQUE TIPO: PLATAFORMA 40 FT 2 EJES, CON SUSPENSIÓN ALTA HENDRICKSON, EJES FLEET MASTER, 2 PAR DE PATIN AMPRO, PISO DE PLÁSTICO CAFÉ, CON RIEL, 10 MATRACA CORREDIZA, GANCHO HOLLAND 8/10 BARRENOS, BURRO DE MADERA 1.20 M, REDILAS DE 80 CM, 1 SISTEMA RETRÁCTIL,  SIN RINES,  SIN RINES,  SIN LLANTAS,  1 LODERA DE CENTRO, 1 CANASTILLA, 20 PLAFONES DE CARRITO AMBAR LATERALES, </t>
  </si>
  <si>
    <t>SEMIREMOLQUE TIPO: PLATAFORMA 40 FT 2 EJES, CON SUSPENSIÓN ALTA HENDRICKSON, EJES FLEET MASTER, 2 PAR DE PATIN AMPRO, PISO DE PLÁSTICO CAFÉ, CON RIEL, 10 MATRACA CORREDIZA, GANCHO HOLLAND 8/10 BARRENOS, BURRO DE MADERA 1.20 M, REDILAS DE 80 CM, 1 SISTEMA RETRÁCTIL,  SIN RINES,  SIN RINES,  SIN LLANTAS,  1 LODERA DE CENTRO, 1 CANASTILLA, 20 PLAFONES DE CARRITO AMBAR LATERALES, PATA DE ELEFANTE</t>
  </si>
  <si>
    <t>PD-01-08-25-0</t>
  </si>
  <si>
    <t>PRESUPUESTO DE DOLLY CON 2 EJES FLEET MASTER,  SUSPENSIÓN ALTA HENDRICKSON, 1 SISTEMA RETRÁCTIL,  SIN RINES,  SIN RINES,  SIN LLANTAS</t>
  </si>
  <si>
    <t>SEMIREMOLQUE TIPO: PLATAFORMA 40 FT 2 EJES, CON SUSPENSIÓN ALTA HENDRICKSON, EJES FLEET MASTER, 2 PAR DE PATÍN HOLLAND, PISO DE PLÁSTICO CAFÉ, CON RIEL,  MATRACA CORREDIZA, GANCHO HOLLAND 8/10 BARRENOS, BURRO LAMINADO A 1.20 M, SIN REDILAS, 1 SISTEMA RETRÁCTIL,  SIN RINES,  SIN RINES,  SIN LLANTAS,  1 LODERA DE CENTRO, 1 POLINERA  GRANDE, 16 PLAFONES DE CARRITO ROJOS P/ESTRIBO, BICiCLETERA</t>
  </si>
  <si>
    <t>PD-05-08-25-0</t>
  </si>
  <si>
    <t>FOL-05-08-25-2</t>
  </si>
  <si>
    <t>SEMIREMOLQUE TIPO: PLATAFORMA 40 FT 2 EJES, CON SUSPENSIÓN FLEET MASTER, EJES FLEET MASTER, 2 PAR DE PATÍN HOLLAND, PISO DE PLÁSTICO CAFÉ, CON RIEL,  MATRACA CORREDIZA, GANCHO HOLLAND 8/10 BARRENOS, BURRO LAMINADO A 1.20 M, SIN REDILAS, 1 SISTEMA RETRÁCTIL,  SIN RINES,  SIN RINES,  SIN LLANTAS,  1 LODERA DE CENTRO, 1 POLINERA  GRANDE, 16 PLAFONES DE CARRITO ROJOS P/ESTRIBO, BICiCLETERA</t>
  </si>
  <si>
    <t>14</t>
  </si>
  <si>
    <t>FOL-07-08-25-2</t>
  </si>
  <si>
    <t>SEMIREMOLQUE TIPO: PLATAFORMA 42 FT 3 EJES, CON SUSPENSIÓN HENDRICKSON, EJES FLEET MASTER, 2 PAR DE PATÍN HOLLAND, PISO LAMINADO CON BASE DE MADERA, CON RIEL, 14 MATRACA CORREDIZA, GANCHO HOLLAND 8/10 BARRENOS, CONCHA LAMINADA A 1.20 M, SIN REDILAS, 2 SISTEMA RETRÁCTIL, 6 RINES DE ACERO, 6 RINES DE ALUMINIO, 12 LLANTAS AMULET,  1 LODERA DE CENTRO, 1 POLINERA  GRANDE, 18 PLAFONES DE CARRITO ROJOS P/ESTRIBO, BICiCLETERA</t>
  </si>
  <si>
    <t>2 direccionales, 4 cuartos, 2 alto, 1 porta-placa, 3 rojos tres marías en el centro con preteccion de solera.</t>
  </si>
  <si>
    <t>FOL-08-08-25-2</t>
  </si>
  <si>
    <t>SEMIREMOLQUE TIPO: PLATAFORMA 42 FT 3 EJES, CON SUSPENSIÓN HENDRICKSON, EJES FLEET MASTER, 2 PAR DE PATÍN HOLLAND, PISO LAMINADO CON BASE DE MADERA, CON RIEL, 14 MATRACA CORREDIZA, GANCHO HOLLAND 8/10 BARRENOS, CONCHA LAMINADA A 1.20 M, SIN REDILAS, 2 SISTEMA RETRÁCTIL, 6 RINES DE ACERO, 6 RINES DE ALUMINIO, 12 LLANTAS CHINAS,  1 LODERA DE CENTRO, 1 POLINERA  GRANDE, 18 PLAFONES DE CARRITO ROJOS P/ESTRIBO, BICiCLETERA</t>
  </si>
  <si>
    <t>FOL-18-08-25-2</t>
  </si>
  <si>
    <t>SEMIREMOLQUE TIPO: PLATAFORMA 40 FT 2 EJES, CON SUSPENSIÓN FLEET MASTER, EJES FLEET MASTER, 2 PAR DE PATÍN HJ, PISO DE PLÁSTICO CAFÉ, CON RIEL, 10 MATRACA CORREDIZA, GANCHO PREMIER 8 BARRENOS, CONCHA 1.10 M, SIN REDILAS, 1 SISTEMA RETRÁCTIL, 8 RINES DE ACERO,   8 LLANTAS CHINAS,  1 LODERA DE CENTRO, 1 CANASTILLA, 16 PLAFONES DE CARRITO ROJOS P/ESTRIBO, BICiCLETERA</t>
  </si>
  <si>
    <t xml:space="preserve">SEMIREMOLQUE TIPO: PLATAFORMA 40 FT 2 EJES, CON SUSPENSIÓN FLEET MASTER, EJES FLEET MASTER, 1 PAR DE PATÍN HJ, PISO DE PLÁSTICO CAFÉ, CON RIEL, 10 MATRACA CORREDIZA, GANCHO PREMIER 8 BARRENOS, SIN FRENTE, SIN REDILAS,   SISTEMA RETRÁCTIL, 8 RINES DE ACERO,   8 LLANTAS CHINAS,  0  ,   </t>
  </si>
  <si>
    <t xml:space="preserve">SEMIREMOLQUE TIPO: PLATAFORMA 40 FT 2 EJES, CON SUSPENSIÓN FLEET MASTER, EJES FLEET MASTER, 1 PAR DE PATÍN HJ, PISO DE MADERA DE ENCINO, CON RIEL, 10 MATRACA CORREDIZA, GANCHO PREMIER 8 BARRENOS, SIN FRENTE, SIN REDILAS, 1 SISTEMA RETRÁCTIL, 8 RINES DE ACERO,   8 LLANTAS CHINAS,  0  ,   </t>
  </si>
  <si>
    <t>PD-18-08-25-0</t>
  </si>
  <si>
    <t>PRESUPUESTO DE DOLLY CON 2 EJES FLEET MASTER,  SUSPENSIÓN FLEET MASTER,  SIN SISTEMA RETRÁCTIL, 8 RINES DE ACERO,  SIN RINES, 8 LLANTAS CHINAS</t>
  </si>
  <si>
    <t>SEMIREMOLQUE TIPO: PLATAFORMA 42 FT 3 EJES, CON SUSPENSIÓN HENDRICKSON, EJES AMPRO, 2 PAR DE PATÍN HOLLAND, PISO LAMINADO CON BASE DE PLÁSTICO, CON RIEL, 10 MATRACA CORREDIZA, SIN GANCHO, BURRO LAMINADO A 1.20 M, SIN REDILAS, 2 SISTEMA RETRÁCTIL, 12 RINES DE ALUMINIO,   12 LLANTAS FIRESTONE,  1 CANASTILLA, 2 CAJA DE HRRTAS CHICA, 16 PLAFONES DE CARRITO ROJOS P/ESTRIBO, PLAFONES DE CARRITO AMBAR LATERALES</t>
  </si>
  <si>
    <t>FOL-19-08-25-2</t>
  </si>
  <si>
    <t xml:space="preserve">SEMIREMOLQUE TIPO: PLATAFORMA 40 FT 2 EJES, CON SUSPENSIÓN FLEET MASTER, EJES FLEET MASTER, 2 PAR DE PATÍN HOLLAND, PISO DE PLÁSTICO CAFÉ, CON RIEL, 10 MATRACA CORREDIZA, GANCHO HOLLAND 8/10 BARRENOS, BURRO LAMINADO A 1.20 M, SIN REDILAS, 1 SISTEMA RETRÁCTIL,  SIN RINES,    SIN LLANTAS,  1 POLINERA  GRANDE, 2 PLAFONES DE CARRITO AMBAR LATERALES, 16 PLAFONES DE CARRITO ROJOS P/ESTRIBO, </t>
  </si>
  <si>
    <t xml:space="preserve">SEMIREMOLQUE TIPO: PLATAFORMA 40 FT 2 EJES, CON SUSPENSIÓN FLEET MASTER, EJES FLEET MASTER, 2 PAR DE PATÍN HOLLAND, PISO DE PLÁSTICO CAFÉ, CON RIEL, 10 MATRACA CORREDIZA, GANCHO HOLLAND 8/10 BARRENOS, BURRO LAMINADO A 1.20 M, SIN REDILAS, 1 SISTEMA RETRÁCTIL,  SIN RINES,    SIN LLANTAS,  1 POLINERA  GRANDE,   </t>
  </si>
  <si>
    <t xml:space="preserve">SEMIREMOLQUE TIPO: PLATAFORMA 40 FT 2 EJES, CON SUSPENSIÓN FLEET MASTER, EJES FLEET MASTER, 2 PAR DE PATÍN HOLLAND, PISO DE PLÁSTICO CAFÉ, CON RIEL, 10 MATRACA CORREDIZA, GANCHO HOLLAND 8/10 BARRENOS, BURRO LAMINADO A 1.20 M, SIN REDILAS, 1 SISTEMA RETRÁCTIL,  SIN RINES,    SIN LLANTAS,  1 POLINERA  GRANDE, 16 PLAFONES DE CARRITO ROJOS P/ESTRIBO, 20 PLAFONES DE CARRITO AMBAR LATERALES, </t>
  </si>
  <si>
    <t>SEMIREMOLQUE TIPO: PLATAFORMA 40 FT 2 EJES, CON SUSPENSIÓN FLEET MASTER, EJES FLEET MASTER, 2 PAR DE PATÍN HOLLAND, PISO DE PLÁSTICO CAFÉ, CON RIEL, 10 MATRACA CORREDIZA, GANCHO HOLLAND 8/10 BARRENOS, BURRO LAMINADO A 1.20 M, SIN REDILAS, 1 SISTEMA RETRÁCTIL,  SIN RINES,    SIN LLANTAS,  1 POLINERA  GRANDE, 16 PLAFONES DE CARRITO ROJOS P/ESTRIBO, 20 PLAFONES DE CARRITO AMBAR LATERALES, BICiCLETERA</t>
  </si>
  <si>
    <t>PD-19-08-25-0</t>
  </si>
  <si>
    <t>PRESUPUESTO DE DOLLY CON 2 EJES FLEET MASTER,  SUSPENSIÓN HENDRICKSON,   , 8 RINES DE ACERO,  SIN RINES, 8 LLANTAS CHINAS</t>
  </si>
  <si>
    <t>PD-22-08-25-0</t>
  </si>
  <si>
    <t>FOL-25-08-25-2</t>
  </si>
  <si>
    <t xml:space="preserve">SEMIREMOLQUE TIPO: PLATAFORMA 45 FT 3 EJES, CON SUSPENSIÓN FLEET MASTER, EJES FLEET MASTER, 2 PAR DE PATÍN HOLLAND, PISO DE PLÁSTICO CAFÉ, CON RIEL, 15 MATRACA CORREDIZA, SIN GANCHO, BURRO LAMINADO A 1.20 M, SIN REDILAS, 2 SISTEMA RETRÁCTIL, 12 RINES DE ALUMINIO,   12 LLANTAS FIRESTONE,  1 CANASTILLA, 20 PLAFONES DE CARRITO AMBAR LATERALES, 16 PLAFONES DE CARRITO ROJOS P/ESTRIBO, </t>
  </si>
  <si>
    <t xml:space="preserve">SEMIREMOLQUE TIPO: PLATAFORMA 45 FT 3 EJES, CON SUSPENSIÓN HENDRICKSON, EJES FLEET MASTER, 2 PAR DE PATÍN HOLLAND, PISO DE PLÁSTICO CAFÉ, CON RIEL, 15 MATRACA CORREDIZA, SIN GANCHO, BURRO LAMINADO A 1.20 M, SIN REDILAS, 2 SISTEMA RETRÁCTIL, 12 RINES DE ALUMINIO,   12 LLANTAS FIRESTONE,  1 CANASTILLA, 20 PLAFONES DE CARRITO AMBAR LATERALES, 16 PLAFONES DE CARRITO ROJOS P/ESTRIBO, </t>
  </si>
  <si>
    <t>FOL-05-09-25-2</t>
  </si>
  <si>
    <t xml:space="preserve">SEMIREMOLQUE TIPO: PLATAFORMA 40 FT 2 EJES, CON SUSPENSIÓN FLEET MASTER, EJES FLEET MASTER, 2 PAR DE PATÍN HJ, PISO DE PLÁSTICO CAFÉ, CON RIEL, 10 MATRACA CORREDIZA, GANCHO HOLLAND 8/10 BARRENOS, SIN FRENTE, SIN REDILAS, 1 SISTEMA RETRÁCTIL,  SIN RINES,    SIN LLANTAS,  0  ,   </t>
  </si>
  <si>
    <t>FOL-29-09-25-2</t>
  </si>
  <si>
    <t>SEMIREMOLQUE TIPO: PLATAFORMA 42 FT 3 EJES, CON SUSPENSIÓN ALTA HENDRICKSON, EJES FLEET MASTER, 2 PAR DE PATÍN HJ, PISO LAMINADO CON BASE DE MADERA, CON RIEL, 12 MATRACA CORREDIZA, SIN GANCHO, CONCHA LAMINADA A 1.20 M, SIN REDILAS, 2 SISTEMA RETRÁCTIL, 12 RINES DE ACERO,   12 LLANTAS AMULET,  1 PORTALLANTAS EXTRA, 1 LODERA DE CENTRO, 16 PLAFONES DE CARRITO ROJOS P/ESTRIBO, PLAFONES DE CARRITO AMBAR LATERALES</t>
  </si>
  <si>
    <t>SEMIREMOLQUE TIPO: PLATAFORMA 42 FT 3 EJES, CON SUSPENSIÓN ALTA HENDRICKSON, EJES FLEET MASTER, 2 PAR DE PATÍN HJ, PISO LAMINADO CON BASE DE MADERA, CON RIEL, 12 MATRACA CORREDIZA, SIN GANCHO, CONCHA LAMINADA A 1.20 M, SIN REDILAS, 2 SISTEMA RETRÁCTIL,  SIN RINES,    SIN LLANTAS,  1 PORTALLANTAS EXTRA, 1 LODERA DE CENTRO, 16 PLAFONES DE CARRITO ROJOS P/ESTRIBO, PLAFONES DE CARRITO AMBAR LATERALES</t>
  </si>
  <si>
    <t>SEMIREMOLQUE TIPO: PLATAFORMA 42 FT 3 EJES, CON SUSPENSIÓN HENDRICKSON, EJES FLEET MASTER, 2 PAR DE PATÍN HJ, PISO LAMINADO CON BASE DE MADERA, CON RIEL, 12 MATRACA CORREDIZA, SIN GANCHO, CONCHA LAMINADA A 1.20 M, SIN REDILAS, 2 SISTEMA RETRÁCTIL, 12 RINES DE ACERO,   12 LLANTAS AMULET,  1 PORTALLANTAS EXTRA, 1 LODERA DE CENTRO, 16 PLAFONES DE CARRITO ROJOS P/ESTRIBO, PLAFONES DE CARRITO AMBAR LATERALES</t>
  </si>
  <si>
    <t xml:space="preserve">SUSPENSION HJ ALTA </t>
  </si>
  <si>
    <t>SEMIREMOLQUE TIPO: PLATAFORMA 42 FT 3 EJES, CON SUSPENSION HJ ALTA , EJES FLEET MASTER, 2 PAR DE PATÍN HJ, PISO LAMINADO CON BASE DE MADERA, CON RIEL, 12 MATRACA CORREDIZA, SIN GANCHO, CONCHA LAMINADA A 1.20 M, SIN REDILAS, 2 SISTEMA RETRÁCTIL, 12 RINES DE ACERO,   12 LLANTAS AMULET,  1 PORTALLANTAS EXTRA, 1 LODERA DE CENTRO, 16 PLAFONES DE CARRITO ROJOS P/ESTRIBO, PLAFONES DE CARRITO AMBAR LATERALES</t>
  </si>
  <si>
    <t>SEMIREMOLQUE TIPO: PLATAFORMA 42 FT 3 EJES, CON SUSPENSION HJ ALTA , EJES FLEET MASTER, 2 PAR DE PATÍN HJ, PISO LAMINADO CON BASE DE MADERA, CON RIEL, 12 MATRACA CORREDIZA, SIN GANCHO, CONCHA LAMINADA A 1.20 M, SIN REDILAS, 2 SISTEMA RETRÁCTIL,  SIN RINES,    SIN LLANTAS,  1 PORTALLANTAS EXTRA, 1 LODERA DE CENTRO, 16 PLAFONES DE CARRITO ROJOS P/ESTRIBO, PLAFONES DE CARRITO AMBAR LATERALES</t>
  </si>
  <si>
    <t>CONCHA LAMINADA 1.50 M</t>
  </si>
  <si>
    <t>LLANTAS EUDEMON</t>
  </si>
  <si>
    <t>FOL-13-10-25-2</t>
  </si>
  <si>
    <t xml:space="preserve">SEMIREMOLQUE TIPO: PLATAFORMA 45 FT 3 EJES, CON SUSPENSIÓN FLEET MASTER, EJES FLEET MASTER, 2 PAR DE PATIN AMPRO, PISO LAMINADO CON BASE DE PLÁSTICO, CON RIEL, 11 MATRACA CORREDIZA, SIN GANCHO, CONCHA LAMINADA 1.50 M, SIN REDILAS, 2 SISTEMA RETRÁCTIL, 6 RINES DE ACERO, 6 RINES DE ALUMINIO, 12 LLANTAS EUDEMON,  1 PORTALLANTAS EXTRA, 1 LODERA DE CENTRO,  </t>
  </si>
  <si>
    <t>FOL-16-10-25-2</t>
  </si>
  <si>
    <t xml:space="preserve">SEMIREMOLQUE TIPO: PLATAFORMA 42 FT 3 EJES, CON SUSPENSIÓN AMPRO, EJES AMPRO, 1 PAR DE PATIN AMPRO, PISO DE MADERA DE ENCINO, CON RIEL, 12 MATRACA CORREDIZA, SIN GANCHO, CONCHA LAMINADA A 1.20 M, SIN REDILAS, 1 SISTEMA RETRÁCTIL, 12 RINES DE ACERO,  SIN RINES, 12 LLANTAS CHINAS,  1 POLINERA ATRAVESADA, 1 LODERA DE CENTRO,  </t>
  </si>
  <si>
    <t xml:space="preserve">SEMIREMOLQUE TIPO: PLATAFORMA 40 FT 2 EJES, CON SUSPENSIÓN HENDRICKSON, EJES FLEET MASTER, 2 PAR DE PATÍN HJ, PISO DE PLÁSTICO CAFÉ, CON RIEL, 10 MATRACA CORREDIZA, GANCHO HOLLAND 8/10 BARRENOS, CONCHA LAMINADA A 1.20 M, SIN REDILAS, 1 SISTEMA RETRÁCTIL,  SIN RINES,  SIN RINES,  SIN LLANTAS,  1 CANASTILLA, 1 LODERA DE CENTRO,  </t>
  </si>
  <si>
    <t>FOL-17-10-25-2</t>
  </si>
  <si>
    <t xml:space="preserve">SEMIREMOLQUE TIPO: PLATAFORMA 40 FT 2 EJES, CON SUSPENSIÓN HENDRICKSON, EJES FLEET MASTER, 2 PAR DE PATÍN HJ, PISO DE PLÁSTICO CAFÉ, CON RIEL, 10 MATRACA CORREDIZA, GANCHO HOLLAND 8/10 BARRENOS, CONCHA LAMINADA A 1.20 M, SIN REDILAS, 1 SISTEMA RETRÁCTIL,  SIN RINES,  SIN RINES,  SIN LLANTAS,  1 CANASTILLA, 1 LODERA DE CENTRO, 1 CAJA DE HRRTAS GRANDE 1.10 CM, </t>
  </si>
  <si>
    <t xml:space="preserve">SEMIREMOLQUE TIPO: PLATAFORMA 40 FT 2 EJES, CON SUSPENSIÓN HENDRICKSON, EJES FLEET MASTER, 2 PAR DE PATÍN HJ, PISO DE PLÁSTICO CAFÉ, CON RIEL, 10 MATRACA CORREDIZA, GANCHO HOLLAND 8/10 BARRENOS, CONCHA LAMINADA A 1.20 M, SIN REDILAS, 1 SISTEMA RETRÁCTIL,  SIN RINES,  SIN RINES,  SIN LLANTAS,  1 CANASTILLA, 1 LODERA DE CENTRO, 1 CAJA DE HRRTAS CHICA, </t>
  </si>
  <si>
    <t>SEMIREMOLQUE TIPO: PLATAFORMA 40 FT 2 EJES, CON SUSPENSIÓN HENDRICKSON, EJES FLEET MASTER, 2 PAR DE PATÍN HJ, PISO DE PLÁSTICO CAFÉ, CON RIEL, 10 MATRACA CORREDIZA, GANCHO HOLLAND 8/10 BARRENOS, CONCHA LAMINADA A 1.20 M, SIN REDILAS, 1 SISTEMA RETRÁCTIL,  SIN RINES,  SIN RINES,  SIN LLANTAS,  1 CANASTILLA, 1 LODERA DE CENTRO, 1 CAJA DE HRRTAS GRANDE 1.10 CM, CAJA DE HRRTAS CHICA</t>
  </si>
  <si>
    <t>CAJA AUXILIARES</t>
  </si>
  <si>
    <t xml:space="preserve">CONCHA A 2.35 M </t>
  </si>
  <si>
    <t xml:space="preserve">SEMIREMOLQUE TIPO: PLATAFORMA 42 FT 3 EJES, CON SUSPENSIÓN FLEET MASTER, EJES FLEET MASTER, 2 PAR DE PATIN AMPRO, PISO DE PLÁSTICO CAFÉ, CON RIEL, 12 MATRACA CORREDIZA, SIN GANCHO, CONCHA LAMINADA A 1.20 M, SIN REDILAS, 2 SISTEMA RETRÁCTIL,  SIN RINES, 12 RINES DE ACERO,  SIN LLANTAS,  16 PLAFONES DE CARRITO ROJOS P/ESTRIBO, 20 PLAFONES DE CARRITO AMBAR LATERALES, 1 CAJA AUXILIARES, </t>
  </si>
  <si>
    <t xml:space="preserve">SEMIREMOLQUE TIPO: PLATAFORMA 42 FT 3 EJES, CON SUSPENSIÓN FLEET MASTER, EJES FLEET MASTER, 2 PAR DE PATIN AMPRO, PISO DE PLÁSTICO CAFÉ, CON RIEL, 12 MATRACA CORREDIZA, SIN GANCHO, CONCHA LAMINADA A 1.20 M, SIN REDILAS, 2 SISTEMA RETRÁCTIL,  SIN RINES, 12 RINES DE ACERO, 12 LLANTAS CHINAS,  16 PLAFONES DE CARRITO ROJOS P/ESTRIBO, 20 PLAFONES DE CARRITO AMBAR LATERALES, 1 CAJA AUXILIARES, </t>
  </si>
  <si>
    <t xml:space="preserve">SEMIREMOLQUE TIPO: PLATAFORMA 42 FT 3 EJES, CON SUSPENSIÓN FLEET MASTER, EJES FLEET MASTER, 2 PAR DE PATIN AMPRO, PISO DE PLÁSTICO CAFÉ, CON RIEL, 12 MATRACA CORREDIZA, SIN GANCHO, CONCHA LAMINADA A 1.20 M, SIN REDILAS, 2 SISTEMA RETRÁCTIL,  SIN RINES, 12 RINES DE ACERO, 12 LLANTAS AMULET,  16 PLAFONES DE CARRITO ROJOS P/ESTRIBO, 20 PLAFONES DE CARRITO AMBAR LATERALES, 1 CAJA AUXILIARES, </t>
  </si>
  <si>
    <t xml:space="preserve">SEMIREMOLQUE TIPO: PLATAFORMA 42 FT 3 EJES, CON SUSPENSIÓN FLEET MASTER, EJES FLEET MASTER, 2 PAR DE PATIN AMPRO, PISO DE PLÁSTICO CAFÉ, CON RIEL, 12 MATRACA CORREDIZA, SIN GANCHO, CONCHA A 2.35 M , SIN REDILAS, 2 SISTEMA RETRÁCTIL,  SIN RINES, 12 RINES DE ACERO, 12 LLANTAS CHINAS,  16 PLAFONES DE CARRITO ROJOS P/ESTRIBO, 20 PLAFONES DE CARRITO AMBAR LATERALES, 1 CAJA AUXILIARES, </t>
  </si>
  <si>
    <t xml:space="preserve">A QUIEN CORRESPONDA </t>
  </si>
  <si>
    <t xml:space="preserve">SEMIREMOLQUE TIPO: PLATAFORMA 42 FT 3 EJES, CON SUSPENSIÓN FLEET MASTER, EJES FLEET MASTER, 2 PAR DE PATIN AMPRO, PISO DE PLÁSTICO CAFÉ, CON RIEL, 12 MATRACA CORREDIZA, SIN GANCHO, CONCHA A 2.35 M , SIN REDILAS, 2 SISTEMA RETRÁCTIL,  SIN RINES, 12 RINES DE ACERO, 12 LLANTAS CHINAS,  16 PLAFONES DE CARRITO ROJOS P/ESTRIBO, 20 PLAFONES DE CARRITO AMBAR LATERALES, 2 CAJA AUXILIARES, </t>
  </si>
  <si>
    <t xml:space="preserve">SEMIREMOLQUE TIPO: PLATAFORMA 42 FT 3 EJES, CON SUSPENSIÓN FLEET MASTER, EJES FLEET MASTER, 2 PAR DE PATIN AMPRO, PISO DE PLÁSTICO CAFÉ, CON RIEL, 12 MATRACA CORREDIZA, SIN GANCHO, CONCHA LAMINADA A 1.20 M, SIN REDILAS, 2 SISTEMA RETRÁCTIL,  SIN RINES, 12 RINES DE ACERO, 12 LLANTAS CHINAS,  16 PLAFONES DE CARRITO ROJOS P/ESTRIBO, 20 PLAFONES DE CARRITO AMBAR LATERALES, 2 CAJA AUXILIARES, </t>
  </si>
  <si>
    <t xml:space="preserve">SEMIREMOLQUE TIPO: PLATAFORMA 42 FT 3 EJES, CON SUSPENSIÓN FLEET MASTER, EJES FLEET MASTER, 2 PAR DE PATIN AMPRO, PISO DE PLÁSTICO CAFÉ, CON RIEL, 12 MATRACA CORREDIZA, SIN GANCHO, CONCHA LAMINADA A 1.20 M, SIN REDILAS, 2 SISTEMA RETRÁCTIL,  SIN RINES, 12 RINES DE ACERO, 12 LLANTAS AMULET,  16 PLAFONES DE CARRITO ROJOS P/ESTRIBO, 20 PLAFONES DE CARRITO AMBAR LATERALES, 2 CAJA AUXILIARES, </t>
  </si>
  <si>
    <t xml:space="preserve">SEMIREMOLQUE TIPO: PLATAFORMA 42 FT 3 EJES, CON SUSPENSIÓN FLEET MASTER, EJES FLEET MASTER, 2 PAR DE PATIN AMPRO, PISO DE PLÁSTICO CAFÉ, CON RIEL, 12 MATRACA CORREDIZA, SIN GANCHO, CONCHA LAMINADA A 1.20 M, SIN REDILAS, 2 SISTEMA RETRÁCTIL,  SIN RINES,  SIN RINES,  SIN LLANTAS,  16 PLAFONES DE CARRITO ROJOS P/ESTRIBO, 20 PLAFONES DE CARRITO AMBAR LATERALES, 2 CAJA AUXILIARES, </t>
  </si>
  <si>
    <t xml:space="preserve">SEMIREMOLQUE TIPO: PLATAFORMA 42 FT 3 EJES, CON SUSPENSIÓN FLEET MASTER, EJES FLEET MASTER, 2 PAR DE PATIN AMPRO, PISO DE PLÁSTICO CAFÉ, CON RIEL, 12 MATRACA CORREDIZA, SIN GANCHO, CONCHA A 2.35 M , SIN REDILAS, 2 SISTEMA RETRÁCTIL,  SIN RINES,  SIN RINES,  SIN LLANTAS,  16 PLAFONES DE CARRITO ROJOS P/ESTRIBO, 20 PLAFONES DE CARRITO AMBAR LATERALES, 2 CAJA AUXILIARES, </t>
  </si>
  <si>
    <t>FOL-23-10-25-2</t>
  </si>
  <si>
    <t xml:space="preserve">SEMIREMOLQUE TIPO: PLATAFORMA 42 FT 3 EJES, CON SUSPENSIÓN FLEET MASTER, EJES FLEET MASTER, 2 PAR DE PATÍN HJ, PISO DE PLÁSTICO CAFÉ, CON RIEL, 12 MATRACA CORREDIZA, SIN GANCHO, CONCHA LAMINADA A 1.20 M, SIN REDILAS, 2 SISTEMA RETRÁCTIL, 12 RINES DE ACERO,  SIN RINES, 12 LLANTAS CHINAS,  0  ,   </t>
  </si>
  <si>
    <t xml:space="preserve">SEMIREMOLQUE TIPO: PLATAFORMA 42 FT 3 EJES, CON SUSPENSIÓN FLEET MASTER, EJES FLEET MASTER, 2 PAR DE PATÍN HJ, PISO DE PLÁSTICO CAFÉ, CON RIEL, 12 MATRACA CORREDIZA, SIN GANCHO, CONCHA LAMINADA A 1.20 M, SIN REDILAS, 2 SISTEMA RETRÁCTIL,  SIN RINES,  SIN RINES,  SIN LLANTAS,  0  ,   </t>
  </si>
  <si>
    <t>FOL-28-10-25-2</t>
  </si>
  <si>
    <t xml:space="preserve">SEMIREMOLQUE TIPO: PLATAFORMA 42 FT 3 EJES, CON SUSPENSIÓN FLEET MASTER, EJES FLEET MASTER, 2 PAR DE PATÍN HJ, PISO DE PLÁSTICO CAFÉ, CON RIEL, 12 MATRACA CORREDIZA, SIN GANCHO, CONCHA LAMINADA A 1.20 M, SIN REDILAS, 2 SISTEMA RETRÁCTIL,  SIN RINES,  SIN RINES,  SIN LLANTAS,  2 BICiCLETERA,   </t>
  </si>
  <si>
    <t xml:space="preserve">SEMIREMOLQUE TIPO: PLATAFORMA 42 FT 3 EJES, CON SUSPENSIÓN FLEET MASTER, EJES FLEET MASTER, 2 PAR DE PATÍN HJ, PISO DE PLÁSTICO CAFÉ, CON RIEL, 12 MATRACA CORREDIZA, SIN GANCHO, CONCHA LAMINADA A 1.20 M, SIN REDILAS, 2 SISTEMA RETRÁCTIL, 8 RINES DE ACERO,  SIN RINES, 8 LLANTAS CHINAS,  0  ,   </t>
  </si>
  <si>
    <t>FOL-14-11-25-2</t>
  </si>
  <si>
    <t xml:space="preserve">SEMIREMOLQUE TIPO: PLATAFORMA 40 FT 2 EJES, CON SUSPENSIÓN ALTA HENDRICKSON, EJES FLEET MASTER, 2 PAR DE PATÍN HOLLAND, PISO DE PLÁSTICO CAFÉ, CON RIEL, 10 MATRACA CORREDIZA, GANCHO HOLLAND 8/10 BARRENOS, CONCHA LAMINADA A 1.20 M, SIN REDILAS,    ,  SIN RINES,  SIN RINES,  SIN LLANTAS,  20 PLAFONES DE CARRITO AMBAR LATERALES, 16 PLAFONES DE CARRITO ROJOS P/ESTRIBO,  </t>
  </si>
  <si>
    <t>PD-14-11-25-0</t>
  </si>
  <si>
    <t xml:space="preserve">SEMIREMOLQUE TIPO: PLATAFORMA 40 FT 2 EJES, CON SUSPENSIÓN ALTA HENDRICKSON, EJES FLEET MASTER, 2 PAR DE PATÍN HOLLAND, PISO DE PLÁSTICO CAFÉ, CON RIEL, 10 MATRACA CORREDIZA, GANCHO HOLLAND 8/10 BARRENOS, CONCHA LAMINADA A 1.20 M, SIN REDILAS,   SIN SISTEMA RETRÁCTIL,  SIN RINES,  SIN RINES,  SIN LLANTAS,  20 PLAFONES DE CARRITO AMBAR LATERALES, 16 PLAFONES DE CARRITO ROJOS P/ESTRIBO,  </t>
  </si>
  <si>
    <t>FOL-17-11-25-2</t>
  </si>
  <si>
    <t xml:space="preserve">SEMIREMOLQUE TIPO: PLATAFORMA 40 FT 2 EJES, CON SUSPENSIÓN ALTA HENDRICKSON, EJES FLEET MASTER, 2 PAR DE PATÍN HOLLAND, PISO DE PLÁSTICO CAFÉ, CON RIEL, 10 MATRACA CORREDIZA, GANCHO HOLLAND 8/10 BARRENOS, CONCHA LAMINADA A 1.20 M, SIN REDILAS,   SIN SISTEMA RETRÁCTIL, 2 RINES DE ALUMINIO, 2 RINES DE ACERO, 1 LLANTAS CHINAS,  20 PLAFONES DE CARRITO AMBAR LATERALES, 16 PLAFONES DE CARRITO ROJOS P/ESTRIBO,  </t>
  </si>
  <si>
    <t>FOL-18-11-25-2</t>
  </si>
  <si>
    <t xml:space="preserve">SEMIREMOLQUE TIPO: PLATAFORMA 40 FT 2 EJES, CON SUSPENSIÓN ALTA HENDRICKSON, EJES FLEET MASTER, 2 PAR DE PATÍN HOLLAND, PISO DE PLÁSTICO CAFÉ, CON RIEL, 10 MATRACA CORREDIZA, GANCHO HOLLAND 8/10 BARRENOS, CONCHA LAMINADA A 1.20 M, SIN REDILAS,   SIN SISTEMA RETRÁCTIL, 2 RINES DE ALUMINIO, 2 RINES DE ACERO, 1 LLANTAS AMULET,  20 PLAFONES DE CARRITO AMBAR LATERALES, 16 PLAFONES DE CARRITO ROJOS P/ESTRIBO,  </t>
  </si>
  <si>
    <t>FOL-19-11-25-2</t>
  </si>
  <si>
    <t>SEMIREMOLQUE TIPO: PLATAFORMA 40 FT 2 EJES, CON SUSPENSIÓN FLEET MASTER, EJES FLEET MASTER, 2 PAR DE PATÍN HJ, PISO LAMINADO CON BASE DE MADERA, CON RIEL, 10 MATRACA CORREDIZA, GANCHO HOLLAND 8/10 BARRENOS, BURRO LAMINADO A 1.20 M, SIN REDILAS, 1 SISTEMA RETRÁCTIL, 4 RINES DE ALUMINIO, 4 RINES DE ACERO, 8 LLANTAS AMULET,  20 PLAFONES DE CARRITO AMBAR LATERALES, 16 PLAFONES DE CARRITO ROJOS P/ESTRIBO, 1 MUTI MODAL, CANDADOS</t>
  </si>
  <si>
    <t>SEMIREMOLQUE TIPO: PLATAFORMA 40 FT 2 EJES, CON SUSPENSIÓN HENDRICKSON, EJES FLEET MASTER, 2 PAR DE PATÍN HOLLAND, PISO LAMINADO CON BASE DE MADERA, CON RIEL, 10 MATRACA CORREDIZA, GANCHO HOLLAND 8/10 BARRENOS, BURRO LAMINADO A 1.20 M, SIN REDILAS, 1 SISTEMA RETRÁCTIL, 4 RINES DE ALUMINIO, 4 RINES DE ACERO, 8 LLANTAS AMULET,  20 PLAFONES DE CARRITO AMBAR LATERALES, 16 PLAFONES DE CARRITO ROJOS P/ESTRIBO, 1 MUTI MODAL, CANDADOS</t>
  </si>
  <si>
    <t>PD-19-11-25-0</t>
  </si>
  <si>
    <t>PRESUPUESTO DE DOLLY CON 2 EJES FLEET MASTER,  SUSPENSIÓN FLEET MASTER, 1 SISTEMA RETRÁCTIL, 4 RINES DE ACERO, 4 RINES DE ALUMINIO, 8 LLANTAS AMULET</t>
  </si>
  <si>
    <t>FOL-20-11-25-2</t>
  </si>
  <si>
    <t xml:space="preserve">SEMIREMOLQUE TIPO: PLATAFORMA 42 FT 3 EJES, CON SUSPENSIÓN ALTA HENDRICKSON, EJES FLEET MASTER, 2 PAR DE PATÍN HOLLAND, PISO LAMINADO CON BASE DE MADERA, CON RIEL, 10 MATRACA CORREDIZA, SIN GANCHO, BURRO LAMINADO A 1.20 M, SIN REDILAS, 2 SISTEMA RETRÁCTIL, 6 RINES DE ALUMINIO, 6 RINES DE ACERO, 12 LLANTAS AMULET,  20 PLAFONES DE CARRITO AMBAR LATERALES,   </t>
  </si>
  <si>
    <t>FOL-21-11-25-2</t>
  </si>
  <si>
    <t xml:space="preserve">SEMIREMOLQUE TIPO: PLATAFORMA 40 FT 2 EJES, CON SUSPENSIÓN FLEET MASTER, EJES FLEET MASTER, 2 PAR DE PATÍN HJ, PISO LAMINADO CON BASE DE MADERA, CON RIEL, 10 MATRACA CORREDIZA, GANCHO HOLLAND 8/10 BARRENOS, CONCHA LAMINADA A 1.20 M, SIN REDILAS, 1 SISTEMA RETRÁCTIL, 8 RINES DE ACERO,   8 LLANTAS CHINAS,  20 PLAFONES DE CARRITO AMBAR LATERALES, 16 PLAFONES DE CARRITO ROJOS P/ESTRIBO, 2 BICiCLETERA, </t>
  </si>
  <si>
    <t xml:space="preserve">SEMIREMOLQUE TIPO: PLATAFORMA 40 FT 2 EJES, CON SUSPENSIÓN FLEET MASTER, EJES FLEET MASTER, 2 PAR DE PATÍN HJ, PISO DE PLÁSTICO CAFÉ, CON RIEL, 10 MATRACA CORREDIZA, GANCHO HOLLAND 8/10 BARRENOS, CONCHA LAMINADA A 1.20 M, SIN REDILAS, 1 SISTEMA RETRÁCTIL, 8 RINES DE ACERO,   8 LLANTAS CHINAS,  20 PLAFONES DE CARRITO AMBAR LATERALES, 16 PLAFONES DE CARRITO ROJOS P/ESTRIBO, 2 BICiCLETERA, </t>
  </si>
  <si>
    <t xml:space="preserve">SEMIREMOLQUE TIPO: PLATAFORMA 40 FT 2 EJES, CON SUSPENSIÓN FLEET MASTER, EJES FLEET MASTER, 2 PAR DE PATÍN HJ, PISO LAMINADO CON BASE DE PLÁSTICO, CON RIEL, 10 MATRACA CORREDIZA, GANCHO HOLLAND 8/10 BARRENOS, CONCHA LAMINADA A 1.20 M, SIN REDILAS, 1 SISTEMA RETRÁCTIL, 8 RINES DE ACERO,   8 LLANTAS CHINAS,  20 PLAFONES DE CARRITO AMBAR LATERALES, 16 PLAFONES DE CARRITO ROJOS P/ESTRIBO, 2 BICiCLETERA, </t>
  </si>
  <si>
    <t>FOL-26-11-25-2</t>
  </si>
  <si>
    <t xml:space="preserve">SEMIREMOLQUE TIPO: PLATAFORMA 42 FT 3 EJES, CON SUSPENSIÓN FLEET MASTER, EJES FLEET MASTER, 2 PAR DE PATÍN HJ, PISO DE PLÁSTICO CAFÉ, CON RIEL, 10 MATRACA CORREDIZA, SIN GANCHO, CONCHA LAMINADA A 1.20 M, SIN REDILAS, 2 SISTEMA RETRÁCTIL,  SIN RINES,    SIN LLANTAS,  0  ,   </t>
  </si>
  <si>
    <t>FOL-02-12-25-2</t>
  </si>
  <si>
    <t xml:space="preserve">SEMIREMOLQUE TIPO: PLATAFORMA 40 FT 2 EJES, CON SUSPENSIÓN FLEET MASTER, EJES FLEET MASTER, 2 PAR DE PATÍN HJ, PISO DE PLÁSTICO CAFÉ, CON RIEL, 10 MATRACA CORREDIZA, GANCHO HOLLAND 8/10 BARRENOS, SIN FRENTE, SIN REDILAS, 1 SISTEMA RETRÁCTIL, 8 RINES DE ACERO,   8 LLANTAS FIRESTONE,  0  ,   </t>
  </si>
  <si>
    <t>FOL-03-12-25-2</t>
  </si>
  <si>
    <t xml:space="preserve">SEMIREMOLQUE TIPO: PLATAFORMA 40 FT 2 EJES, CON SUSPENSIÓN FLEET MASTER, EJES FLEET MASTER, 2 PAR DE PATÍN HJ, PISO DE PLÁSTICO CAFÉ, CON RIEL, 10 MATRACA CORREDIZA, GANCHO HOLLAND 8/10 BARRENOS, SIN FRENTE, REDILAS DE 80 CM, 1 SISTEMA RETRÁCTIL,  SIN RINES,    SIN LLANTAS,  0  ,   </t>
  </si>
  <si>
    <t xml:space="preserve">SEMIREMOLQUE TIPO: PLATAFORMA 40 FT 2 EJES, CON SUSPENSIÓN FLEET MASTER, EJES FLEET MASTER, 2 PAR DE PATÍN HJ, PISO DE PLÁSTICO CAFÉ, CON RIEL, 10 MATRACA CORREDIZA, GANCHO HOLLAND 8/10 BARRENOS, CONCHA LAMINADA A 1.20 M, REDILAS DE 80 CM, 1 SISTEMA RETRÁCTIL,  SIN RINES,    SIN LLANTAS,  0  ,   </t>
  </si>
  <si>
    <t>FOL-22-12-25-2</t>
  </si>
  <si>
    <t xml:space="preserve">SEMIREMOLQUE TIPO: PLATAFORMA 42 FT 3 EJES, CON SUSPENSIÓN ALTA HENDRICKSON, EJES FLEET MASTER, 2 PAR DE PATÍN HOLLAND, PISO DE PLÁSTICO CAFÉ, CON RIEL, 10 MATRACA CORREDIZA, GANCHO HOLLAND 8/10 BARRENOS, CONCHA LAMINADA A 1.20 M, SIN REDILAS, 2 SISTEMA RETRÁCTIL, 12 RINES DE ACERO,   12 LLANTAS EUDEMON,  1 LODERA DE CENTRO, 16 PLAFONES DE CARRITO ROJOS P/ESTRIBO, 20 PLAFONES DE CARRITO AMBAR LATERALES, </t>
  </si>
  <si>
    <t xml:space="preserve">SEMIREMOLQUE TIPO: PLATAFORMA 42 FT 3 EJES, CON SUSPENSIÓN ALTA HENDRICKSON, EJES FLEET MASTER, 2 PAR DE PATÍN HOLLAND, PISO LAMINADO CON BASE DE PLÁSTICO, CON RIEL, 10 MATRACA CORREDIZA, GANCHO HOLLAND 8/10 BARRENOS, CONCHA LAMINADA A 1.20 M, SIN REDILAS, 2 SISTEMA RETRÁCTIL, 12 RINES DE ACERO,   12 LLANTAS EUDEMON,  1 LODERA DE CENTRO, 16 PLAFONES DE CARRITO ROJOS P/ESTRIBO, 20 PLAFONES DE CARRITO AMBAR LATERALES, </t>
  </si>
  <si>
    <t>SEMIREMOLQUE TIPO: PLATAFORMA 42 FT 3 EJES, CON SUSPENSIÓN HENDRICKSON, EJES FLEET MASTER, 2 PAR DE PATÍN HOLLAND, PISO LAMINADO CON BASE DE PLÁSTICO, CON RIEL, 10 MATRACA CORREDIZA, GANCHO HOLLAND 8/10 BARRENOS, CONCHA LAMINADA A 1.20 M, SIN REDILAS, 2 SISTEMA RETRÁCTIL, 12 RINES DE ACERO,   12 LLANTAS EUDEMON,  1 LODERA DE CENTRO, 16 PLAFONES DE CARRITO ROJOS P/ESTRIBO, 20 PLAFONES DE CARRITO AMBAR LATERALES, BICiCLETERA</t>
  </si>
  <si>
    <t>SEMIREMOLQUE TIPO: PLATAFORMA 42 FT 3 EJES, CON SUSPENSIÓN HENDRICKSON, EJES FLEET MASTER, 2 PAR DE PATÍN HOLLAND, PISO LAMINADO CON BASE DE PLÁSTICO, CON RIEL, 10 MATRACA CORREDIZA, SIN GANCHO, CONCHA LAMINADA A 1.20 M, SIN REDILAS, 2 SISTEMA RETRÁCTIL, 12 RINES DE ACERO,   12 LLANTAS EUDEMON,  1 LODERA DE CENTRO, 16 PLAFONES DE CARRITO ROJOS P/ESTRIBO, 20 PLAFONES DE CARRITO AMBAR LATERALES, BICiCLETERA</t>
  </si>
  <si>
    <t>SEMIREMOLQUE TIPO: PLATAFORMA 42 FT 3 EJES, CON SUSPENSIÓN ALTA HENDRICKSON, EJES FLEET MASTER, 2 PAR DE PATÍN HOLLAND, PISO LAMINADO CON BASE DE PLÁSTICO, CON RIEL, 10 MATRACA CORREDIZA, GANCHO HOLLAND 8/10 BARRENOS, CONCHA LAMINADA A 1.20 M, SIN REDILAS, 2 SISTEMA RETRÁCTIL, 12 RINES DE ACERO,   12 LLANTAS EUDEMON,  1 LODERA DE CENTRO, 16 PLAFONES DE CARRITO ROJOS P/ESTRIBO, 20 PLAFONES DE CARRITO AMBAR LATERALES, BICiCLETERA</t>
  </si>
  <si>
    <t>SEMIREMOLQUE TIPO: PLATAFORMA 42 FT 3 EJES, CON SUSPENSIÓN ALTA HENDRICKSON, EJES FLEET MASTER, 2 PAR DE PATÍN HOLLAND, PISO DE PLÁSTICO CAFÉ, CON RIEL, 10 MATRACA CORREDIZA, GANCHO HOLLAND 8/10 BARRENOS, CONCHA LAMINADA A 1.20 M, SIN REDILAS, 2 SISTEMA RETRÁCTIL, 12 RINES DE ACERO,   12 LLANTAS EUDEMON,  1 LODERA DE CENTRO, 16 PLAFONES DE CARRITO ROJOS P/ESTRIBO, 20 PLAFONES DE CARRITO AMBAR LATERALES, BICiCLETERA</t>
  </si>
  <si>
    <t>SEMIREMOLQUE TIPO: PLATAFORMA 42 FT 3 EJES, CON SUSPENSIÓN HENDRICKSON, EJES FLEET MASTER, 2 PAR DE PATÍN HOLLAND, PISO DE PLÁSTICO CAFÉ, CON RIEL, 10 MATRACA CORREDIZA, GANCHO HOLLAND 8/10 BARRENOS, CONCHA LAMINADA A 1.20 M, SIN REDILAS, 2 SISTEMA RETRÁCTIL, 12 RINES DE ACERO,   12 LLANTAS EUDEMON,  1 LODERA DE CENTRO, 16 PLAFONES DE CARRITO ROJOS P/ESTRIBO, 20 PLAFONES DE CARRITO AMBAR LATERALES, BICiCLETERA</t>
  </si>
  <si>
    <t>FOL-24-12-25-2</t>
  </si>
  <si>
    <t>SEMIREMOLQUE TIPO: PLATAFORMA 42 FT 3 EJES, CON SUSPENSIÓN HENDRICKSON, EJES FLEET MASTER, 2 PAR DE PATÍN HOLLAND, PISO DE PLÁSTICO CAFÉ, CON RIEL, 10 MATRACA CORREDIZA, GANCHO HOLLAND 8/10 BARRENOS, CONCHA LAMINADA A 1.20 M, REDILAS DE 1M, 2 SISTEMA RETRÁCTIL, 12 RINES DE ACERO,   12 LLANTAS EUDEMON,  1 LODERA DE CENTRO, 16 PLAFONES DE CARRITO ROJOS P/ESTRIBO, 20 PLAFONES DE CARRITO AMBAR LATERALES, BICiCLETERA</t>
  </si>
  <si>
    <t>FOL-02-01-26-2</t>
  </si>
  <si>
    <t xml:space="preserve">SEMIREMOLQUE TIPO: PLATAFORMA 40 FT 3 EJES, CON SUSPENSIÓN FLEET MASTER, EJES FLEET MASTER, 2 PAR DE PATÍN HJ, PISO DE PLÁSTICO CAFÉ, CON RIEL, 10 MATRACA CORREDIZA, SIN GANCHO, SIN FRENTE, SIN REDILAS, 2 SISTEMA RETRÁCTIL, 12 RINES DE ACERO,   12 LLANTAS CHINAS,  1 MUTI MODAL, 12 CANDADOS, 1 LODERA DE CENTRO, </t>
  </si>
  <si>
    <t xml:space="preserve">SEMIREMOLQUE TIPO: PLATAFORMA 40 FT 3 EJES, CON SUSPENSIÓN FLEET MASTER, EJES FLEET MASTER, 2 PAR DE PATÍN HJ, PISO DE PLÁSTICO CAFÉ, CON RIEL, 10 MATRACA CORREDIZA, SIN GANCHO, SIN FRENTE, SIN REDILAS, 2 SISTEMA RETRÁCTIL,  SIN RINES,    SIN LLANTAS,  1 MUTI MODAL, 12 CANDADOS, 1 LODERA DE CENTRO, </t>
  </si>
  <si>
    <t>FOL-05-01-26-2</t>
  </si>
  <si>
    <t xml:space="preserve">SEMIREMOLQUE TIPO: PLATAFORMA 40 FT 3 EJES, CON SUSPENSIÓN FLEET MASTER, EJES FLEET MASTER, 2 PAR DE PATÍN HJ, PISO DE PLÁSTICO CAFÉ, CON RIEL, 10 MATRACA CORREDIZA, SIN GANCHO, CONCHA LAMINADA A 1.20 M, SIN REDILAS, 1 SISTEMA RETRÁCTIL, 12 RINES DE ACERO,   12 LLANTAS CHINAS,  0  ,   </t>
  </si>
  <si>
    <t xml:space="preserve">SEMIREMOLQUE TIPO: PLATAFORMA 42 FT 3 EJES, CON SUSPENSIÓN ALTA HENDRICKSON, EJES AMPRO, 2 PAR DE PATÍN HOLLAND, PISO DE PLASTICO NEGRO, CON RIEL, 14 MATRACA CORREDIZA, SIN GANCHO, CONCHA LAMINADA A 1.20 M, SIN REDILAS, 2 SISTEMA RETRÁCTIL, 12 RINES DE ALUMINIO,   12 LLANTAS FIRESTONE,  1 LODERA DE CENTRO, 2 BICiCLETERA, 11 PLAFONES DE CARRITO AMBAR LATERALES, </t>
  </si>
  <si>
    <t xml:space="preserve">SEMIREMOLQUE TIPO: PLATAFORMA 42 FT 3 EJES, CON SUSPENSIÓN ALTA HENDRICKSON, EJES AMPRO, 2 PAR DE PATÍN HOLLAND, PISO DE PLASTICO NEGRO, CON RIEL, 14 MATRACA CORREDIZA, SIN GANCHO, CONCHA LAMINADA A 1.20 M, SIN REDILAS, 2 SISTEMA RETRÁCTIL,  SIN RINES,    SIN LLANTAS,  1 LODERA DE CENTRO, 2 BICiCLETERA, 11 PLAFONES DE CARRITO AMBAR LATERALES, </t>
  </si>
  <si>
    <t>FOL-06-01-26-2</t>
  </si>
  <si>
    <t xml:space="preserve">SEMIREMOLQUE TIPO: PLATAFORMA 42 FT 3 EJES, CON SUSPENSIÓN ALTA HENDRICKSON, EJES AMPRO, 2 PAR DE PATÍN HOLLAND, PISO DE PLASTICO NEGRO, CON RIEL, 14 MATRACA CORREDIZA, SIN GANCHO, CONCHA LAMINADA A 1.20 M, SIN REDILAS, 2 SISTEMA RETRÁCTIL, 8 RINES DE ACERO,   8 LLANTAS CHINAS,  1 LODERA DE CENTRO, 2 BICiCLETERA, 11 PLAFONES DE CARRITO AMBAR LATERALES, </t>
  </si>
  <si>
    <t xml:space="preserve">SEMIREMOLQUE TIPO: PLATAFORMA 40 FT 2 EJES, CON SUSPENSIÓN FLEET MASTER, EJES FLEET MASTER, 2 PAR DE PATÍN HJ, PISO DE PLÁSTICO CAFÉ, CON RIEL, 10 MATRACA CORREDIZA, GANCHO HOLLAND 8/10 BARRENOS, CONCHA LAMINADA A 1.20 M, SIN REDILAS, 1 SISTEMA RETRÁCTIL,  SIN RINES,    SIN LLANTAS,  20 PLAFONES DE CARRITO AMBAR LATERALES,  1 </t>
  </si>
  <si>
    <t xml:space="preserve">SEMIREMOLQUE TIPO: PLATAFORMA 42 FT 3 EJES, CON SUSPENSIÓN HENDRICKSON, EJES FLEET MASTER, 2 PAR DE PATÍN HJ, PISO LAMINADO CON BASE DE PLÁSTICO, CON RIEL, 12 MATRACA CORREDIZA, SIN GANCHO, CONCHA LAMINADA A 1.20 M, SIN REDILAS, 2 SISTEMA RETRÁCTIL,  RINES DE ACERO,    SIN LLANTAS,  20 PLAFONES DE CARRITO AMBAR LATERALES, 1 PORTALLANTAS EXTRA, 1 </t>
  </si>
  <si>
    <t>FOL-13-01-26-2</t>
  </si>
  <si>
    <t>SEMIREMOLQUE TIPO: PLATAFORMA 40 FT 2 EJES, CON SUSPENSIÓN ALTA HENDRICKSON, EJES FLEET MASTER, 2 PAR DE PATÍN HOLLAND, PISO DE PLÁSTICO CAFÉ, CON RIEL, 10 MATRACA CORREDIZA, GANCHO HOLLAND 8/10 BARRENOS, BURRO LAMINADO A 1.20 M, REDILAS DE 80 CM, 1 SISTEMA RETRÁCTIL,  SIN RINES,    SIN LLANTAS,  20 PLAFONES DE CARRITO AMBAR LATERALES, 1 POLINERA  GRANDE, 1 LODERA DE CENTRO, BARRENADO SOBRE CHASIS</t>
  </si>
  <si>
    <t>SEMIREMOLQUE TIPO: PLATAFORMA 40 FT 2 EJES, CON SUSPENSIÓN FLEET MASTER, EJES FLEET MASTER, 2 PAR DE PATÍN HOLLAND, PISO DE PLÁSTICO CAFÉ, CON RIEL, 10 MATRACA CORREDIZA, GANCHO HOLLAND 8/10 BARRENOS, BURRO LAMINADO A 1.20 M, REDILAS DE 80 CM, 1 SISTEMA RETRÁCTIL,  SIN RINES,    SIN LLANTAS,  20 PLAFONES DE CARRITO AMBAR LATERALES, 1 POLINERA  GRANDE, 1 LODERA DE CENTRO, BARRENADO SOBRE CHASIS</t>
  </si>
  <si>
    <t>PD-13-01-26-0</t>
  </si>
  <si>
    <t>PRESUPUESTO DE DOLLY CON 2 EJES FLEET MASTER,  SUSPENSIÓN ALTA HENDRICKSON,  SISTEMA RETRÁCTIL,  SIN RINES,  SIN RINES,  SIN LLANTAS</t>
  </si>
  <si>
    <t xml:space="preserve">SEMIREMOLQUE TIPO: PLATAFORMA 40 FT 2 EJES, CON SUSPENSIÓN FLEET MASTER, EJES FLEET MASTER, 1 PAR DE PATÍN HJ, PISO DE MADERA DE PINO, SIN RIEL,  MATRACA CORREDIZA, GANCHO HOLLAND 8/10 BARRENOS, SIN FRENTE, SIN REDILAS,   SIN SISTEMA RETRÁCTIL,  SIN RINES,    SIN LLANTAS,  0  ,   </t>
  </si>
  <si>
    <t>FOL-14-01-26-2</t>
  </si>
  <si>
    <t>SEMIREMOLQUE TIPO: PLATAFORMA 40 FT 2 EJES, CON SUSPENSIÓN HENDRICKSON, EJES FLEET MASTER, 2 PAR DE PATÍN HOLLAND, PISO DE PLÁSTICO CAFÉ, CON RIEL, 10 MATRACA CORREDIZA, GANCHO HOLLAND 8/10 BARRENOS, BURRO LAMINADO A 1.20 M, REDILAS DE 80 CM, 1 SISTEMA RETRÁCTIL,  SIN RINES,    SIN LLANTAS,  1 LODERA DE CENTRO, 1 POLINERA  GRANDE, 20 PLAFONES DE CARRITO AMBAR LATERALES, BARRENADO SOBRE CHASIS</t>
  </si>
  <si>
    <t>PD-14-01-26-0</t>
  </si>
  <si>
    <t xml:space="preserve">SEMIREMOLQUE TIPO: PLATAFORMA 42 FT 3 EJES, CON SUSPENSIÓN FLEET MASTER, EJES FLEET MASTER, 2 PAR DE PATÍN HJ, PISO DE PLÁSTICO CAFÉ, CON RIEL, 10 MATRACA CORREDIZA, SIN GANCHO, BURRO LAMINADO A 1.20 M, REDILAS DE 70 CM, 2 SISTEMA RETRÁCTIL, 12 RINES DE ACERO,   12 LLANTAS CHINAS,  0  ,   </t>
  </si>
  <si>
    <t xml:space="preserve">SEMIREMOLQUE TIPO: PLATAFORMA 42 FT 3 EJES, CON SUSPENSIÓN HENDRICKSON, EJES FLEET MASTER, 2 PAR DE PATÍN HJ, PISO DE PLÁSTICO CAFÉ, CON RIEL, 10 MATRACA CORREDIZA, SIN GANCHO, BURRO LAMINADO A 1.20 M, REDILAS DE 70 CM, 2 SISTEMA RETRÁCTIL, 12 RINES DE ACERO,   12 LLANTAS CHINAS,  0  ,   </t>
  </si>
  <si>
    <t xml:space="preserve">SEMIREMOLQUE TIPO: PLATAFORMA 40 FT 3 EJES, CON SUSPENSIÓN FLEET MASTER, EJES FLEET MASTER, 2 PAR DE PATÍN HJ, PISO DE PLÁSTICO CAFÉ, CON RIEL, 10 MATRACA CORREDIZA, GANCHO HOLLAND 8/10 BARRENOS, BURRO LAMINADO A 1.20 M, REDILAS DE 80 CM, 2 SISTEMA RETRÁCTIL, 12 RINES DE ACERO,   12 LLANTAS CHINAS,  0  ,   </t>
  </si>
  <si>
    <t xml:space="preserve">SEMIREMOLQUE TIPO: PLATAFORMA 42 FT 3 EJES, CON SUSPENSIÓN FLEET MASTER, EJES FLEET MASTER, 2 PAR DE PATÍN HJ, PISO DE PLÁSTICO CAFÉ, CON RIEL, 10 MATRACA CORREDIZA, SIN GANCHO, BURRO LAMINADO A 1.20 M, REDILAS DE 80 CM, 2 SISTEMA RETRÁCTIL, 12 RINES DE ACERO,   12 LLANTAS CHINAS,  0  ,   </t>
  </si>
  <si>
    <t>FOL-15-01-26-2</t>
  </si>
  <si>
    <t xml:space="preserve">SEMIREMOLQUE TIPO: PLATAFORMA 42 FT 3 EJES, CON SUSPENSIÓN FLEET MASTER, EJES FLEET MASTER, 2 PAR DE PATÍN HJ, PISO DE PLÁSTICO CAFÉ, CON RIEL, 10 MATRACA CORREDIZA, SIN GANCHO, BURRO LAMINADO A 1.20 M, REDILAS DE 80 CM, 2 SISTEMA RETRÁCTIL, 12 RINES DE ACERO,   12 LLANTAS CHINAS,  1 CANASTILLA,   </t>
  </si>
  <si>
    <t>FOL-27-01-26-2</t>
  </si>
  <si>
    <t xml:space="preserve">SEMIREMOLQUE TIPO: PLATAFORMA 40 FT 2 EJES, CON SUSPENSIÓN FLEET MASTER, EJES FLEET MASTER, 2 PAR DE PATÍN HJ, PISO DE PLÁSTICO CAFÉ, CON RIEL, 10 MATRACA CORREDIZA, GANCHO HOLLAND 8/10 BARRENOS, BURRO LAMINADO A 1.20 M, SIN REDILAS, 1 SISTEMA RETRÁCTIL,  SIN RINES,    SIN LLANTAS,  0  ,   </t>
  </si>
  <si>
    <t>FOL-18-02-26-2</t>
  </si>
  <si>
    <t>SEMIREMOLQUE TIPO: PLATAFORMA 42 FT 3 EJES, CON SUSPENSIÓN FLEET MASTER, EJES FLEET MASTER, 2 PAR DE PATÍN HJ, PISO DE PLÁSTICO CAFÉ, CON RIEL, 10 MATRACA CORREDIZA, SIN GANCHO, CONCHA LAMINADA A 1.20 M, SIN REDILAS, 2 SISTEMA RETRÁCTIL, 12 RINES DE ACERO,   12 LLANTAS CHINAS,  1 POLINERA  GRANDE, 2 BICiCLETERA, 16 PLAFONES DE CARRITO ROJOS P/ESTRIBO, PLAFONES DE CARRITO AMBAR LATERALES</t>
  </si>
  <si>
    <t xml:space="preserve">por definir </t>
  </si>
  <si>
    <t>FOL-24-02-26-2</t>
  </si>
  <si>
    <t>SEMIREMOLQUE TIPO: PLATAFORMA 42 FT 3 EJES, CON SUSPENSIÓN FLEET MASTER, EJES FLEET MASTER, 2 PAR DE PATÍN HJ, PISO DE PLÁSTICO CAFÉ, CON RIEL, 10 MATRACA CORREDIZA, SIN GANCHO, CONCHA LAMINADA A 1.20 M, SIN REDILAS, 2 SISTEMA RETRÁCTIL, 12 RINES DE ACERO, 3 RINES DE ALUMINIO, 12 LLANTAS CHINAS,  1 POLINERA  GRANDE, 2 BICiCLETERA, 16 PLAFONES DE CARRITO ROJOS P/ESTRIBO, PLAFONES DE CARRITO AMBAR LATERALES</t>
  </si>
  <si>
    <t xml:space="preserve">SEMIREMOLQUE TIPO: PLATAFORMA 40 FT 2 EJES, CON SUSPENSIÓN FLEET MASTER, EJES FLEET MASTER, 2 PAR DE PATÍN HJ, PISO DE MADERA DE PINO, CON RIEL, 10 MATRACA CORREDIZA, GANCHO HOLLAND 8/10 BARRENOS, CONCHA LAMINADA A 1.20 M, SIN REDILAS, 1 SISTEMA RETRÁCTIL, 8 RINES DE ACERO,   8 LLANTAS CHINAS,  20 PLAFONES DE CARRITO AMBAR LATERALES, 2 BICiCLETERA, 16 PLAFONES DE CARRITO ROJOS P/ESTRIBO, </t>
  </si>
  <si>
    <t>PD-24-02-26-0</t>
  </si>
  <si>
    <t xml:space="preserve">SEMIREMOLQUE TIPO: PLATAFORMA 40 FT 2 EJES, CON SUSPENSIÓN HENDRICKSON, EJES FLEET MASTER, 2 PAR DE PATÍN HJ, PISO DE MADERA DE PINO, CON RIEL, 10 MATRACA CORREDIZA, GANCHO HOLLAND 8/10 BARRENOS, CONCHA LAMINADA A 1.20 M, SIN REDILAS, 1 SISTEMA RETRÁCTIL, 8 RINES DE ACERO,   8 LLANTAS CHINAS,  20 PLAFONES DE CARRITO AMBAR LATERALES, 2 BICiCLETERA, 16 PLAFONES DE CARRITO ROJOS P/ESTRIBO, </t>
  </si>
  <si>
    <t>FOL-26-02-26-2</t>
  </si>
  <si>
    <t xml:space="preserve">SEMIREMOLQUE TIPO: PLATAFORMA 40 FT 2 EJES, CON SUSPENSIÓN FLEET MASTER, EJES FLEET MASTER, 2 PAR DE PATÍN HJ, PISO DE PLÁSTICO CAFÉ, CON RIEL, 15 MATRACA CORREDIZA, GANCHO HOLLAND 8/10 BARRENOS, CONCHA LAMINADA 1.50 M, SIN REDILAS, 1 SISTEMA RETRÁCTIL,  SIN RINES,    SIN LLANTAS,  1 POLINERA ATRAVESADA, 2 BICiCLETERA, 1 PORTALLANTAS EXTRA, </t>
  </si>
  <si>
    <t>PD-26-02-26-0</t>
  </si>
  <si>
    <t>FOL-04-03-26-2</t>
  </si>
  <si>
    <t xml:space="preserve">SEMIREMOLQUE TIPO: PLATAFORMA 42 FT 3 EJES, CON SUSPENSIÓN FLEET MASTER, EJES FLEET MASTER, 2 PAR DE PATIN AMPRO, PISO LAMINADO CON BASE DE PLÁSTICO, CON RIEL, 11 MATRACA CORREDIZA, SIN GANCHO, CONCHA LAMINADA A 1.20 M, SIN REDILAS, 1 SISTEMA RETRÁCTIL, 6 RINES DE ACERO, 6 RINES DE ALUMINIO, 12 LLANTAS CHINAS,  0  ,   </t>
  </si>
  <si>
    <t xml:space="preserve">SEMIREMOLQUE TIPO: PLATAFORMA 42 FT 3 EJES, CON SUSPENSIÓN FLEET MASTER, EJES FLEET MASTER, 2 PAR DE PATIN AMPRO, PISO LAMINADO CON BASE DE PLÁSTICO, CON RIEL, 12 MATRACA CORREDIZA, SIN GANCHO, CONCHA LAMINADA A 1.20 M, SIN REDILAS, 2 SISTEMA RETRÁCTIL, 6 RINES DE ACERO, 6 RINES DE ALUMINIO, 12 LLANTAS CHINAS,  1 CANASTILLA, 1 LODERA DE CENTRO,  </t>
  </si>
  <si>
    <t xml:space="preserve">SEMIREMOLQUE TIPO: PLATAFORMA 42 FT 3 EJES, CON SUSPENSIÓN FLEET MASTER, EJES FLEET MASTER, 2 PAR DE PATIN AMPRO, PISO LAMINADO CON BASE DE PLÁSTICO, CON RIEL, 12 MATRACA CORREDIZA, GANCHO HOLLAND 8/10 BARRENOS, CONCHA LAMINADA A 1.20 M, SIN REDILAS, 2 SISTEMA RETRÁCTIL, 6 RINES DE ACERO, 6 RINES DE ALUMINIO, 12 LLANTAS CHINAS,  1 CANASTILLA, 1 LODERA DE CENTRO,  </t>
  </si>
  <si>
    <t>FOL-12-03-26-2</t>
  </si>
  <si>
    <t xml:space="preserve">SEMIREMOLQUE TIPO: PLATAFORMA 40 FT 2 EJES, CON SUSPENSIÓN FLEET MASTER, EJES FLEET MASTER, 2 PAR DE PATÍN HJ, PISO DE MADERA DE PINO, CON RIEL, 10 MATRACA CORREDIZA, GANCHO HOLLAND 8/10 BARRENOS, CONCHA LAMINADA A 1.20 M, SIN REDILAS,    , 8 RINES DE ACERO,   8 LLANTAS CHINAS,  2 BICiCLETERA,   </t>
  </si>
  <si>
    <t xml:space="preserve">SEMIREMOLQUE TIPO: PLATAFORMA 40 FT 2 EJES, CON SUSPENSIÓN FLEET MASTER, EJES FLEET MASTER, 2 PAR DE PATÍN HJ, PISO DE MADERA DE PINO, CON RIEL, 10 MATRACA CORREDIZA, SIN GANCHO, CONCHA LAMINADA A 1.20 M, SIN REDILAS, 1 SISTEMA RETRÁCTIL, 12 RINES DE ACERO,   12 LLANTAS CHINAS,  2 BICiCLETERA,   </t>
  </si>
  <si>
    <t xml:space="preserve">SEMIREMOLQUE TIPO: PLATAFORMA 40 FT 3 EJES, CON SUSPENSIÓN FLEET MASTER, EJES FLEET MASTER, 2 PAR DE PATÍN HJ, PISO DE MADERA DE PINO, CON RIEL, 10 MATRACA CORREDIZA, SIN GANCHO, CONCHA LAMINADA A 1.20 M, SIN REDILAS, 1 SISTEMA RETRÁCTIL, 12 RINES DE ACERO,   12 LLANTAS CHINAS,  2 BICiCLETERA,   </t>
  </si>
  <si>
    <t>FOL-13-03-26-2</t>
  </si>
  <si>
    <t>SEMIREMOLQUE TIPO: PLATAFORMA 40 FT 2 EJES, CON SUSPENSIÓN FLEET MASTER, EJES FLEET MASTER, 2 PAR DE PATÍN HJ, PISO LAMINADO CON BASE DE PLÁSTICO, CON RIEL, 10 MATRACA CORREDIZA, GANCHO HOLLAND 8/10 BARRENOS, BURRO LAMINADO A 1.20 M, SIN REDILAS, 1 SISTEMA RETRÁCTIL, 8 RINES DE ALUMINIO,   8 LLANTAS CHINAS,  1 BICiCLETERA, 1 CANASTILLA, 20 PLAFONES DE CARRITO AMBAR LATERALES, CAJA AUXILIARES</t>
  </si>
  <si>
    <t>SEMIREMOLQUE TIPO: PLATAFORMA 40 FT 2 EJES, CON SUSPENSIÓN FLEET MASTER, EJES FLEET MASTER, 2 PAR DE PATÍN HJ, PISO LAMINADO CON BASE DE PLÁSTICO, CON RIEL, 10 MATRACA CORREDIZA, GANCHO HOLLAND 8/10 BARRENOS, BURRO LAMINADO A 1.20 M, SIN REDILAS, 1 SISTEMA RETRÁCTIL, 8 RINES DE ACERO,   8 LLANTAS CHINAS,  1 BICiCLETERA, 1 CANASTILLA, 20 PLAFONES DE CARRITO AMBAR LATERALES, CAJA AUXILIARES</t>
  </si>
  <si>
    <t>PD-13-03-26-0</t>
  </si>
  <si>
    <t xml:space="preserve">CONCHA A 2.00 MTS </t>
  </si>
  <si>
    <t>REDILAS DE 75 CM</t>
  </si>
  <si>
    <t>FOL-18-03-26-2</t>
  </si>
  <si>
    <t xml:space="preserve">SEMIREMOLQUE TIPO: PLATAFORMA 40 FT 3 EJES, CON SUSPENSIÓN FLEET MASTER, EJES FLEET MASTER, 2 PAR DE PATÍN HJ, PISO LAMINADO CON BASE DE PLÁSTICO, CON RIEL, 10 MATRACA CORREDIZA, GANCHO HOLLAND 8/10 BARRENOS, CONCHA A 2.00 MTS , REDILAS DE 75 CM, 1 SISTEMA RETRÁCTIL, 6 RINES DE ALUMINIO, 6 RINES DE ACERO, 12 LLANTAS CHINAS,  16 PLAFONES DE CARRITO ROJOS P/ESTRIBO, 1 CANASTILLA, 20 PLAFONES DE CARRITO AMBAR LATERALES, </t>
  </si>
  <si>
    <t xml:space="preserve">SEMIREMOLQUE TIPO: PLATAFORMA 40 FT 3 EJES, CON SUSPENSIÓN FLEET MASTER, EJES FLEET MASTER, 2 PAR DE PATÍN HJ, PISO LAMINADO CON BASE DE PLÁSTICO, CON RIEL, 10 MATRACA CORREDIZA, GANCHO HOLLAND 8/10 BARRENOS, CONCHA A 2.00 MTS , REDILAS DE 80 CM, 1 SISTEMA RETRÁCTIL, 6 RINES DE ALUMINIO, 6 RINES DE ACERO, 12 LLANTAS CHINAS,  16 PLAFONES DE CARRITO ROJOS P/ESTRIBO, 1 CANASTILLA, 20 PLAFONES DE CARRITO AMBAR LATERALES, </t>
  </si>
  <si>
    <t xml:space="preserve">SEMIREMOLQUE TIPO: PLATAFORMA 40 FT 3 EJES, CON SUSPENSIÓN FLEET MASTER, EJES FLEET MASTER, 2 PAR DE PATÍN HJ, PISO LAMINADO CON BASE DE PLÁSTICO, CON RIEL, 10 MATRACA CORREDIZA, GANCHO HOLLAND 8/10 BARRENOS, BURRO LAMINADO A 1.20 M, REDILAS DE 80 CM, 1 SISTEMA RETRÁCTIL, 6 RINES DE ALUMINIO, 6 RINES DE ACERO, 12 LLANTAS CHINAS,  16 PLAFONES DE CARRITO ROJOS P/ESTRIBO, 1 CANASTILLA, 20 PLAFONES DE CARRITO AMBAR LATERALES, </t>
  </si>
  <si>
    <t>BURRO LAMINADO A 1.50</t>
  </si>
  <si>
    <t xml:space="preserve">SEMIREMOLQUE TIPO: PLATAFORMA 40 FT 3 EJES, CON SUSPENSIÓN FLEET MASTER, EJES FLEET MASTER, 2 PAR DE PATÍN HJ, PISO LAMINADO CON BASE DE PLÁSTICO, CON RIEL, 10 MATRACA CORREDIZA, GANCHO HOLLAND 8/10 BARRENOS, BURRO LAMINADO A 1.50, REDILAS DE 80 CM, 1 SISTEMA RETRÁCTIL, 6 RINES DE ALUMINIO, 6 RINES DE ACERO, 12 LLANTAS CHINAS,  16 PLAFONES DE CARRITO ROJOS P/ESTRIBO, 1 CANASTILLA, 20 PLAFONES DE CARRITO AMBAR LATERALES, </t>
  </si>
  <si>
    <t>BURRO LAMINADO A 1.80</t>
  </si>
  <si>
    <t>FOL-19-03-26-2</t>
  </si>
  <si>
    <t xml:space="preserve">SEMIREMOLQUE TIPO: PLATAFORMA 42 FT 3 EJES, CON SUSPENSIÓN FLEET MASTER, EJES FLEET MASTER, 2 PAR DE PATÍN HJ, PISO DE PLÁSTICO CAFÉ, CON RIEL, 10 MATRACA CORREDIZA, SIN GANCHO, BURRO LAMINADO A 1.80, 0, 1 SISTEMA RETRÁCTIL, 12 RINES DE ACERO,   12 LLANTAS CHINAS,  2 BICiCLETERA,   </t>
  </si>
  <si>
    <t xml:space="preserve">10 </t>
  </si>
  <si>
    <t xml:space="preserve">SEMIREMOLQUE TIPO: PLATAFORMA 42 FT 3 EJES, CON SUSPENSIÓN FLEET MASTER, EJES FLEET MASTER, 2 PAR DE PATÍN HJ, PISO DE PLÁSTICO CAFÉ, CON RIEL, 10  MATRACA CORREDIZA, SIN GANCHO, BURRO LAMINADO A 1.80, 0, 1 SISTEMA RETRÁCTIL, 6 RINES DE ACERO, 6 RINES DE ALUMINIO, 12 LLANTAS CHINAS,  2 POLINERA  GRANDE,  BICiCLETERA,  </t>
  </si>
  <si>
    <t>FOL-17-04-26-2</t>
  </si>
  <si>
    <t xml:space="preserve">SEMIREMOLQUE TIPO: PLATAFORMA 45 FT 3 EJES, CON SUSPENSIÓN FLEET MASTER, EJES FLEET MASTER, 2 PAR DE PATÍN HJ, PISO DE PLÁSTICO CAFÉ, CON RIEL, 10  MATRACA CORREDIZA, SIN GANCHO, SIN FRENTE, 0, 2 SISTEMA RETRÁCTIL, 12 RINES DE ACERO,  SIN RINES, 12 LLANTAS CHINAS,  16 PLAFONES DE CARRITO ROJOS P/ESTRIBO, 2 BICiCLETERA, 24 PLAFONES DE CARRITO AMBAR LATERALES, </t>
  </si>
  <si>
    <t>FOL-20-04-26-2</t>
  </si>
  <si>
    <t xml:space="preserve">SEMIREMOLQUE TIPO: PLATAFORMA 42 FT 3 EJES, CON SUSPENSIÓN FLEET MASTER, EJES FLEET MASTER, 2 PAR DE PATÍN HOLLAND, PISO LAMINADO CON BASE DE PLÁSTICO, CON RIEL, 10  MATRACA CORREDIZA, GANCHO HOLLAND 8/10 BARRENOS, CONCHA LAMINADA A 1.20 M, 0, 1 SISTEMA RETRÁCTIL, 12 RINES DE ACERO,  SIN RINES, 12 LLANTAS CHINAS,  16 PLAFONES DE CARRITO ROJOS P/ESTRIBO, 1 LODERA DE CENTRO, 20 PLAFONES DE CARRITO AMBAR LATERALES, </t>
  </si>
  <si>
    <t>SEMIREMOLQUE TIPO: PLATAFORMA 40 FT 2 EJES, CON SUSPENSIÓN HENDRICKSON, EJES AMPRO, 1 PAR DE PATÍN HOLLAND, PISO DE PLÁSTICO CAFÉ, CON RIEL, 10  MATRACA CORREDIZA, GANCHO HOLLAND 8/10 BARRENOS, BURRO LAMINADO A 1.20 M, 0, 1 SISTEMA RETRÁCTIL, 8 RINES DE ACERO,  SIN RINES, 8 LLANTAS FIRESTONE,  16 PLAFONES DE CARRITO ROJOS P/ESTRIBO, 1 POLINERA  GRANDE, 20 PLAFONES DE CARRITO AMBAR LATERALES, BICiCLETERA</t>
  </si>
  <si>
    <t>SEMIREMOLQUE TIPO: PLATAFORMA 40 FT 2 EJES, CON SUSPENSIÓN AMPRO, EJES AMPRO, 1 PAR DE PATIN AMPRO, PISO LAMINADO CON BASE DE MADERA, CON RIEL, 10  MATRACA CORREDIZA, GANCHO HOLLAND 8/10 BARRENOS, CONCHA LAMINADA A 1.20 M, 0, 1 SISTEMA RETRÁCTIL, 8 RINES DE ACERO,  SIN RINES, 8 LLANTAS CHINAS,  16 PLAFONES DE CARRITO ROJOS P/ESTRIBO, 1 POLINERA  GRANDE, 20 PLAFONES DE CARRITO AMBAR LATERALES, BICiCLETERA</t>
  </si>
  <si>
    <t>SEMIREMOLQUE TIPO: PLATAFORMA 40 FT 2 EJES, CON SUSPENSIÓN AMPRO, EJES AMPRO, 1 PAR DE PATIN AMPRO, PISO LAMINADO CON BASE DE MADERA, CON RIEL, 10  MATRACA CORREDIZA, GANCHO HOLLAND 8/10 BARRENOS, CONCHA LAMINADA A 1.20 M, 0, 1 SISTEMA RETRÁCTIL, 8 RINES DE ALUMINIO,  SIN RINES, 8 LLANTAS CHINAS,  16 PLAFONES DE CARRITO ROJOS P/ESTRIBO, 1 POLINERA  GRANDE, 20 PLAFONES DE CARRITO AMBAR LATERALES, BICiCLETERA</t>
  </si>
  <si>
    <t>SEMIREMOLQUE TIPO: PLATAFORMA 45 FT 3 EJES, CON SUSPENSIÓN HENDRICKSON, EJES FLEET MASTER, 1 PAR DE PATÍN HJ, PISO DE MADERA DE ENCINO, CON RIEL, 12 MATRACA CORREDIZA, SIN GANCHO, SIN FRENTE, 0, 1 SISTEMA RETRÁCTIL, 12 RINES DE ACERO,  SIN RINES, 12 LLANTAS CHINAS,  16 PLAFONES DE CARRITO ROJOS P/ESTRIBO, 1 CANASTILLA, 20 PLAFONES DE CARRITO AMBAR LATERALES, BICiCLETERA</t>
  </si>
  <si>
    <t>FOL-22-04-26-2</t>
  </si>
  <si>
    <t xml:space="preserve">SEMIREMOLQUE TIPO: PLATAFORMA 40 FT 2 EJES, CON SUSPENSIÓN FLEET MASTER, EJES FLEET MASTER, 2 PAR DE PATÍN HJ, PISO DE PLÁSTICO CAFÉ, CON RIEL, 10 MATRACA CORREDIZA, GANCHO HOLLAND 8/10 BARRENOS, CONCHA LAMINADA A 1.20 M, 0, 1 SISTEMA RETRÁCTIL, 8 RINES DE ACERO,  SIN RINES, 8 LLANTAS CHINAS,  0  , 1 CANASTILLA,  </t>
  </si>
  <si>
    <t>PD-22-04-26-0</t>
  </si>
  <si>
    <t>FOL-23-04-26-2</t>
  </si>
  <si>
    <t>SEMIREMOLQUE TIPO: PLATAFORMA 40 FT 3 EJES, CON SUSPENSIÓN HENDRICKSON, EJES FLEET MASTER, 2 PAR DE PATÍN HOLLAND, PISO DE PLÁSTICO CAFÉ, CON RIEL, 10 MATRACA CORREDIZA, GANCHO HOLLAND 8/10 BARRENOS, CONCHA LAMINADA A 1.20 M, 0, 2 SISTEMA RETRÁCTIL, 12 RINES DE ACERO,  SIN RINES, 12 LLANTAS CHINAS,  1 LODERA DE CENTRO, 1 CANASTILLA, 16 PLAFONES DE CARRITO ROJOS P/ESTRIBO, PLAFONES DE CARRITO AMBAR LATERALES</t>
  </si>
  <si>
    <t>FOL-28-04-26-2</t>
  </si>
  <si>
    <t>SEMIREMOLQUE TIPO: PLATAFORMA 40 FT 3 EJES, CON SUSPENSIÓN FLEET MASTER, EJES FLEET MASTER, 2 PAR DE PATÍN HJ, PISO LAMINADO CON BASE DE PLÁSTICO, CON RIEL, 10 MATRACA CORREDIZA, GANCHO HOLLAND 8/10 BARRENOS, BURRO LAMINADO A 1.20 M, 0, 2 SISTEMA RETRÁCTIL, 6 RINES DE ACERO, 6 RINES DE ALUMINIO, 12 LLANTAS CHINAS,  0  , 2 BICiCLETERA, 16 PLAFONES DE CARRITO ROJOS P/ESTRIBO, PLAFONES DE CARRITO AMBAR LATERALES</t>
  </si>
  <si>
    <t>FOL-30-04-26-2</t>
  </si>
  <si>
    <t>SEMIREMOLQUE TIPO: PLATAFORMA 40 FT 3 EJES, CON SUSPENSIÓN FLEET MASTER, EJES FLEET MASTER, 2 PAR DE PATÍN HJ, PISO LAMINADO CON BASE DE PLÁSTICO, CON RIEL, 10 MATRACA CORREDIZA, GANCHO HOLLAND 8/10 BARRENOS, BURRO LAMINADO A 1.20 M, 0, 2 SISTEMA RETRÁCTIL, 6 RINES DE ACERO, 6 RINES DE ALUMINIO, 12 LLANTAS CHINAS,  1 POLINERA  GRANDE, 2 BICiCLETERA, 16 PLAFONES DE CARRITO ROJOS P/ESTRIBO, PLAFONES DE CARRITO AMBAR LATERALES</t>
  </si>
  <si>
    <t>FOL-27-05-26-2</t>
  </si>
  <si>
    <t xml:space="preserve">SEMIREMOLQUE TIPO: PLATAFORMA 42 FT 3 EJES, CON SUSPENSIÓN FLEET MASTER, EJES FLEET MASTER, 2 PAR DE PATÍN HJ, PISO DE PLÁSTICO CAFÉ, CON RIEL, 10 MATRACA CORREDIZA, SIN GANCHO, CONCHA LAMINADA A 1.20 M, 0, 2 SISTEMA RETRÁCTIL, 12 RINES DE ACERO,  SIN RINES, 12 LLANTAS CHINAS,  0  ,   </t>
  </si>
  <si>
    <t xml:space="preserve">SEMIREMOLQUE TIPO: PLATAFORMA 42 FT 3 EJES, CON SUSPENSIÓN FLEET MASTER, EJES FLEET MASTER, 2 PAR DE PATÍN HJ, PISO DE MADERA DE ENCINO, CON RIEL, 10 MATRACA CORREDIZA, SIN GANCHO, CONCHA LAMINADA A 1.20 M, 0, 2 SISTEMA RETRÁCTIL, 12 RINES DE ACERO,  SIN RINES, 12 LLANTAS CHINAS,  0  ,   </t>
  </si>
  <si>
    <t xml:space="preserve">SEMIREMOLQUE TIPO: PLATAFORMA 45 FT 3 EJES, CON SUSPENSIÓN FLEET MASTER, EJES FLEET MASTER, 2 PAR DE PATÍN HJ, PISO DE MADERA DE ENCINO, CON RIEL, 10 MATRACA CORREDIZA, SIN GANCHO, CONCHA LAMINADA A 1.20 M, 0, 2 SISTEMA RETRÁCTIL, 12 RINES DE ACERO,  SIN RINES, 12 LLANTAS CHINAS,  0  ,   </t>
  </si>
  <si>
    <t xml:space="preserve">SEMIREMOLQUE TIPO: PLATAFORMA 45 FT 3 EJES, CON SUSPENSIÓN HENDRICKSON, EJES FLEET MASTER, 2 PAR DE PATÍN HJ, PISO DE MADERA DE ENCINO, CON RIEL, 10 MATRACA CORREDIZA, SIN GANCHO, CONCHA LAMINADA A 1.20 M, 0, 2 SISTEMA RETRÁCTIL, 12 RINES DE ACERO,  SIN RINES, 12 LLANTAS CHINAS,  0  ,   </t>
  </si>
  <si>
    <t xml:space="preserve">SEMIREMOLQUE TIPO: PLATAFORMA 45 FT 2 EJES, CON SUSPENSIÓN HENDRICKSON, EJES FLEET MASTER, 2 PAR DE PATÍN HJ, PISO DE MADERA DE ENCINO, CON RIEL, 10 MATRACA CORREDIZA, SIN GANCHO, CONCHA LAMINADA A 1.20 M, 0, 2 SISTEMA RETRÁCTIL, 12 RINES DE ACERO,  SIN RINES, 12 LLANTAS CHINAS,  0  ,   </t>
  </si>
  <si>
    <t>FOL-28-05-26-2</t>
  </si>
  <si>
    <t xml:space="preserve">SEMIREMOLQUE TIPO: PLATAFORMA 42 FT 3 EJES, CON SUSPENSIÓN HENDRICKSON, EJES FLEET MASTER, 2 PAR DE PATÍN HJ, PISO DE PLÁSTICO CAFÉ, CON RIEL, 12 MATRACA CORREDIZA, SIN GANCHO, CONCHA LAMINADA A 1.70 M, 0, 2 SISTEMA RETRÁCTIL,  SIN RINES,  SIN RINES,  SIN LLANTAS,  8 PLAFONES DE CARRITO AMBAR LATERALES, 1 POLINERA  GRANDE, 1 PORTALLANTAS EXTRA, </t>
  </si>
  <si>
    <t xml:space="preserve">SEMIREMOLQUE TIPO: PLATAFORMA 42 FT 3 EJES, CON SUSPENSIÓN HENDRICKSON, EJES FLEET MASTER, 2 PAR DE PATÍN HJ, PISO DE PLÁSTICO CAFÉ, CON RIEL, 12 MATRACA CORREDIZA, SIN GANCHO, CONCHA LAMINADA A 1.70 M, 0, 2 SISTEMA RETRÁCTIL,  SIN RINES,  SIN RINES, 12 LLANTAS AMULET,  8 PLAFONES DE CARRITO AMBAR LATERALES, 1 POLINERA  GRANDE, 1 PORTALLANTAS EXTRA, </t>
  </si>
  <si>
    <t>FOL-17-06-26-2</t>
  </si>
  <si>
    <t xml:space="preserve">SEMIREMOLQUE TIPO: PLATAFORMA 40 FT 2 EJES, CON SUSPENSIÓN HENDRICKSON, EJES AMPRO, 2 PAR DE PATÍN HOLLAND, PISO DE MADERA DE ENCINO, CON RIEL, 10 MATRACA CORREDIZA, GANCHO HOLLAND 8/10 BARRENOS, CONCHA 1.10 M, 0, 1 SISTEMA RETRÁCTIL, 8 RINES DE ACERO,  SIN RINES, 8 LLANTAS CHINAS,  0  ,   </t>
  </si>
  <si>
    <t>PD-17-06-26-0</t>
  </si>
  <si>
    <t>FOL-02-07-26-2</t>
  </si>
  <si>
    <t xml:space="preserve">SEMIREMOLQUE TIPO: PLATAFORMA 40 FT 2 EJES, CON SUSPENSIÓN HENDRICKSON, EJES AMPRO, 2 PAR DE PATÍN HOLLAND, PISO DE MADERA DE ENCINO, CON RIEL, 10 MATRACA CORREDIZA, GANCHO HOLLAND 8/10 BARRENOS, BURRO LAMINADO A 1.20 M, 0, 1 SISTEMA RETRÁCTIL, 8 RINES DE ACERO,  SIN RINES, 8 LLANTAS CHINAS,  0  ,   </t>
  </si>
  <si>
    <t>PD-02-07-26-0</t>
  </si>
  <si>
    <t xml:space="preserve">SEMIREMOLQUE TIPO: PLATAFORMA 42 FT 3 EJES, CON SUSPENSIÓN FLEET MASTER, EJES FLEET MASTER, 2 PAR DE PATIN AMPRO, PISO LAMINADO CON BASE DE PLÁSTICO, CON RIEL, 12 MATRACA CORREDIZA, GANCHO HOLLAND 8/10 BARRENOS, BURRO LAMINADO A 1.20 M, 0, 2 SISTEMA RETRÁCTIL, 6 RINES DE ALUMINIO, 6 RINES DE ACERO, 12 LLANTAS CHINAS,  1 BICiCLETERA, 1 CANASTILLA,  </t>
  </si>
  <si>
    <t>FOL-05-08-26-2</t>
  </si>
  <si>
    <t xml:space="preserve">SEMIREMOLQUE TIPO: PLATAFORMA 42 FT 3 EJES, CON SUSPENSIÓN FLEET MASTER, EJES FLEET MASTER, 2 PAR DE PATIN AMPRO, PISO LAMINADO CON BASE DE PLÁSTICO, CON RIEL, 12 MATRACA CORREDIZA, GANCHO HOLLAND 8/10 BARRENOS, BURRO LAMINADO A 1.20 M, 0, 2 SISTEMA RETRÁCTIL, 6 RINES DE ALUMINIO, 6 RINES DE ACERO, 12 LLANTAS CHINAS,  2 BICiCLETERA, 1 CANASTILLA,  </t>
  </si>
  <si>
    <t xml:space="preserve">SEMIREMOLQUE TIPO: PLATAFORMA 40 FT 2 EJES, CON SUSPENSIÓN FLEET MASTER, EJES FLEET MASTER, 1 PAR DE PATÍN HJ, PISO LAMINADO CON BASE DE PLÁSTICO, CON RIEL, 10 MATRACA CORREDIZA, GANCHO HOLLAND 8/10 BARRENOS, BURRO LAMINADO A 1.20 M, 0, 1 SISTEMA RETRÁCTIL, 8 RINES DE ACERO,  SIN RINES, 8 LLANTAS CHINAS,  20 PLAFONES DE CARRITO AMBAR LATERALES, 1 CANASTILLA,  </t>
  </si>
  <si>
    <t xml:space="preserve">SEMIREMOLQUE TIPO: PLATAFORMA 40 FT 2 EJES, CON SUSPENSIÓN FLEET MASTER, EJES FLEET MASTER, 1 PAR DE PATÍN HJ, PISO DE PLÁSTICO CAFÉ, CON RIEL, 10 MATRACA CORREDIZA, GANCHO HOLLAND 8/10 BARRENOS, BURRO LAMINADO A 1.20 M, 0, 1 SISTEMA RETRÁCTIL, 8 RINES DE ACERO,  SIN RINES, 8 LLANTAS CHINAS,  20 PLAFONES DE CARRITO AMBAR LATERALES, 1 CANASTILLA,  </t>
  </si>
  <si>
    <t>PD-05-08-26-0</t>
  </si>
  <si>
    <t>SEMIREMOLQUE TIPO: PLATAFORMA 40 FT 2 EJES, CON SUSPENSIÓN HENDRICKSON, EJES AMPRO, 2 PAR DE PATÍN HJ, PISO DE PLÁSTICO CAFÉ, CON RIEL, 10 MATRACA CORREDIZA, GANCHO PREMIER BESTIA 6 BARRENOS, CONCHA LAMINADA A 1.20 M, REDILAS DE 70 CM, 1 SISTEMA RETRÁCTIL,  SIN RINES,  SIN RINES,  SIN LLANTAS,  22 PLAFONES DE CARRITO AMBAR LATERALES, 1 CANASTILLA, 8 PLAFONES DE CARRITO ROJOS P/ESTRIBO, BICiCLETERA</t>
  </si>
  <si>
    <t>FOL-06-08-26-2</t>
  </si>
  <si>
    <t xml:space="preserve">SEMIREMOLQUE TIPO: PLATAFORMA 45 FT 3 EJES, CON SUSPENSIÓN FLEET MASTER, EJES FLEET MASTER, 2 PAR DE PATÍN HJ, PISO DE PLÁSTICO CAFÉ, CON RIEL, 10 MATRACA CORREDIZA, SIN GANCHO, CONCHA LAMINADA A 1.20 M, SIN REDILAS, 2 SISTEMA RETRÁCTIL, 12 RINES DE ACERO,  SIN RINES, 12 LLANTAS CHINAS,  1 BICiCLETERA, 1 CANASTILLA,  </t>
  </si>
  <si>
    <t xml:space="preserve">SEMIREMOLQUE TIPO: PLATAFORMA 40 FT 2 EJES, CON SUSPENSIÓN FLEET MASTER, EJES FLEET MASTER, 2 PAR DE PATÍN HJ, PISO DE PLÁSTICO CAFÉ, CON RIEL, 10 MATRACA CORREDIZA, GANCHO HOLLAND 8/10 BARRENOS, CONCHA LAMINADA A 1.20 M, SIN REDILAS, 1 SISTEMA RETRÁCTIL, 4 RINES DE ACERO, 4 RINES DE ALUMINIO, 8 LLANTAS CHINAS,  0  ,   </t>
  </si>
  <si>
    <t>FOL-07-08-26-2</t>
  </si>
  <si>
    <t>SEMIREMOLQUE TIPO: PLATAFORMA 42 FT 3 EJES, CON SUSPENSIÓN FLEET MASTER, EJES FLEET MASTER, 2 PAR DE PATÍN HJ, PISO DE PLÁSTICO CAFÉ, CON RIEL, 12 MATRACA CORREDIZA, SIN GANCHO, CONCHA LAMINADA A 1.20 M, SIN REDILAS, 2 SISTEMA RETRÁCTIL, 12 RINES DE ACERO,  PROPORCIONA CLIENTE, 12 LLANTAS CHINAS,  1 BICiCLETERA, 1 CANASTILLA, 20 PLAFONES DE CARRITO AMBAR LATERALES, CAJA AUXILIARES</t>
  </si>
  <si>
    <t>SEMIREMOLQUE TIPO: PLATAFORMA 42 FT 3 EJES, CON SUSPENSIÓN HENDRICKSON, EJES FLEET MASTER, 2 PAR DE PATÍN HJ, PISO DE PLÁSTICO CAFÉ, CON RIEL, 12 MATRACA CORREDIZA, SIN GANCHO, CONCHA LAMINADA A 1.20 M, SIN REDILAS, 2 SISTEMA RETRÁCTIL, 12 RINES DE ACERO,  PROPORCIONA CLIENTE, 12 LLANTAS CHINAS,  1 BICiCLETERA, 1 CANASTILLA, 20 PLAFONES DE CARRITO AMBAR LATERALES, CAJA AUXILIARES</t>
  </si>
  <si>
    <t>SEMIREMOLQUE TIPO: PLATAFORMA 42 FT 3 EJES, CON SUSPENSIÓN HENDRICKSON, EJES FLEET MASTER, 2 PAR DE PATÍN HJ, PISO DE PLÁSTICO CAFÉ, CON RIEL, 12 MATRACA CORREDIZA, SIN GANCHO, CONCHA LAMINADA A 1.20 M, SIN REDILAS, 2 SISTEMA RETRÁCTIL,  SIN RINES,    SIN LLANTAS,  1 BICiCLETERA, 1 CANASTILLA, 20 PLAFONES DE CARRITO AMBAR LATERALES, CAJA AUXILIARES</t>
  </si>
  <si>
    <t>SEMIREMOLQUE TIPO: PLATAFORMA 42 FT 3 EJES, CON SUSPENSIÓN FLEET MASTER, EJES FLEET MASTER, 2 PAR DE PATÍN HJ, PISO DE PLÁSTICO CAFÉ, CON RIEL, 12 MATRACA CORREDIZA, SIN GANCHO, CONCHA LAMINADA A 1.20 M, SIN REDILAS, 2 SISTEMA RETRÁCTIL,  SIN RINES,    SIN LLANTAS,  1 BICiCLETERA, 1 CANASTILLA, 20 PLAFONES DE CARRITO AMBAR LATERALES, CAJA AUXILIARES</t>
  </si>
  <si>
    <r>
      <t xml:space="preserve">Banco BBVA a nombre de </t>
    </r>
    <r>
      <rPr>
        <b/>
        <sz val="10"/>
        <color theme="1"/>
        <rFont val="Calibri"/>
        <family val="2"/>
        <scheme val="minor"/>
      </rPr>
      <t xml:space="preserve">ARMADORA LEOLCA.  </t>
    </r>
  </si>
  <si>
    <r>
      <t>Cuenta: 0120879592</t>
    </r>
    <r>
      <rPr>
        <b/>
        <sz val="10"/>
        <color theme="1"/>
        <rFont val="Calibri"/>
        <family val="2"/>
        <scheme val="minor"/>
      </rPr>
      <t>.</t>
    </r>
    <r>
      <rPr>
        <sz val="10"/>
        <color theme="1"/>
        <rFont val="Calibri"/>
        <family val="2"/>
        <scheme val="minor"/>
      </rPr>
      <t xml:space="preserve">  Clave interbancaria:</t>
    </r>
    <r>
      <rPr>
        <b/>
        <sz val="10"/>
        <color theme="1"/>
        <rFont val="Calibri"/>
        <family val="2"/>
        <scheme val="minor"/>
      </rPr>
      <t xml:space="preserve"> 012903001208795926</t>
    </r>
  </si>
  <si>
    <t>SEMIREMOLQUE TIPO: PLATAFORMA 40 FT 2 EJES, CON SUSPENSIÓN ALTA HENDRICKSON, EJES FLEET MASTER, 2 PAR DE PATÍN HJ, PISO DE PLÁSTICO CAFÉ, CON RIEL, 10 MATRACA CORREDIZA, GANCHO HOLLAND 8/10 BARRENOS, SIN FRENTE, SIN REDILAS, 1 SISTEMA RETRÁCTIL, 8 RINES DE ACERO,   8 LLANTAS CHINAS,  2 BICiCLETERA, 16 PLAFONES DE CARRITO ROJOS P/ESTRIBO, 20 PLAFONES DE CARRITO AMBAR LATERALES, CANDADOS</t>
  </si>
  <si>
    <t xml:space="preserve">SEMIREMOLQUE TIPO: PLATAFORMA 40 FT 2 EJES, CON SUSPENSIÓN FLEET MASTER, EJES FLEET MASTER, 2 PAR DE PATÍN HJ, PISO DE PLÁSTICO CAFÉ, CON RIEL, 10 MATRACA CORREDIZA, GANCHO HOLLAND 8/10 BARRENOS, SIN FRENTE, SIN REDILAS, 1 SISTEMA RETRÁCTIL, 8 RINES DE ACERO,   8 LLANTAS CHINAS,  2 BICiCLETERA,   </t>
  </si>
  <si>
    <t>SEMIREMOLQUE TIPO: PLATAFORMA 40 FT 3 EJES, CON SUSPENSIÓN FLEET MASTER, EJES FLEET MASTER, 2 PAR DE PATÍN HJ, PISO DE PLÁSTICO CAFÉ, CON RIEL, 12 MATRACA CORREDIZA, GANCHO HOLLAND 8/10 BARRENOS, BURRO LAMINADO A 1.20 M, REDILAS DE 75 CM, 1 SISTEMA RETRÁCTIL, 12 RINES DE ACERO,   12 LLANTAS CHINAS,  2 BICiCLETERA, 1 POLINERA  GRANDE, 16 PLAFONES DE CARRITO ROJOS P/ESTRIBO, PLAFONES DE CARRITO AMBAR LATERALES</t>
  </si>
  <si>
    <t>SEMIREMOLQUE TIPO: PLATAFORMA 42 FT 3 EJES, CON SUSPENSIÓN ALTA HENDRICKSON, EJES AMPRO, 2 PAR DE PATÍN HOLLAND, PISO DE MADERA DE PINO, CON RIEL, 15 MATRACA CORREDIZA, SIN GANCHO, BURRO LAMINADO A 1.20 M, REDILAS DE 75 CM, 2 SISTEMA RETRÁCTIL,  SIN RINES,    SIN LLANTAS,  1 BICiCLETERA, 1 CANASTILLA, 16 PLAFONES DE CARRITO ROJOS P/ESTRIBO, PLAFONES DE CARRITO AMBAR LATERALES</t>
  </si>
  <si>
    <t>FOL-10-08-26-2</t>
  </si>
  <si>
    <t>SEMIREMOLQUE TIPO: PLATAFORMA 40 FT 2 EJES, CON SUSPENSIÓN FLEET MASTER, EJES FLEET MASTER, 2 PAR DE PATÍN HJ, PISO DE PLÁSTICO CAFÉ, CON RIEL, 10 MATRACA CORREDIZA, GANCHO HOLLAND 8/10 BARRENOS, CONCHA LAMINADA A 1.20 M, SIN REDILAS, 1 SISTEMA RETRÁCTIL, 4 RINES DE ACERO, 4 RINES DE ALUMINIO,  SIN LLANTAS,  0  ,  16 PLAFONES DE CARRITO ROJOS P/ESTRIBO, PLAFONES DE CARRITO AMBAR LATERALES</t>
  </si>
  <si>
    <t>SEMIREMOLQUE TIPO: PLATAFORMA 40 FT 2 EJES, CON SUSPENSIÓN FLEET MASTER, EJES FLEET MASTER, 1 PAR DE PATÍN HJ, PISO DE PLÁSTICO CAFÉ, CON RIEL, 10 MATRACA CORREDIZA, GANCHO HOLLAND 8/10 BARRENOS, SIN FRENTE, SIN REDILAS, 1 SISTEMA RETRÁCTIL, 8 RINES DE ACERO,  SIN RINES, 8 LLANTAS CHINAS,  1 CANASTILLA,  16 PLAFONES DE CARRITO ROJOS P/ESTRIBO, PLAFONES DE CARRITO AMBAR LATERALES</t>
  </si>
  <si>
    <t xml:space="preserve">SEMIREMOLQUE TIPO: PLATAFORMA 45 FT 3 EJES, CON SUSPENSIÓN FLEET MASTER, EJES FLEET MASTER, 2 PAR DE PATÍN HJ, PISO DE MADERA DE ENCINO, CON RIEL, 17 MATRACA CORREDIZA, SIN GANCHO, CONCHA LAMINADA A 1.20 M, SIN REDILAS, 2 SISTEMA RETRÁCTIL, 6 RINES DE ACERO, 6 RINES DE ALUMINIO, 12 LLANTAS CHINAS,  1 POLINERA  GRANDE, 24 PLAFONES DE CARRITO AMBAR LATERALES, 16 PLAFONES DE CARRITO ROJOS P/ESTRIBO, </t>
  </si>
  <si>
    <t>FOL-13-08-26-2</t>
  </si>
  <si>
    <t xml:space="preserve">SEMIREMOLQUE TIPO: PLATAFORMA 42 FT 3 EJES, CON SUSPENSIÓN FLEET MASTER, EJES FLEET MASTER, 2 PAR DE PATÍN HJ, PISO DE PLÁSTICO CAFÉ, CON RIEL, 12 MATRACA CORREDIZA, SIN GANCHO, CONCHA LAMINADA A 1.20 M, SIN REDILAS, 2 SISTEMA RETRÁCTIL, 12 RINES DE ACERO,  RINES DE ACERO, 12 LLANTAS CHINAS,  0  ,   </t>
  </si>
  <si>
    <t>FOL-14-08-26-2</t>
  </si>
  <si>
    <t xml:space="preserve">SEMIREMOLQUE TIPO: PLATAFORMA 40 FT 3 EJES, CON SUSPENSIÓN FLEET MASTER, EJES FLEET MASTER, 2 PAR DE PATÍN HJ, PISO DE PLÁSTICO CAFÉ, CON RIEL, 10 MATRACA CORREDIZA, GANCHO HOLLAND 8/10 BARRENOS, CONCHA LAMINADA A 1.70 M, SIN REDILAS, 1 SISTEMA RETRÁCTIL,  SIN RINES,  SIN RINES,  SIN LLANTAS,  0  ,   </t>
  </si>
  <si>
    <t>FOL-18-08-26-2</t>
  </si>
  <si>
    <t xml:space="preserve">SEMIREMOLQUE TIPO: PLATAFORMA 40 FT 2 EJES, CON SUSPENSIÓN HENDRICKSON, EJES AMPRO, 2 PAR DE PATÍN HJ, PISO LAMINADO CON BASE DE PLÁSTICO, CON RIEL, 10 MATRACA CORREDIZA, GANCHO HOLLAND 8/10 BARRENOS, BURRO LAMINADO A 1.20 M, SIN REDILAS, 1 SISTEMA RETRÁCTIL,  SIN RINES,  SIN RINES,  SIN LLANTAS,  2 BICiCLETERA,   </t>
  </si>
  <si>
    <t xml:space="preserve">SEMIREMOLQUE TIPO: PLATAFORMA 40 FT 2 EJES, CON SUSPENSIÓN HENDRICKSON, EJES FLEET MASTER, 2 PAR DE PATÍN HJ, PISO LAMINADO CON BASE DE MADERA, CON RIEL, 10 MATRACA CORREDIZA, GANCHO HOLLAND 8/10 BARRENOS, BURRO LAMINADO A 1.20 M, SIN REDILAS, 1 SISTEMA RETRÁCTIL,  SIN RINES,  SIN RINES,  SIN LLANTAS,  2 BICiCLETERA,   </t>
  </si>
  <si>
    <t>PD-18-08-26-0</t>
  </si>
  <si>
    <t>FOL-19-08-26-2</t>
  </si>
  <si>
    <t>SEMIREMOLQUE TIPO: PLATAFORMA 40 FT 2 EJES, CON SUSPENSIÓN ALTA HENDRICKSON, EJES FLEET MASTER, 2 PAR DE PATÍN HOLLAND, PISO DE PLÁSTICO CAFÉ, CON RIEL, 15 MATRACA CORREDIZA, GANCHO PREMIER 8 BARRENOS, BURRO LAMINADO A 1.20 M, SIN REDILAS, 1 SISTEMA RETRÁCTIL, 6 RINES DE ACERO, 6 RINES DE ALUMINIO, 12 LLANTAS AMULET,  1 BICiCLETERA, 1 CANASTILLA, 16 PLAFONES DE CARRITO ROJOS P/ESTRIBO, PLAFONES DE CARRITO AMBAR LATERALES</t>
  </si>
  <si>
    <t>PD-19-08-26-0</t>
  </si>
  <si>
    <t>PRESUPUESTO DE DOLLY CON 2 EJES FLEET MASTER,  SUSPENSIÓN ALTA HENDRICKSON, 1 SISTEMA RETRÁCTIL, 4 RINES DE ACERO, 4 RINES DE ALUMINIO, 8 LLANTAS AMULET</t>
  </si>
  <si>
    <t>SEMIREMOLQUE TIPO: PLATAFORMA 40 FT 2 EJES, CON SUSPENSIÓN ALTA HENDRICKSON, EJES FLEET MASTER, 2 PAR DE PATÍN HOLLAND, PISO DE PLÁSTICO CAFÉ, CON RIEL, 15 MATRACA CORREDIZA, GANCHO PREMIER 8 BARRENOS, BURRO LAMINADO A 1.20 M, SIN REDILAS, 1 SISTEMA RETRÁCTIL, 4 RINES DE ACERO, 4 RINES DE ALUMINIO, 8 LLANTAS AMULET,  1 BICiCLETERA, 1 CANASTILLA, 16 PLAFONES DE CARRITO ROJOS P/ESTRIBO, PLAFONES DE CARRITO AMBAR LATERALES</t>
  </si>
  <si>
    <t>FOL-20-08-26-2</t>
  </si>
  <si>
    <t>SEMIREMOLQUE TIPO: PLATAFORMA 40 FT 2 EJES, CON SUSPENSIÓN ALTA HENDRICKSON, EJES FLEET MASTER, 2 PAR DE PATÍN HOLLAND, PISO DE PLÁSTICO CAFÉ, CON RIEL, 15 MATRACA CORREDIZA, GANCHO PREMIER 8 BARRENOS, BURRO LAMINADO A 1.20 M, SIN REDILAS, 1 SISTEMA RETRÁCTIL, 8 RINES DE ALUMINIO,  SIN RINES, 8 LLANTAS AMULET,  1 BICiCLETERA, 1 CANASTILLA, 16 PLAFONES DE CARRITO ROJOS P/ESTRIBO, PLAFONES DE CARRITO AMBAR LATERALES</t>
  </si>
  <si>
    <t>PD-20-08-26-0</t>
  </si>
  <si>
    <t>PRESUPUESTO DE DOLLY CON 2 EJES FLEET MASTER,  SUSPENSIÓN ALTA HENDRICKSON, 1 SISTEMA RETRÁCTIL, 8 RINES DE ALUMINIO,  RINES DE ACERO, 8 LLANTAS AMULET</t>
  </si>
  <si>
    <t>PD-25-08-26-0</t>
  </si>
  <si>
    <t>Un juegos</t>
  </si>
  <si>
    <t>PRESUPUESTO DE DOLLY CON 2 EJES FLEET MASTER,  SUSPENSIÓN HENDRICKSON, 1 SISTEMA RETRÁCTIL, 8 RINES DE ALUMINIO, 8 RINES DE ACERO, 8 LLANTAS AMULET</t>
  </si>
  <si>
    <t>PRESUPUESTO DE DOLLY CON 2 EJES FLEET MASTER,  SUSPENSIÓN ALTA HENDRICKSON, 1 SISTEMA RETRÁCTIL, 8 RINES DE ALUMINIO, 8 RINES DE ACERO, 8 LLANTAS AMULET</t>
  </si>
  <si>
    <t>PRESUPUESTO DE DOLLY CON 2 EJES FLEET MASTER,  SUSPENSIÓN ALTA HENDRICKSON, 1 SISTEMA RETRÁCTIL, 8 RINES DE ALUMINIO, 8 RINES DE ACERO, 8 LLANTAS FIRESTONE</t>
  </si>
  <si>
    <t>FOL-25-08-26-2</t>
  </si>
  <si>
    <t xml:space="preserve">SEMIREMOLQUE TIPO: PLATAFORMA 40 FT 2 EJES, CON SUSPENSIÓN ALTA HENDRICKSON, EJES FLEET MASTER, 2 PAR DE PATÍN HOLLAND, PISO DE PLÁSTICO CAFÉ, CON RIEL, 15 MATRACA CORREDIZA, GANCHO PREMIER 8 BARRENOS, BURRO LAMINADO A 1.20 M, SIN REDILAS, 1 SISTEMA RETRÁCTIL, 8 RINES DE ALUMINIO,  SIN RINES, 8 LLANTAS FIRESTONE,  1 BICiCLETERA, 1 CANASTILLA,  </t>
  </si>
  <si>
    <t xml:space="preserve">SEMIREMOLQUE TIPO: PLATAFORMA 40 FT 2 EJES, CON SUSPENSIÓN HENDRICKSON, EJES FLEET MASTER, 2 PAR DE PATÍN HOLLAND, PISO DE PLÁSTICO CAFÉ, CON RIEL, 15 MATRACA CORREDIZA, GANCHO PREMIER 8 BARRENOS, BURRO LAMINADO A 1.20 M, SIN REDILAS, 1 SISTEMA RETRÁCTIL, 8 RINES DE ALUMINIO,  SIN RINES, 8 LLANTAS FIRESTONE,  1 BICiCLETERA, 1 CANASTILLA,  </t>
  </si>
  <si>
    <t xml:space="preserve">SEMIREMOLQUE TIPO: PLATAFORMA 40 FT 2 EJES, CON SUSPENSIÓN ALTA HENDRICKSON, EJES FLEET MASTER, 2 PAR DE PATÍN HOLLAND, PISO DE PLÁSTICO CAFÉ, CON RIEL, 15 MATRACA CORREDIZA, GANCHO PREMIER 8 BARRENOS, BURRO LAMINADO A 1.20 M, SIN REDILAS, 1 SISTEMA RETRÁCTIL, 8 RINES DE ALUMINIO,  SIN RINES, 8 LLANTAS AMULET,  1 BICiCLETERA, 1 CANASTILLA,  </t>
  </si>
  <si>
    <t>SEMIREMOLQUE TIPO: PLATAFORMA 40 FT 2 EJES, CON SUSPENSIÓN ALTA HENDRICKSON, EJES FLEET MASTER, 2 PAR DE PATÍN HOLLAND, PISO DE PLÁSTICO CAFÉ, CON RIEL, 15 MATRACA CORREDIZA, GANCHO PREMIER 8 BARRENOS, BURRO LAMINADO A 1.20 M, SIN REDILAS, 1 SISTEMA RETRÁCTIL, 8 RINES DE ALUMINIO,  SIN RINES, 8 LLANTAS FIRESTONE,  1 BICiCLETERA, 1 CANASTILLA, 16 PLAFONES DE CARRITO ROJOS P/ESTRIBO, PLAFONES DE CARRITO AMBAR LATERALES</t>
  </si>
  <si>
    <t>FOL-01-09-26-2</t>
  </si>
  <si>
    <t xml:space="preserve">SEMIREMOLQUE TIPO: PLATAFORMA 40 FT 2 EJES, CON SUSPENSIÓN FLEET MASTER, EJES FLEET MASTER, 2 PAR DE PATÍN HJ, PISO DE PLÁSTICO CAFÉ, CON RIEL, 10 MATRACA CORREDIZA, GANCHO HOLLAND 8/10 BARRENOS, CONCHA LAMINADA A 1.20 M, SIN REDILAS, 1 SIN SISTEMA RETRÁCTIL,  SIN RINES,  SIN RINES,  SIN LLANTAS,  0  ,   </t>
  </si>
  <si>
    <t>PD-01-09-26-0</t>
  </si>
  <si>
    <t>PD-03-09-26-0</t>
  </si>
  <si>
    <t>FOL-03-09-26-2</t>
  </si>
  <si>
    <t>SEMIREMOLQUE TIPO: PLATAFORMA 40 FT 2 EJES, CON SUSPENSIÓN HENDRICKSON, EJES FLEET MASTER, 2 PAR DE PATÍN HJ, PISO DE PLÁSTICO CAFÉ, CON RIEL, 15 MATRACA CORREDIZA, GANCHO HOLLAND 8/10 BARRENOS, SIN FRENTE, SIN REDILAS, 1 SIN SISTEMA RETRÁCTIL,  SIN RINES,  SIN RINES,  SIN LLANTAS,  16 PLAFONES DE CARRITO ROJOS P/ESTRIBO, 1 CANASTILLA, 1 BICiCLETERA, PLAFONES DE CARRITO AMBAR LATERALES</t>
  </si>
  <si>
    <t>PRESUPUESTO DE DOLLY CON 2 EJES FLEET MASTER,  SUSPENSIÓN HENDRICKSON, 1 SISTEMA RETRÁCTIL, 4 RINES DE ACERO, 4 RINES DE ALUMINIO, 8 LLANTAS CHINAS</t>
  </si>
  <si>
    <t>FOL-04-09-26-2</t>
  </si>
  <si>
    <t>SEMIREMOLQUE TIPO: PLATAFORMA 40 FT 2 EJES, CON SUSPENSIÓN FLEET MASTER, EJES FLEET MASTER, 2 PAR DE PATÍN HJ, PISO DE PLÁSTICO CAFÉ, CON RIEL, 10 MATRACA CORREDIZA, GANCHO HOLLAND 8/10 BARRENOS, SIN FRENTE, SIN REDILAS, 1 SISTEMA RETRÁCTIL, 8 RINES DE ACERO,  SIN RINES, 8 LLANTAS CHINAS,  16 PLAFONES DE CARRITO ROJOS P/ESTRIBO, 1 CANASTILLA, 1 BICiCLETERA, PLAFONES DE CARRITO AMBAR LATERALES</t>
  </si>
  <si>
    <t xml:space="preserve">A quien corresponda </t>
  </si>
  <si>
    <t>PD-04-09-26-0</t>
  </si>
  <si>
    <t>FOL-08-09-26-2</t>
  </si>
  <si>
    <t xml:space="preserve">SEMIREMOLQUE TIPO: PLATAFORMA 40 FT 2 EJES, CON SUSPENSIÓN FLEET MASTER, EJES FLEET MASTER, 2 PAR DE PATÍN HJ, PISO DE PLÁSTICO CAFÉ, CON RIEL, 12 MATRACA CORREDIZA, GANCHO HOLLAND 8/10 BARRENOS, BURRO LAMINADO A 1.20 M, SIN REDILAS, 1 SISTEMA RETRÁCTIL,  SIN RINES,  SIN RINES,  SIN LLANTAS,  1 POLINERA  GRANDE,   </t>
  </si>
  <si>
    <t>PD-08-09-26-0</t>
  </si>
  <si>
    <t xml:space="preserve">SEMIREMOLQUE TIPO: PLATAFORMA 48 FT 3 EJES, CON SUSPENSIÓN FLEET MASTER, EJES FLEET MASTER, 2 PAR DE PATÍN HJ, PISO DE PLÁSTICO CAFÉ, CON RIEL, 12 MATRACA CORREDIZA, SIN GANCHO, CONCHA LAMINADA A 1.20 M, SIN REDILAS, 2 SISTEMA RETRÁCTIL, 12 RINES DE ACERO,  SIN RINES, 12 LLANTAS CHINAS,  0  ,   </t>
  </si>
  <si>
    <t>FOL-09-09-26-2</t>
  </si>
  <si>
    <t>SEMIREMOLQUE TIPO: PLATAFORMA 40 FT 2 EJES, CON SUSPENSIÓN HENDRICKSON, EJES FLEET MASTER, 2 PAR DE PATÍN HOLLAND, PISO DE PLÁSTICO CAFÉ, CON RIEL, 10 MATRACA CORREDIZA, GANCHO HOLLAND 8/10 BARRENOS, CONCHA LAMINADA A 1.20 M, SIN REDILAS, 1 SISTEMA RETRÁCTIL, 8 RINES DE ACERO,  SIN RINES, 8 LLANTAS CHINAS,  16 PLAFONES DE CARRITO ROJOS P/ESTRIBO, 1 BICiCLETERA, 1 CANASTILLA, PLAFONES DE CARRITO AMBAR LATERALES</t>
  </si>
  <si>
    <t>SEMIREMOLQUE TIPO: PLATAFORMA 42 FT 3 EJES, CON SUSPENSIÓN FLEET MASTER, EJES FLEET MASTER, 2 PAR DE PATÍN HJ, PISO DE PLÁSTICO CAFÉ, CON RIEL, 10 MATRACA CORREDIZA, SIN GANCHO, CONCHA LAMINADA A 1.20 M, SIN REDILAS, 2 SISTEMA RETRÁCTIL, 12 RINES DE ACERO,  SIN RINES, 12 LLANTAS CHINAS,  16 PLAFONES DE CARRITO ROJOS P/ESTRIBO, 1 BICiCLETERA, 1 CANASTILLA, PLAFONES DE CARRITO AMBAR LATERALES</t>
  </si>
  <si>
    <t xml:space="preserve">SEMIREMOLQUE TIPO: PLATAFORMA 40 FT 2 EJES, CON SUSPENSIÓN ALTA HENDRICKSON, EJES FLEET MASTER, 2 PAR DE PATÍN HOLLAND, PISO LAMINADO CON BASE DE PLÁSTICO, CON RIEL, 13 MATRACA CORREDIZA, GANCHO HOLLAND 8/10 BARRENOS, BURRO LAMINADO A 1.20 M, SIN REDILAS, 1 SISTEMA RETRÁCTIL,  SIN RINES,  SIN RINES,  SIN LLANTAS,  1 POLINERA  GRANDE, 2 BICiCLETERA, 2 CAJA AUXILIARES, </t>
  </si>
  <si>
    <t>Kit de Abs y conexiones 2 ejes bendix</t>
  </si>
  <si>
    <t>PD-09-09-26-0</t>
  </si>
  <si>
    <t>FOL-15-09-26-2</t>
  </si>
  <si>
    <t xml:space="preserve">SEMIREMOLQUE TIPO: PLATAFORMA 40 FT 2 EJES, CON SUSPENSIÓN FLEET MASTER, EJES FLEET MASTER, 2 PAR DE PATÍN HJ, PISO DE PLÁSTICO CAFÉ, CON RIEL, 10 MATRACA CORREDIZA, GANCHO HOLLAND 8/10 BARRENOS, CONCHA LAMINADA A 1.20 M, REDILAS DE 80 CM, 1 SISTEMA RETRÁCTIL,  SIN RINES,  SIN RINES,  SIN LLANTAS,  0  ,   </t>
  </si>
  <si>
    <t xml:space="preserve">Con 10 winches </t>
  </si>
  <si>
    <t>16</t>
  </si>
  <si>
    <t>20</t>
  </si>
  <si>
    <t>SEMIREMOLQUE TIPO: PLATAFORMA 40 FT 2 EJES, CON SUSPENSIÓN ALTA HENDRICKSON, EJES FLEET MASTER, 2 PAR DE PATÍN HJ, PISO DE PLÁSTICO CAFÉ, CON RIEL, 10 MATRACA CORREDIZA, GANCHO HOLLAND 8/10 BARRENOS, SIN FRENTE, SIN REDILAS, 1 SISTEMA RETRÁCTIL, 8 RINES DE ACERO,  SIN RINES, 8 LLANTAS CHINAS,  1 BICiCLETERA, 1 CANASTILLA, 16 PLAFONES DE CARRITO ROJOS P/ESTRIBO, PLAFONES DE CARRITO AMBAR LATERALES</t>
  </si>
  <si>
    <t>Un bicicletero</t>
  </si>
  <si>
    <t xml:space="preserve">16 PLAFONES COLOR ROJO EN ESTRIBO Y 10 PLAFONES POR LADO COLOR AMBAR </t>
  </si>
  <si>
    <t>SEMIREMOLQUE TIPO: PLATAFORMA 40 FT 2 EJES, CON SUSPENSIÓN FLEET MASTER, EJES FLEET MASTER, 2 PAR DE PATÍN HJ, PISO DE PLÁSTICO CAFÉ, CON RIEL, 10 MATRACA CORREDIZA, GANCHO HOLLAND 8/10 BARRENOS, CONCHA LAMINADA A 1.20 M, SIN REDILAS, 1 SISTEMA RETRÁCTIL, 4 RINES DE ACERO, 4 RINES DE ALUMINIO,   ,  0  ,  16 PLAFONES DE CARRITO ROJOS P/ESTRIBO, PLAFONES DE CARRITO AMBAR LATERALES</t>
  </si>
  <si>
    <t xml:space="preserve">SEMIREMOLQUE TIPO: PLATAFORMA 40 FT 2 EJES, CON SUSPENSIÓN ALTA HENDRICKSON, EJES FLEET MASTER, 2 PAR DE PATÍN HJ, PISO LAMINADO CON BASE DE PLÁSTICO, CON RIEL, 12 MATRACA CORREDIZA, GANCHO HOLLAND 8/10 BARRENOS, CONCHA LAMINADA A 1.20 M, SIN REDILAS, 1 SISTEMA RETRÁCTIL,  SIN RINES,  SIN RINES,   ,  0 BICiCLETERA,   </t>
  </si>
  <si>
    <t>4 Pzas 24.5" De Acero</t>
  </si>
  <si>
    <t>FOL-22-09-26-2</t>
  </si>
  <si>
    <t>SEMIREMOLQUE TIPO: PLATAFORMA 40 FT 2 EJES, CON SUSPENSIÓN ALTA HENDRICKSON, EJES FLEET MASTER, 2 PAR DE PATÍN HJ, PISO DE PLÁSTICO CAFÉ, CON RIEL, 10 MATRACA CORREDIZA, GANCHO HOLLAND 8/10 BARRENOS, CONCHA LAMINADA A 1.20 M, SIN REDILAS, 1 SISTEMA RETRÁCTIL, 8 RINES DE ACERO,   8 LLANTAS CHINAS,  1 CANASTILLA, 1 BICiCLETERA, 16 PLAFONES DE CARRITO ROJOS P/ESTRIBO, PLAFONES DE CARRITO AMBAR LATERALES</t>
  </si>
  <si>
    <t xml:space="preserve"> Dos juegos de dos velocidades marca Hj </t>
  </si>
  <si>
    <t>Frente:</t>
  </si>
  <si>
    <t>Elegir el tipo de frente</t>
  </si>
  <si>
    <t>SEMIREMOLQUE TIPO: PLATAFORMA 40 FT 2 EJES, CON SUSPENSIÓN ALTA HENDRICKSON, EJES FLEET MASTER, 2 PAR DE PATÍN HJ, PISO DE PLÁSTICO CAFÉ, CON RIEL, 10 MATRACA CORREDIZA, GANCHO HOLLAND 8/10 BARRENOS, SIN FRENTE, SIN REDILAS, 1 SISTEMA RETRÁCTIL, 8 RINES DE ACERO,   8 LLANTAS CHINAS,  1 CANASTILLA, 1 BICiCLETERA, 16 PLAFONES DE CARRITO ROJOS P/ESTRIBO, PLAFONES DE CARRITO AMBAR LATERALES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</si>
</sst>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0">
    <numFmt numFmtId="44" formatCode="_-&quot;$&quot;* #,##0.00_-;\-&quot;$&quot;* #,##0.00_-;_-&quot;$&quot;* &quot;-&quot;??_-;_-@_-"/>
    <numFmt numFmtId="164" formatCode="_-[$$-80A]* #,##0.00_-;\-[$$-80A]* #,##0.00_-;_-[$$-80A]* &quot;-&quot;??_-;_-@_-"/>
    <numFmt numFmtId="165" formatCode="&quot;$&quot;#,##0.00"/>
    <numFmt numFmtId="166" formatCode="[$-F800]dddd\,\ mmmm\ dd\,\ yyyy"/>
    <numFmt numFmtId="167" formatCode="&quot;TRUCKZONE&quot;"/>
    <numFmt numFmtId="168" formatCode="0.000\ &quot;M&quot;"/>
    <numFmt numFmtId="169" formatCode="0,000\ &quot;kg&quot;"/>
    <numFmt numFmtId="170" formatCode="0\ &quot;PATIN(S)&quot;"/>
    <numFmt numFmtId="171" formatCode="0\ &quot;WINCH&quot;"/>
    <numFmt numFmtId="172" formatCode="0\ &quot;RIN(S)&quot;"/>
    <numFmt numFmtId="173" formatCode="0\ &quot;LLANT(S)&quot;"/>
    <numFmt numFmtId="174" formatCode="_-&quot;$&quot;* #,##0.00_-;\-&quot;$&quot;* #,##0.00_-;_-&quot;$&quot;* &quot;-&quot;??_-;_-@"/>
    <numFmt numFmtId="175" formatCode="[$-80A]d&quot; de &quot;mmmm&quot; de &quot;yyyy;@"/>
    <numFmt numFmtId="176" formatCode="&quot;RM299001&quot;"/>
    <numFmt numFmtId="177" formatCode="&quot;RM&quot;\2\9\9000"/>
    <numFmt numFmtId="178" formatCode="0.000\ &quot;METROS&quot;"/>
    <numFmt numFmtId="179" formatCode="0\ &quot;Pzas&quot;"/>
    <numFmt numFmtId="180" formatCode="0\ &quot;(Ejes)&quot;"/>
    <numFmt numFmtId="181" formatCode="&quot;$&quot;\ 0.00"/>
    <numFmt numFmtId="182" formatCode="_-* #,##0.00\ _€_-;\-* #,##0.00\ _€_-;_-* &quot;-&quot;??\ _€_-;_-@_-"/>
  </numFmts>
  <fonts count="83">
    <font>
      <sz val="11"/>
      <color theme="1"/>
      <name val="Calibri"/>
      <family val="2"/>
      <scheme val="minor"/>
    </font>
    <font>
      <b/>
      <sz val="11"/>
      <color theme="0"/>
      <name val="Calibri"/>
      <family val="2"/>
      <scheme val="minor"/>
    </font>
    <font>
      <sz val="11"/>
      <color theme="1"/>
      <name val="Calibri"/>
      <family val="2"/>
      <scheme val="minor"/>
    </font>
    <font>
      <sz val="8"/>
      <name val="Calibri"/>
      <family val="2"/>
      <scheme val="minor"/>
    </font>
    <font>
      <sz val="12"/>
      <color theme="1"/>
      <name val="Calibri"/>
      <family val="2"/>
      <scheme val="minor"/>
    </font>
    <font>
      <b/>
      <sz val="16"/>
      <color theme="1"/>
      <name val="Calibri"/>
      <family val="2"/>
      <scheme val="minor"/>
    </font>
    <font>
      <sz val="16"/>
      <color theme="1"/>
      <name val="Calibri"/>
      <family val="2"/>
      <scheme val="minor"/>
    </font>
    <font>
      <b/>
      <sz val="18"/>
      <color theme="1"/>
      <name val="Calibri"/>
      <family val="2"/>
      <scheme val="minor"/>
    </font>
    <font>
      <sz val="10"/>
      <color theme="1"/>
      <name val="Calibri"/>
      <family val="2"/>
      <scheme val="minor"/>
    </font>
    <font>
      <sz val="20"/>
      <color theme="1"/>
      <name val="Calibri"/>
      <family val="2"/>
      <scheme val="minor"/>
    </font>
    <font>
      <sz val="18"/>
      <color theme="1"/>
      <name val="Calibri"/>
      <family val="2"/>
      <scheme val="minor"/>
    </font>
    <font>
      <sz val="11"/>
      <name val="Calibri Bold"/>
      <family val="2"/>
    </font>
    <font>
      <b/>
      <sz val="11"/>
      <color theme="1"/>
      <name val="Calibri"/>
      <family val="2"/>
      <scheme val="minor"/>
    </font>
    <font>
      <b/>
      <sz val="11"/>
      <color rgb="FF000000"/>
      <name val="Calibri"/>
      <family val="2"/>
      <scheme val="minor"/>
    </font>
    <font>
      <b/>
      <sz val="12"/>
      <color theme="1"/>
      <name val="Calibri"/>
      <family val="2"/>
      <scheme val="minor"/>
    </font>
    <font>
      <sz val="11.5"/>
      <color theme="1"/>
      <name val="Calibri"/>
      <family val="2"/>
      <scheme val="minor"/>
    </font>
    <font>
      <sz val="11"/>
      <color theme="0"/>
      <name val="Calibri"/>
      <family val="2"/>
      <scheme val="minor"/>
    </font>
    <font>
      <sz val="10"/>
      <color rgb="FF000000"/>
      <name val="Times New Roman"/>
      <family val="1"/>
    </font>
    <font>
      <sz val="11"/>
      <color rgb="FF000000"/>
      <name val="Calibri"/>
      <family val="2"/>
    </font>
    <font>
      <b/>
      <sz val="14"/>
      <color rgb="FF000000"/>
      <name val="Calibri"/>
      <family val="2"/>
    </font>
    <font>
      <sz val="11"/>
      <name val="Arial"/>
      <family val="2"/>
    </font>
    <font>
      <b/>
      <u/>
      <sz val="11"/>
      <color rgb="FF000000"/>
      <name val="Calibri"/>
      <family val="2"/>
    </font>
    <font>
      <b/>
      <sz val="11"/>
      <color rgb="FF000000"/>
      <name val="Calibri"/>
      <family val="2"/>
    </font>
    <font>
      <sz val="9.5"/>
      <color rgb="FF000000"/>
      <name val="Calibri"/>
      <family val="2"/>
    </font>
    <font>
      <sz val="10.5"/>
      <color theme="1"/>
      <name val="Calibri"/>
      <family val="2"/>
      <scheme val="minor"/>
    </font>
    <font>
      <sz val="12"/>
      <color rgb="FF000000"/>
      <name val="Calibri"/>
      <family val="2"/>
    </font>
    <font>
      <u/>
      <sz val="11"/>
      <color theme="10"/>
      <name val="Calibri"/>
      <family val="2"/>
      <scheme val="minor"/>
    </font>
    <font>
      <sz val="9"/>
      <name val="Calibri"/>
      <family val="2"/>
    </font>
    <font>
      <sz val="9"/>
      <color theme="1"/>
      <name val="Calibri"/>
      <family val="2"/>
      <scheme val="minor"/>
    </font>
    <font>
      <u/>
      <sz val="11"/>
      <color theme="1"/>
      <name val="Calibri"/>
      <family val="2"/>
      <scheme val="minor"/>
    </font>
    <font>
      <sz val="10"/>
      <name val="Arial"/>
      <family val="2"/>
    </font>
    <font>
      <sz val="12"/>
      <name val="Arial Bold"/>
      <family val="2"/>
    </font>
    <font>
      <sz val="12"/>
      <name val="Arial"/>
      <family val="2"/>
    </font>
    <font>
      <sz val="11"/>
      <name val="Arial Bold"/>
      <family val="2"/>
    </font>
    <font>
      <u/>
      <sz val="12"/>
      <name val="Arial"/>
      <family val="2"/>
    </font>
    <font>
      <b/>
      <sz val="10"/>
      <color rgb="FF000000"/>
      <name val="Calibri"/>
      <family val="2"/>
    </font>
    <font>
      <sz val="10"/>
      <color rgb="FF000000"/>
      <name val="Calibri"/>
      <family val="2"/>
    </font>
    <font>
      <b/>
      <sz val="9"/>
      <color theme="1"/>
      <name val="Calibri"/>
      <family val="2"/>
      <scheme val="minor"/>
    </font>
    <font>
      <b/>
      <sz val="10"/>
      <color theme="1"/>
      <name val="Calibri"/>
      <family val="2"/>
      <scheme val="minor"/>
    </font>
    <font>
      <b/>
      <sz val="9"/>
      <name val="Calibri"/>
      <family val="2"/>
    </font>
    <font>
      <b/>
      <sz val="10.5"/>
      <color rgb="FF000000"/>
      <name val="Calibri"/>
      <family val="2"/>
      <scheme val="minor"/>
    </font>
    <font>
      <sz val="10"/>
      <color theme="0"/>
      <name val="Calibri"/>
      <family val="2"/>
      <scheme val="minor"/>
    </font>
    <font>
      <sz val="9"/>
      <color theme="0"/>
      <name val="Calibri"/>
      <family val="2"/>
      <scheme val="minor"/>
    </font>
    <font>
      <i/>
      <sz val="12"/>
      <color theme="1"/>
      <name val="Arial Rounded MT Bold"/>
      <family val="2"/>
    </font>
    <font>
      <sz val="12"/>
      <color theme="1"/>
      <name val="Arial Rounded MT Bold"/>
      <family val="2"/>
    </font>
    <font>
      <sz val="12"/>
      <color theme="0"/>
      <name val="Calibri"/>
      <family val="2"/>
      <scheme val="minor"/>
    </font>
    <font>
      <b/>
      <sz val="12"/>
      <color theme="0"/>
      <name val="Calibri"/>
      <family val="2"/>
      <scheme val="minor"/>
    </font>
    <font>
      <b/>
      <sz val="14"/>
      <color theme="1"/>
      <name val="Calibri"/>
      <family val="2"/>
      <scheme val="minor"/>
    </font>
    <font>
      <sz val="10.25"/>
      <color rgb="FF000000"/>
      <name val="Calibri"/>
      <family val="2"/>
    </font>
    <font>
      <sz val="9"/>
      <color indexed="81"/>
      <name val="Tahoma"/>
      <family val="2"/>
    </font>
    <font>
      <b/>
      <sz val="9"/>
      <color indexed="81"/>
      <name val="Tahoma"/>
      <family val="2"/>
    </font>
    <font>
      <sz val="11"/>
      <color theme="1"/>
      <name val="Aptos"/>
      <family val="2"/>
    </font>
    <font>
      <sz val="10"/>
      <color theme="1"/>
      <name val="Calibri"/>
      <family val="2"/>
    </font>
    <font>
      <b/>
      <sz val="9"/>
      <name val="Arial"/>
      <family val="2"/>
    </font>
    <font>
      <b/>
      <sz val="10"/>
      <name val="Calibri"/>
      <family val="2"/>
      <scheme val="minor"/>
    </font>
    <font>
      <b/>
      <sz val="10"/>
      <color theme="0"/>
      <name val="Calibri"/>
      <family val="2"/>
      <scheme val="minor"/>
    </font>
    <font>
      <sz val="12"/>
      <color rgb="FF000000"/>
      <name val="Calibri"/>
      <family val="2"/>
      <scheme val="minor"/>
    </font>
    <font>
      <sz val="12"/>
      <name val="Calibri Bold"/>
      <family val="2"/>
    </font>
    <font>
      <b/>
      <sz val="12"/>
      <color rgb="FF000000"/>
      <name val="Calibri"/>
      <family val="2"/>
      <scheme val="minor"/>
    </font>
    <font>
      <b/>
      <sz val="12"/>
      <color rgb="FFFF0000"/>
      <name val="Calibri"/>
      <family val="2"/>
      <scheme val="minor"/>
    </font>
    <font>
      <sz val="12"/>
      <color rgb="FFDF6C09"/>
      <name val="Calibri"/>
      <family val="2"/>
      <scheme val="minor"/>
    </font>
    <font>
      <u/>
      <sz val="12"/>
      <color rgb="FF000000"/>
      <name val="Calibri"/>
      <family val="2"/>
      <scheme val="minor"/>
    </font>
    <font>
      <b/>
      <sz val="11"/>
      <color theme="1"/>
      <name val="Calibri"/>
      <family val="2"/>
    </font>
    <font>
      <sz val="11"/>
      <color theme="1"/>
      <name val="Calibri"/>
      <family val="2"/>
    </font>
    <font>
      <sz val="11"/>
      <color rgb="FF000000"/>
      <name val="Calibri Light"/>
      <family val="2"/>
    </font>
    <font>
      <sz val="12"/>
      <color rgb="FFFF0000"/>
      <name val="Calibri"/>
      <family val="2"/>
      <scheme val="minor"/>
    </font>
    <font>
      <b/>
      <sz val="10.5"/>
      <color theme="1"/>
      <name val="Calibri"/>
      <family val="2"/>
      <scheme val="minor"/>
    </font>
    <font>
      <sz val="12"/>
      <color theme="1"/>
      <name val="Calibri"/>
      <family val="2"/>
    </font>
    <font>
      <sz val="11"/>
      <color theme="4" tint="-0.249977111117893"/>
      <name val="Calibri"/>
      <family val="2"/>
      <scheme val="minor"/>
    </font>
    <font>
      <sz val="11"/>
      <color rgb="FF04A4AC"/>
      <name val="Calibri"/>
      <family val="2"/>
      <scheme val="minor"/>
    </font>
    <font>
      <sz val="10"/>
      <name val="Calibri"/>
      <family val="2"/>
      <scheme val="minor"/>
    </font>
    <font>
      <b/>
      <i/>
      <sz val="11"/>
      <color theme="1"/>
      <name val="Calibri"/>
      <family val="2"/>
      <scheme val="minor"/>
    </font>
    <font>
      <sz val="8"/>
      <color theme="1"/>
      <name val="Calibri"/>
      <family val="2"/>
      <scheme val="minor"/>
    </font>
    <font>
      <sz val="11"/>
      <color theme="4"/>
      <name val="Calibri"/>
      <family val="2"/>
      <scheme val="minor"/>
    </font>
    <font>
      <sz val="10.5"/>
      <color theme="4"/>
      <name val="Calibri"/>
      <family val="2"/>
      <scheme val="minor"/>
    </font>
    <font>
      <u/>
      <sz val="11"/>
      <color theme="4"/>
      <name val="Calibri"/>
      <family val="2"/>
      <scheme val="minor"/>
    </font>
    <font>
      <sz val="12"/>
      <color theme="4"/>
      <name val="Calibri"/>
      <family val="2"/>
      <scheme val="minor"/>
    </font>
    <font>
      <sz val="11"/>
      <name val="Calibri"/>
      <family val="2"/>
      <scheme val="minor"/>
    </font>
    <font>
      <sz val="12"/>
      <name val="Calibri"/>
      <family val="2"/>
      <scheme val="minor"/>
    </font>
    <font>
      <b/>
      <sz val="12"/>
      <name val="Calibri"/>
      <family val="2"/>
      <scheme val="minor"/>
    </font>
    <font>
      <b/>
      <sz val="11"/>
      <name val="Calibri"/>
      <family val="2"/>
      <scheme val="minor"/>
    </font>
    <font>
      <sz val="9"/>
      <name val="Calibri"/>
      <family val="2"/>
      <scheme val="minor"/>
    </font>
    <font>
      <sz val="10"/>
      <name val="Calibri"/>
      <family val="2"/>
    </font>
  </fonts>
  <fills count="6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7" tint="-0.249977111117893"/>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1"/>
        <bgColor indexed="64"/>
      </patternFill>
    </fill>
    <fill>
      <patternFill patternType="solid">
        <fgColor rgb="FFFF3300"/>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8" tint="0.39997558519241921"/>
        <bgColor indexed="64"/>
      </patternFill>
    </fill>
    <fill>
      <patternFill patternType="solid">
        <fgColor theme="8" tint="-0.249977111117893"/>
        <bgColor theme="4"/>
      </patternFill>
    </fill>
    <fill>
      <patternFill patternType="solid">
        <fgColor theme="1" tint="0.34998626667073579"/>
        <bgColor indexed="64"/>
      </patternFill>
    </fill>
    <fill>
      <patternFill patternType="solid">
        <fgColor theme="4" tint="0.39997558519241921"/>
        <bgColor indexed="64"/>
      </patternFill>
    </fill>
    <fill>
      <patternFill patternType="solid">
        <fgColor theme="4"/>
      </patternFill>
    </fill>
    <fill>
      <patternFill patternType="solid">
        <fgColor theme="5"/>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4" tint="0.39997558519241921"/>
        <bgColor theme="4"/>
      </patternFill>
    </fill>
    <fill>
      <gradientFill degree="90">
        <stop position="0">
          <color theme="0"/>
        </stop>
        <stop position="1">
          <color theme="4" tint="0.59999389629810485"/>
        </stop>
      </gradientFill>
    </fill>
    <fill>
      <gradientFill degree="270">
        <stop position="0">
          <color theme="0"/>
        </stop>
        <stop position="1">
          <color theme="4" tint="0.80001220740379042"/>
        </stop>
      </gradientFill>
    </fill>
    <fill>
      <gradientFill type="path">
        <stop position="0">
          <color theme="0"/>
        </stop>
        <stop position="1">
          <color theme="4" tint="0.80001220740379042"/>
        </stop>
      </gradientFill>
    </fill>
    <fill>
      <gradientFill degree="90">
        <stop position="0">
          <color theme="0"/>
        </stop>
        <stop position="1">
          <color theme="5" tint="0.80001220740379042"/>
        </stop>
      </gradientFill>
    </fill>
    <fill>
      <gradientFill degree="270">
        <stop position="0">
          <color theme="0"/>
        </stop>
        <stop position="1">
          <color theme="5" tint="0.80001220740379042"/>
        </stop>
      </gradientFill>
    </fill>
    <fill>
      <gradientFill type="path">
        <stop position="0">
          <color theme="0"/>
        </stop>
        <stop position="1">
          <color theme="5" tint="0.80001220740379042"/>
        </stop>
      </gradientFill>
    </fill>
    <fill>
      <gradientFill degree="90">
        <stop position="0">
          <color theme="0"/>
        </stop>
        <stop position="1">
          <color theme="7" tint="0.80001220740379042"/>
        </stop>
      </gradientFill>
    </fill>
    <fill>
      <gradientFill degree="270">
        <stop position="0">
          <color theme="0"/>
        </stop>
        <stop position="1">
          <color theme="7" tint="0.80001220740379042"/>
        </stop>
      </gradientFill>
    </fill>
    <fill>
      <gradientFill type="path">
        <stop position="0">
          <color theme="0"/>
        </stop>
        <stop position="1">
          <color theme="7" tint="0.80001220740379042"/>
        </stop>
      </gradientFill>
    </fill>
    <fill>
      <gradientFill degree="90">
        <stop position="0">
          <color theme="0"/>
        </stop>
        <stop position="1">
          <color theme="8" tint="0.59999389629810485"/>
        </stop>
      </gradientFill>
    </fill>
    <fill>
      <gradientFill degree="270">
        <stop position="0">
          <color theme="0"/>
        </stop>
        <stop position="1">
          <color theme="8" tint="0.59999389629810485"/>
        </stop>
      </gradientFill>
    </fill>
    <fill>
      <gradientFill type="path">
        <stop position="0">
          <color theme="0"/>
        </stop>
        <stop position="1">
          <color theme="8" tint="0.59999389629810485"/>
        </stop>
      </gradientFill>
    </fill>
    <fill>
      <gradientFill degree="270">
        <stop position="0">
          <color theme="0"/>
        </stop>
        <stop position="1">
          <color rgb="FF99FFCC"/>
        </stop>
      </gradientFill>
    </fill>
    <fill>
      <gradientFill degree="90">
        <stop position="0">
          <color theme="0"/>
        </stop>
        <stop position="1">
          <color rgb="FF99FFCC"/>
        </stop>
      </gradientFill>
    </fill>
    <fill>
      <gradientFill type="path">
        <stop position="0">
          <color theme="0"/>
        </stop>
        <stop position="1">
          <color rgb="FF99FFCC"/>
        </stop>
      </gradientFill>
    </fill>
    <fill>
      <gradientFill degree="270">
        <stop position="0">
          <color theme="0"/>
        </stop>
        <stop position="1">
          <color rgb="FF009999"/>
        </stop>
      </gradientFill>
    </fill>
    <fill>
      <gradientFill degree="270">
        <stop position="0">
          <color theme="0"/>
        </stop>
        <stop position="1">
          <color rgb="FF66CCFF"/>
        </stop>
      </gradientFill>
    </fill>
    <fill>
      <gradientFill type="path" left="1" right="1" top="1" bottom="1">
        <stop position="0">
          <color theme="0"/>
        </stop>
        <stop position="1">
          <color rgb="FF66CCFF"/>
        </stop>
      </gradientFill>
    </fill>
    <fill>
      <gradientFill degree="225">
        <stop position="0">
          <color theme="0"/>
        </stop>
        <stop position="1">
          <color rgb="FF99FFCC"/>
        </stop>
      </gradientFill>
    </fill>
    <fill>
      <patternFill patternType="solid">
        <fgColor rgb="FFFFFF00"/>
        <bgColor indexed="64"/>
      </patternFill>
    </fill>
    <fill>
      <patternFill patternType="solid">
        <fgColor rgb="FF00B0F0"/>
        <bgColor indexed="64"/>
      </patternFill>
    </fill>
    <fill>
      <patternFill patternType="solid">
        <fgColor theme="9" tint="0.79998168889431442"/>
        <bgColor indexed="64"/>
      </patternFill>
    </fill>
    <fill>
      <patternFill patternType="solid">
        <fgColor rgb="FFD0E0E3"/>
        <bgColor rgb="FFD0E0E3"/>
      </patternFill>
    </fill>
    <fill>
      <patternFill patternType="solid">
        <fgColor rgb="FFFEF2CB"/>
        <bgColor rgb="FFFEF2CB"/>
      </patternFill>
    </fill>
    <fill>
      <patternFill patternType="solid">
        <fgColor theme="9" tint="0.79998168889431442"/>
        <bgColor rgb="FFD0E0E3"/>
      </patternFill>
    </fill>
    <fill>
      <patternFill patternType="solid">
        <fgColor theme="0"/>
        <bgColor theme="0"/>
      </patternFill>
    </fill>
    <fill>
      <patternFill patternType="solid">
        <fgColor theme="3" tint="0.59999389629810485"/>
        <bgColor indexed="64"/>
      </patternFill>
    </fill>
    <fill>
      <patternFill patternType="solid">
        <fgColor theme="4" tint="0.59999389629810485"/>
        <bgColor indexed="64"/>
      </patternFill>
    </fill>
    <fill>
      <patternFill patternType="solid">
        <fgColor rgb="FF00B0F0"/>
        <bgColor auto="1"/>
      </patternFill>
    </fill>
    <fill>
      <gradientFill degree="90">
        <stop position="0">
          <color theme="8" tint="0.80001220740379042"/>
        </stop>
        <stop position="1">
          <color theme="8" tint="0.59999389629810485"/>
        </stop>
      </gradientFill>
    </fill>
    <fill>
      <gradientFill type="path" left="1" right="1" top="1" bottom="1">
        <stop position="0">
          <color theme="0"/>
        </stop>
        <stop position="1">
          <color theme="8" tint="0.59999389629810485"/>
        </stop>
      </gradientFill>
    </fill>
    <fill>
      <gradientFill type="path" left="1" right="1" top="1" bottom="1">
        <stop position="0">
          <color theme="0"/>
        </stop>
        <stop position="1">
          <color theme="4" tint="0.40000610370189521"/>
        </stop>
      </gradientFill>
    </fill>
    <fill>
      <gradientFill type="path" left="1" right="1" top="1" bottom="1">
        <stop position="0">
          <color theme="0"/>
        </stop>
        <stop position="1">
          <color theme="0" tint="-0.25098422193060094"/>
        </stop>
      </gradientFill>
    </fill>
    <fill>
      <patternFill patternType="solid">
        <fgColor theme="8" tint="0.59999389629810485"/>
        <bgColor indexed="65"/>
      </patternFill>
    </fill>
    <fill>
      <patternFill patternType="solid">
        <fgColor rgb="FF99FFCC"/>
        <bgColor indexed="64"/>
      </patternFill>
    </fill>
    <fill>
      <gradientFill type="path" left="1" right="1" top="1" bottom="1">
        <stop position="0">
          <color theme="0"/>
        </stop>
        <stop position="1">
          <color rgb="FF71F37D"/>
        </stop>
      </gradientFill>
    </fill>
    <fill>
      <patternFill patternType="solid">
        <fgColor rgb="FF3399FF"/>
        <bgColor indexed="64"/>
      </patternFill>
    </fill>
    <fill>
      <gradientFill degree="90">
        <stop position="0">
          <color theme="0" tint="-5.0965910824915313E-2"/>
        </stop>
        <stop position="1">
          <color theme="0" tint="-0.1490218817712943"/>
        </stop>
      </gradientFill>
    </fill>
    <fill>
      <gradientFill degree="90">
        <stop position="0">
          <color rgb="FFFF6600"/>
        </stop>
        <stop position="0.5">
          <color rgb="FFFF6600"/>
        </stop>
        <stop position="1">
          <color rgb="FFFF6600"/>
        </stop>
      </gradientFill>
    </fill>
    <fill>
      <gradientFill degree="90">
        <stop position="0">
          <color theme="0" tint="-0.1490218817712943"/>
        </stop>
        <stop position="1">
          <color theme="0" tint="-5.0965910824915313E-2"/>
        </stop>
      </gradientFill>
    </fill>
    <fill>
      <gradientFill degree="270">
        <stop position="0">
          <color theme="0" tint="-5.0965910824915313E-2"/>
        </stop>
        <stop position="1">
          <color theme="0" tint="-0.1490218817712943"/>
        </stop>
      </gradientFill>
    </fill>
    <fill>
      <patternFill patternType="solid">
        <fgColor rgb="FF66FFCC"/>
        <bgColor indexed="64"/>
      </patternFill>
    </fill>
    <fill>
      <patternFill patternType="solid">
        <fgColor rgb="FF25EF03"/>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bgColor auto="1"/>
      </patternFill>
    </fill>
  </fills>
  <borders count="45">
    <border>
      <left/>
      <right/>
      <top/>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bottom style="thin">
        <color indexed="6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style="thin">
        <color theme="4" tint="0.39997558519241921"/>
      </left>
      <right/>
      <top style="thin">
        <color theme="4" tint="0.39997558519241921"/>
      </top>
      <bottom/>
      <diagonal/>
    </border>
    <border>
      <left/>
      <right style="thin">
        <color theme="4" tint="0.39997558519241921"/>
      </right>
      <top/>
      <bottom/>
      <diagonal/>
    </border>
    <border>
      <left style="thin">
        <color theme="4" tint="0.39997558519241921"/>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theme="5" tint="0.79998168889431442"/>
      </left>
      <right style="thin">
        <color theme="5" tint="0.79998168889431442"/>
      </right>
      <top style="thin">
        <color theme="5" tint="0.79998168889431442"/>
      </top>
      <bottom style="thin">
        <color theme="5" tint="0.79998168889431442"/>
      </bottom>
      <diagonal/>
    </border>
    <border>
      <left style="thin">
        <color theme="7" tint="0.79998168889431442"/>
      </left>
      <right style="thin">
        <color theme="7" tint="0.79998168889431442"/>
      </right>
      <top style="thin">
        <color theme="7" tint="0.79998168889431442"/>
      </top>
      <bottom style="thin">
        <color theme="7" tint="0.79998168889431442"/>
      </bottom>
      <diagonal/>
    </border>
    <border>
      <left style="thin">
        <color theme="8" tint="0.59999389629810485"/>
      </left>
      <right style="thin">
        <color theme="8" tint="0.59999389629810485"/>
      </right>
      <top style="thin">
        <color theme="8" tint="0.59999389629810485"/>
      </top>
      <bottom style="thin">
        <color theme="8" tint="0.59999389629810485"/>
      </bottom>
      <diagonal/>
    </border>
    <border>
      <left style="thin">
        <color rgb="FF99FFCC"/>
      </left>
      <right style="thin">
        <color rgb="FF99FFCC"/>
      </right>
      <top style="thin">
        <color rgb="FF99FFCC"/>
      </top>
      <bottom style="thin">
        <color rgb="FF99FFCC"/>
      </bottom>
      <diagonal/>
    </border>
    <border>
      <left style="thin">
        <color rgb="FF009999"/>
      </left>
      <right style="thin">
        <color rgb="FF009999"/>
      </right>
      <top style="thin">
        <color rgb="FF009999"/>
      </top>
      <bottom style="thin">
        <color rgb="FF009999"/>
      </bottom>
      <diagonal/>
    </border>
    <border>
      <left style="thin">
        <color rgb="FF66CCFF"/>
      </left>
      <right style="thin">
        <color rgb="FF66CCFF"/>
      </right>
      <top style="thin">
        <color rgb="FF66CCFF"/>
      </top>
      <bottom style="thin">
        <color rgb="FF66CCFF"/>
      </bottom>
      <diagonal/>
    </border>
    <border>
      <left/>
      <right/>
      <top/>
      <bottom style="thin">
        <color rgb="FF009999"/>
      </bottom>
      <diagonal/>
    </border>
    <border>
      <left style="thin">
        <color rgb="FF71F37D"/>
      </left>
      <right style="thin">
        <color rgb="FF71F37D"/>
      </right>
      <top style="thin">
        <color rgb="FF71F37D"/>
      </top>
      <bottom style="thin">
        <color rgb="FF71F37D"/>
      </bottom>
      <diagonal/>
    </border>
    <border>
      <left style="thin">
        <color rgb="FF71F37D"/>
      </left>
      <right/>
      <top style="thin">
        <color rgb="FF71F37D"/>
      </top>
      <bottom style="thin">
        <color rgb="FF71F37D"/>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009999"/>
      </left>
      <right style="thin">
        <color rgb="FF009999"/>
      </right>
      <top style="thin">
        <color rgb="FF009999"/>
      </top>
      <bottom/>
      <diagonal/>
    </border>
    <border>
      <left style="thin">
        <color rgb="FF006666"/>
      </left>
      <right style="thin">
        <color rgb="FF006666"/>
      </right>
      <top style="thin">
        <color rgb="FF006666"/>
      </top>
      <bottom style="thin">
        <color rgb="FF006666"/>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00FFCC"/>
      </left>
      <right style="thin">
        <color rgb="FF00FFCC"/>
      </right>
      <top style="thin">
        <color rgb="FF00FFCC"/>
      </top>
      <bottom style="thin">
        <color rgb="FF00FFCC"/>
      </bottom>
      <diagonal/>
    </border>
    <border>
      <left style="thin">
        <color rgb="FF71F37D"/>
      </left>
      <right style="thin">
        <color rgb="FF71F37D"/>
      </right>
      <top style="thin">
        <color rgb="FF71F37D"/>
      </top>
      <bottom/>
      <diagonal/>
    </border>
    <border>
      <left style="thin">
        <color rgb="FF71F37D"/>
      </left>
      <right style="thin">
        <color rgb="FF71F37D"/>
      </right>
      <top/>
      <bottom style="thin">
        <color rgb="FF71F37D"/>
      </bottom>
      <diagonal/>
    </border>
    <border>
      <left/>
      <right style="thin">
        <color theme="4" tint="0.39997558519241921"/>
      </right>
      <top style="medium">
        <color rgb="FFFF6600"/>
      </top>
      <bottom style="thin">
        <color theme="4" tint="0.39997558519241921"/>
      </bottom>
      <diagonal/>
    </border>
    <border>
      <left style="thin">
        <color theme="4" tint="0.39997558519241921"/>
      </left>
      <right style="thin">
        <color theme="4" tint="0.39997558519241921"/>
      </right>
      <top style="thin">
        <color theme="4" tint="0.39997558519241921"/>
      </top>
      <bottom style="medium">
        <color rgb="FFFF6600"/>
      </bottom>
      <diagonal/>
    </border>
    <border>
      <left style="thin">
        <color rgb="FF999999"/>
      </left>
      <right style="thin">
        <color rgb="FF999999"/>
      </right>
      <top style="thin">
        <color rgb="FF999999"/>
      </top>
      <bottom style="thin">
        <color rgb="FF999999"/>
      </bottom>
      <diagonal/>
    </border>
    <border>
      <left style="thin">
        <color rgb="FFABABAB"/>
      </left>
      <right style="thin">
        <color rgb="FFABABAB"/>
      </right>
      <top style="thin">
        <color rgb="FFABABAB"/>
      </top>
      <bottom style="thin">
        <color rgb="FFABABAB"/>
      </bottom>
      <diagonal/>
    </border>
  </borders>
  <cellStyleXfs count="7">
    <xf numFmtId="0" fontId="0" fillId="0" borderId="0"/>
    <xf numFmtId="44" fontId="2" fillId="0" borderId="0" applyFont="0" applyFill="0" applyBorder="0" applyAlignment="0" applyProtection="0"/>
    <xf numFmtId="0" fontId="26" fillId="0" borderId="0" applyNumberFormat="0" applyFill="0" applyBorder="0" applyAlignment="0" applyProtection="0"/>
    <xf numFmtId="0" fontId="30" fillId="0" borderId="0"/>
    <xf numFmtId="0" fontId="16" fillId="16"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cellStyleXfs>
  <cellXfs count="693">
    <xf numFmtId="0" fontId="0" fillId="0" borderId="0" xfId="0"/>
    <xf numFmtId="0" fontId="0" fillId="0" borderId="0" xfId="0" applyAlignment="1">
      <alignment horizontal="center" vertical="center"/>
    </xf>
    <xf numFmtId="0" fontId="0" fillId="0" borderId="0" xfId="0" applyAlignment="1">
      <alignment horizontal="center"/>
    </xf>
    <xf numFmtId="0" fontId="0" fillId="0" borderId="0" xfId="0" applyAlignment="1">
      <alignment horizontal="left"/>
    </xf>
    <xf numFmtId="0" fontId="0" fillId="0" borderId="0" xfId="0" pivotButton="1"/>
    <xf numFmtId="165" fontId="0" fillId="0" borderId="0" xfId="0" applyNumberFormat="1"/>
    <xf numFmtId="44" fontId="0" fillId="0" borderId="0" xfId="1" applyFont="1"/>
    <xf numFmtId="44" fontId="0" fillId="0" borderId="0" xfId="0" applyNumberFormat="1"/>
    <xf numFmtId="0" fontId="4" fillId="0" borderId="0" xfId="0" applyFont="1"/>
    <xf numFmtId="0" fontId="0" fillId="3" borderId="0" xfId="0" applyFill="1"/>
    <xf numFmtId="0" fontId="1" fillId="4" borderId="0" xfId="0" applyFont="1" applyFill="1"/>
    <xf numFmtId="0" fontId="4" fillId="5" borderId="0" xfId="0" applyFont="1" applyFill="1" applyAlignment="1">
      <alignment horizontal="center"/>
    </xf>
    <xf numFmtId="164" fontId="0" fillId="0" borderId="0" xfId="0" applyNumberFormat="1" applyAlignment="1">
      <alignment vertical="center"/>
    </xf>
    <xf numFmtId="0" fontId="8" fillId="0" borderId="0" xfId="0" applyFont="1" applyAlignment="1">
      <alignment vertical="center"/>
    </xf>
    <xf numFmtId="0" fontId="0" fillId="3" borderId="0" xfId="0" applyFill="1" applyAlignment="1">
      <alignment vertical="top"/>
    </xf>
    <xf numFmtId="0" fontId="0" fillId="6" borderId="3" xfId="0" applyFill="1" applyBorder="1"/>
    <xf numFmtId="0" fontId="0" fillId="0" borderId="3" xfId="0" applyBorder="1"/>
    <xf numFmtId="44" fontId="0" fillId="6" borderId="3" xfId="1" applyFont="1" applyFill="1" applyBorder="1"/>
    <xf numFmtId="0" fontId="0" fillId="6" borderId="3" xfId="0" applyFill="1" applyBorder="1" applyAlignment="1">
      <alignment horizontal="center" vertical="center"/>
    </xf>
    <xf numFmtId="44" fontId="0" fillId="0" borderId="3" xfId="1" applyFont="1" applyBorder="1"/>
    <xf numFmtId="0" fontId="0" fillId="0" borderId="3" xfId="0" applyBorder="1" applyAlignment="1">
      <alignment horizontal="center" vertical="center"/>
    </xf>
    <xf numFmtId="0" fontId="1" fillId="7" borderId="2" xfId="0" applyFont="1" applyFill="1" applyBorder="1"/>
    <xf numFmtId="0" fontId="11" fillId="0" borderId="0" xfId="0" applyFont="1"/>
    <xf numFmtId="0" fontId="12" fillId="0" borderId="0" xfId="0" applyFont="1"/>
    <xf numFmtId="0" fontId="0" fillId="0" borderId="4" xfId="0" applyBorder="1"/>
    <xf numFmtId="0" fontId="13" fillId="0" borderId="0" xfId="0" applyFont="1"/>
    <xf numFmtId="44" fontId="0" fillId="0" borderId="0" xfId="1" applyFont="1" applyBorder="1"/>
    <xf numFmtId="44" fontId="0" fillId="0" borderId="3" xfId="1" applyFont="1" applyFill="1" applyBorder="1"/>
    <xf numFmtId="44" fontId="0" fillId="0" borderId="0" xfId="1" applyFont="1" applyFill="1"/>
    <xf numFmtId="44" fontId="0" fillId="0" borderId="4" xfId="1" applyFont="1" applyBorder="1"/>
    <xf numFmtId="0" fontId="0" fillId="0" borderId="4" xfId="0" applyBorder="1" applyAlignment="1">
      <alignment horizontal="center" vertical="center"/>
    </xf>
    <xf numFmtId="0" fontId="4" fillId="0" borderId="0" xfId="0" applyFont="1" applyAlignment="1">
      <alignment horizontal="right"/>
    </xf>
    <xf numFmtId="0" fontId="14" fillId="0" borderId="0" xfId="0" applyFont="1" applyAlignment="1">
      <alignment horizontal="center"/>
    </xf>
    <xf numFmtId="0" fontId="15" fillId="0" borderId="0" xfId="0" applyFont="1"/>
    <xf numFmtId="0" fontId="0" fillId="0" borderId="2" xfId="0" applyBorder="1"/>
    <xf numFmtId="0" fontId="16" fillId="0" borderId="0" xfId="0" applyFont="1"/>
    <xf numFmtId="44" fontId="0" fillId="0" borderId="0" xfId="1" applyFont="1" applyFill="1" applyBorder="1"/>
    <xf numFmtId="0" fontId="0" fillId="0" borderId="6" xfId="0" applyBorder="1"/>
    <xf numFmtId="0" fontId="0" fillId="0" borderId="7" xfId="0" applyBorder="1"/>
    <xf numFmtId="0" fontId="1" fillId="7" borderId="0" xfId="0" applyFont="1" applyFill="1"/>
    <xf numFmtId="167" fontId="0" fillId="0" borderId="3" xfId="0" applyNumberFormat="1" applyBorder="1"/>
    <xf numFmtId="0" fontId="0" fillId="6" borderId="9" xfId="0" applyFill="1" applyBorder="1"/>
    <xf numFmtId="0" fontId="0" fillId="6" borderId="4" xfId="0" applyFill="1" applyBorder="1"/>
    <xf numFmtId="44" fontId="0" fillId="6" borderId="4" xfId="1" applyFont="1" applyFill="1" applyBorder="1"/>
    <xf numFmtId="0" fontId="0" fillId="6" borderId="4" xfId="0" applyFill="1" applyBorder="1" applyAlignment="1">
      <alignment horizontal="center" vertical="center"/>
    </xf>
    <xf numFmtId="0" fontId="0" fillId="6" borderId="8" xfId="0" applyFill="1" applyBorder="1"/>
    <xf numFmtId="0" fontId="0" fillId="0" borderId="9" xfId="0" applyBorder="1"/>
    <xf numFmtId="0" fontId="0" fillId="0" borderId="8" xfId="0" applyBorder="1"/>
    <xf numFmtId="0" fontId="0" fillId="6" borderId="4" xfId="0" applyFill="1" applyBorder="1" applyAlignment="1">
      <alignment horizontal="center"/>
    </xf>
    <xf numFmtId="0" fontId="0" fillId="0" borderId="4" xfId="0" applyBorder="1" applyAlignment="1">
      <alignment horizontal="center"/>
    </xf>
    <xf numFmtId="0" fontId="1" fillId="7" borderId="11" xfId="0" applyFont="1" applyFill="1" applyBorder="1"/>
    <xf numFmtId="0" fontId="1" fillId="7" borderId="10" xfId="0" applyFont="1" applyFill="1" applyBorder="1"/>
    <xf numFmtId="44" fontId="14" fillId="2" borderId="0" xfId="1" applyFont="1" applyFill="1" applyAlignment="1">
      <alignment shrinkToFit="1"/>
    </xf>
    <xf numFmtId="0" fontId="17" fillId="0" borderId="0" xfId="0" applyFont="1" applyAlignment="1">
      <alignment horizontal="left" vertical="center"/>
    </xf>
    <xf numFmtId="0" fontId="19" fillId="0" borderId="0" xfId="0" applyFont="1" applyAlignment="1">
      <alignment horizontal="left" vertical="center"/>
    </xf>
    <xf numFmtId="0" fontId="18" fillId="0" borderId="0" xfId="0" applyFont="1" applyAlignment="1">
      <alignment vertical="center"/>
    </xf>
    <xf numFmtId="0" fontId="18" fillId="0" borderId="0" xfId="0" applyFont="1" applyAlignment="1">
      <alignment horizontal="left" vertical="center"/>
    </xf>
    <xf numFmtId="0" fontId="21" fillId="0" borderId="0" xfId="0" applyFont="1" applyAlignment="1">
      <alignment horizontal="left" vertical="center"/>
    </xf>
    <xf numFmtId="0" fontId="23" fillId="0" borderId="0" xfId="0" applyFont="1" applyAlignment="1">
      <alignment horizontal="left" vertical="center"/>
    </xf>
    <xf numFmtId="0" fontId="22" fillId="0" borderId="0" xfId="0" applyFont="1" applyAlignment="1">
      <alignment horizontal="left" vertical="center"/>
    </xf>
    <xf numFmtId="0" fontId="18" fillId="0" borderId="0" xfId="0" applyFont="1" applyAlignment="1">
      <alignment horizontal="center" vertical="center"/>
    </xf>
    <xf numFmtId="0" fontId="18" fillId="0" borderId="0" xfId="0" applyFont="1" applyAlignment="1">
      <alignment horizontal="center" vertical="top"/>
    </xf>
    <xf numFmtId="0" fontId="0" fillId="0" borderId="5" xfId="0" applyBorder="1"/>
    <xf numFmtId="0" fontId="22" fillId="0" borderId="0" xfId="0" applyFont="1" applyAlignment="1">
      <alignment horizontal="center" vertical="center"/>
    </xf>
    <xf numFmtId="0" fontId="12" fillId="0" borderId="0" xfId="0" applyFont="1" applyAlignment="1">
      <alignment horizontal="left"/>
    </xf>
    <xf numFmtId="0" fontId="19" fillId="0" borderId="0" xfId="0" applyFont="1" applyAlignment="1">
      <alignment horizontal="right" vertical="center"/>
    </xf>
    <xf numFmtId="44" fontId="25" fillId="0" borderId="0" xfId="1" applyFont="1" applyAlignment="1">
      <alignment horizontal="left" vertical="center" shrinkToFit="1"/>
    </xf>
    <xf numFmtId="0" fontId="26" fillId="0" borderId="0" xfId="2"/>
    <xf numFmtId="0" fontId="0" fillId="0" borderId="5" xfId="0" applyBorder="1" applyAlignment="1">
      <alignment horizontal="left"/>
    </xf>
    <xf numFmtId="14" fontId="16" fillId="0" borderId="0" xfId="0" applyNumberFormat="1" applyFont="1"/>
    <xf numFmtId="0" fontId="27" fillId="0" borderId="0" xfId="0" applyFont="1" applyAlignment="1">
      <alignment horizontal="left" vertical="top" wrapText="1"/>
    </xf>
    <xf numFmtId="0" fontId="28" fillId="0" borderId="0" xfId="0" applyFont="1"/>
    <xf numFmtId="0" fontId="0" fillId="0" borderId="0" xfId="0" applyAlignment="1">
      <alignment horizontal="left" vertical="center"/>
    </xf>
    <xf numFmtId="0" fontId="16" fillId="0" borderId="0" xfId="0" applyFont="1" applyAlignment="1">
      <alignment horizontal="left"/>
    </xf>
    <xf numFmtId="0" fontId="29" fillId="0" borderId="0" xfId="0" applyFont="1" applyAlignment="1">
      <alignment horizontal="center"/>
    </xf>
    <xf numFmtId="0" fontId="20" fillId="0" borderId="0" xfId="3" applyFont="1"/>
    <xf numFmtId="0" fontId="31" fillId="0" borderId="0" xfId="3" applyFont="1"/>
    <xf numFmtId="0" fontId="32" fillId="0" borderId="0" xfId="3" applyFont="1"/>
    <xf numFmtId="0" fontId="20" fillId="0" borderId="0" xfId="3" applyFont="1" applyAlignment="1">
      <alignment horizontal="center"/>
    </xf>
    <xf numFmtId="0" fontId="33" fillId="0" borderId="0" xfId="3" applyFont="1" applyAlignment="1">
      <alignment horizontal="center"/>
    </xf>
    <xf numFmtId="0" fontId="0" fillId="0" borderId="5" xfId="0" applyBorder="1" applyAlignment="1">
      <alignment horizontal="center"/>
    </xf>
    <xf numFmtId="0" fontId="34" fillId="0" borderId="0" xfId="3" applyFont="1" applyAlignment="1">
      <alignment horizontal="center"/>
    </xf>
    <xf numFmtId="166" fontId="20" fillId="0" borderId="0" xfId="0" applyNumberFormat="1" applyFont="1" applyAlignment="1">
      <alignment vertical="center"/>
    </xf>
    <xf numFmtId="0" fontId="36" fillId="0" borderId="0" xfId="0" applyFont="1" applyAlignment="1">
      <alignment horizontal="left" vertical="center"/>
    </xf>
    <xf numFmtId="0" fontId="24" fillId="0" borderId="0" xfId="0" applyFont="1"/>
    <xf numFmtId="0" fontId="37" fillId="0" borderId="0" xfId="0" applyFont="1"/>
    <xf numFmtId="0" fontId="37" fillId="0" borderId="0" xfId="0" applyFont="1" applyAlignment="1">
      <alignment vertical="center" wrapText="1"/>
    </xf>
    <xf numFmtId="0" fontId="39" fillId="0" borderId="0" xfId="0" applyFont="1" applyAlignment="1">
      <alignment horizontal="left" vertical="top" wrapText="1"/>
    </xf>
    <xf numFmtId="0" fontId="40" fillId="0" borderId="0" xfId="0" applyFont="1" applyAlignment="1">
      <alignment horizontal="left" vertical="center"/>
    </xf>
    <xf numFmtId="0" fontId="39" fillId="0" borderId="0" xfId="0" applyFont="1" applyAlignment="1">
      <alignment horizontal="left" vertical="top"/>
    </xf>
    <xf numFmtId="169" fontId="0" fillId="0" borderId="0" xfId="0" applyNumberFormat="1"/>
    <xf numFmtId="0" fontId="8" fillId="0" borderId="0" xfId="0" applyFont="1"/>
    <xf numFmtId="0" fontId="41" fillId="7" borderId="2" xfId="0" applyFont="1" applyFill="1" applyBorder="1"/>
    <xf numFmtId="169" fontId="16" fillId="9" borderId="0" xfId="0" applyNumberFormat="1" applyFont="1" applyFill="1" applyAlignment="1">
      <alignment vertical="center"/>
    </xf>
    <xf numFmtId="0" fontId="12" fillId="10" borderId="0" xfId="0" applyFont="1" applyFill="1"/>
    <xf numFmtId="0" fontId="39" fillId="10" borderId="0" xfId="0" applyFont="1" applyFill="1" applyAlignment="1">
      <alignment horizontal="left" vertical="top" wrapText="1"/>
    </xf>
    <xf numFmtId="0" fontId="13" fillId="10" borderId="0" xfId="0" applyFont="1" applyFill="1"/>
    <xf numFmtId="0" fontId="37" fillId="10" borderId="0" xfId="0" applyFont="1" applyFill="1"/>
    <xf numFmtId="0" fontId="38" fillId="10" borderId="0" xfId="0" applyFont="1" applyFill="1"/>
    <xf numFmtId="0" fontId="42" fillId="9" borderId="0" xfId="0" applyFont="1" applyFill="1"/>
    <xf numFmtId="0" fontId="16" fillId="9" borderId="0" xfId="0" applyFont="1" applyFill="1"/>
    <xf numFmtId="169" fontId="16" fillId="9" borderId="0" xfId="0" applyNumberFormat="1" applyFont="1" applyFill="1"/>
    <xf numFmtId="168" fontId="0" fillId="0" borderId="0" xfId="0" applyNumberFormat="1"/>
    <xf numFmtId="168" fontId="16" fillId="9" borderId="0" xfId="0" applyNumberFormat="1" applyFont="1" applyFill="1"/>
    <xf numFmtId="14" fontId="16" fillId="9" borderId="0" xfId="0" applyNumberFormat="1" applyFont="1" applyFill="1"/>
    <xf numFmtId="0" fontId="1" fillId="11" borderId="0" xfId="0" applyFont="1" applyFill="1"/>
    <xf numFmtId="0" fontId="1" fillId="9" borderId="0" xfId="0" applyFont="1" applyFill="1"/>
    <xf numFmtId="0" fontId="12" fillId="9" borderId="0" xfId="0" applyFont="1" applyFill="1"/>
    <xf numFmtId="0" fontId="4" fillId="0" borderId="0" xfId="0" applyFont="1" applyAlignment="1">
      <alignment horizontal="left"/>
    </xf>
    <xf numFmtId="0" fontId="14" fillId="0" borderId="0" xfId="0" applyFont="1" applyAlignment="1">
      <alignment horizontal="right"/>
    </xf>
    <xf numFmtId="0" fontId="43" fillId="0" borderId="0" xfId="0" applyFont="1"/>
    <xf numFmtId="0" fontId="4" fillId="0" borderId="0" xfId="0" pivotButton="1" applyFont="1"/>
    <xf numFmtId="165" fontId="4" fillId="0" borderId="0" xfId="0" applyNumberFormat="1" applyFont="1"/>
    <xf numFmtId="0" fontId="4" fillId="0" borderId="0" xfId="0" applyFont="1" applyAlignment="1">
      <alignment horizontal="right" vertical="center"/>
    </xf>
    <xf numFmtId="165" fontId="4" fillId="0" borderId="0" xfId="0" applyNumberFormat="1" applyFont="1" applyAlignment="1">
      <alignment horizontal="right" vertical="center"/>
    </xf>
    <xf numFmtId="0" fontId="4" fillId="0" borderId="0" xfId="0" applyFont="1" applyAlignment="1">
      <alignment horizontal="center" vertical="center"/>
    </xf>
    <xf numFmtId="0" fontId="1" fillId="7" borderId="6" xfId="0" applyFont="1" applyFill="1" applyBorder="1"/>
    <xf numFmtId="0" fontId="1" fillId="7" borderId="7" xfId="0" applyFont="1" applyFill="1" applyBorder="1"/>
    <xf numFmtId="0" fontId="1" fillId="7" borderId="3" xfId="0" applyFont="1" applyFill="1" applyBorder="1"/>
    <xf numFmtId="0" fontId="0" fillId="12" borderId="0" xfId="0" applyFill="1"/>
    <xf numFmtId="0" fontId="1" fillId="13" borderId="3" xfId="0" applyFont="1" applyFill="1" applyBorder="1"/>
    <xf numFmtId="171" fontId="0" fillId="12" borderId="0" xfId="0" applyNumberFormat="1" applyFill="1" applyAlignment="1">
      <alignment horizontal="left"/>
    </xf>
    <xf numFmtId="172" fontId="0" fillId="12" borderId="0" xfId="0" applyNumberFormat="1" applyFill="1" applyAlignment="1">
      <alignment horizontal="left"/>
    </xf>
    <xf numFmtId="170" fontId="0" fillId="0" borderId="0" xfId="0" applyNumberFormat="1"/>
    <xf numFmtId="0" fontId="4" fillId="0" borderId="0" xfId="0" applyFont="1" applyAlignment="1">
      <alignment shrinkToFit="1"/>
    </xf>
    <xf numFmtId="173" fontId="0" fillId="12" borderId="0" xfId="0" applyNumberFormat="1" applyFill="1" applyAlignment="1">
      <alignment horizontal="left"/>
    </xf>
    <xf numFmtId="165" fontId="4" fillId="0" borderId="0" xfId="1" applyNumberFormat="1" applyFont="1"/>
    <xf numFmtId="44" fontId="16" fillId="0" borderId="0" xfId="1" applyFont="1"/>
    <xf numFmtId="0" fontId="0" fillId="15" borderId="0" xfId="0" applyFill="1"/>
    <xf numFmtId="0" fontId="0" fillId="12" borderId="0" xfId="0" applyFill="1" applyAlignment="1">
      <alignment horizontal="left"/>
    </xf>
    <xf numFmtId="0" fontId="46" fillId="14" borderId="0" xfId="0" applyFont="1" applyFill="1" applyAlignment="1">
      <alignment wrapText="1"/>
    </xf>
    <xf numFmtId="164" fontId="46" fillId="14" borderId="0" xfId="0" applyNumberFormat="1" applyFont="1" applyFill="1" applyAlignment="1">
      <alignment wrapText="1"/>
    </xf>
    <xf numFmtId="0" fontId="30" fillId="0" borderId="0" xfId="3"/>
    <xf numFmtId="0" fontId="48" fillId="0" borderId="0" xfId="0" applyFont="1" applyAlignment="1">
      <alignment vertical="center"/>
    </xf>
    <xf numFmtId="0" fontId="1" fillId="8" borderId="1" xfId="0" applyFont="1" applyFill="1" applyBorder="1" applyAlignment="1">
      <alignment horizontal="left" vertical="center"/>
    </xf>
    <xf numFmtId="0" fontId="0" fillId="3" borderId="1" xfId="0" applyFill="1" applyBorder="1"/>
    <xf numFmtId="0" fontId="0" fillId="3" borderId="1" xfId="0" applyFill="1" applyBorder="1" applyAlignment="1">
      <alignment horizontal="left"/>
    </xf>
    <xf numFmtId="0" fontId="26" fillId="3" borderId="1" xfId="2" applyFill="1" applyBorder="1"/>
    <xf numFmtId="0" fontId="0" fillId="0" borderId="0" xfId="1" applyNumberFormat="1" applyFont="1"/>
    <xf numFmtId="0" fontId="47" fillId="0" borderId="0" xfId="0" applyFont="1" applyAlignment="1">
      <alignment horizontal="left" vertical="center" wrapText="1"/>
    </xf>
    <xf numFmtId="0" fontId="6" fillId="0" borderId="0" xfId="0" applyFont="1" applyAlignment="1">
      <alignment horizontal="left" vertical="center"/>
    </xf>
    <xf numFmtId="0" fontId="6" fillId="0" borderId="5" xfId="0" applyFont="1" applyBorder="1" applyAlignment="1">
      <alignment horizontal="left" vertical="center"/>
    </xf>
    <xf numFmtId="0" fontId="16" fillId="18" borderId="0" xfId="0" applyFont="1" applyFill="1"/>
    <xf numFmtId="0" fontId="45" fillId="17" borderId="0" xfId="0" applyFont="1" applyFill="1"/>
    <xf numFmtId="0" fontId="14" fillId="2" borderId="0" xfId="0" applyFont="1" applyFill="1" applyAlignment="1">
      <alignment horizontal="right"/>
    </xf>
    <xf numFmtId="0" fontId="46" fillId="9" borderId="0" xfId="0" applyFont="1" applyFill="1" applyAlignment="1">
      <alignment wrapText="1"/>
    </xf>
    <xf numFmtId="164" fontId="46" fillId="9" borderId="0" xfId="0" applyNumberFormat="1" applyFont="1" applyFill="1" applyAlignment="1">
      <alignment wrapText="1"/>
    </xf>
    <xf numFmtId="0" fontId="16" fillId="18" borderId="0" xfId="0" applyFont="1" applyFill="1" applyAlignment="1">
      <alignment horizontal="center"/>
    </xf>
    <xf numFmtId="0" fontId="45" fillId="17" borderId="0" xfId="0" applyFont="1" applyFill="1" applyAlignment="1">
      <alignment horizontal="center"/>
    </xf>
    <xf numFmtId="0" fontId="51" fillId="0" borderId="0" xfId="0" applyFont="1"/>
    <xf numFmtId="0" fontId="16" fillId="3" borderId="0" xfId="0" applyFont="1" applyFill="1" applyAlignment="1">
      <alignment horizontal="center" vertical="center"/>
    </xf>
    <xf numFmtId="0" fontId="0" fillId="19" borderId="0" xfId="0" applyFill="1"/>
    <xf numFmtId="0" fontId="45" fillId="0" borderId="0" xfId="0" applyFont="1"/>
    <xf numFmtId="164" fontId="0" fillId="0" borderId="0" xfId="0" applyNumberFormat="1"/>
    <xf numFmtId="165" fontId="0" fillId="0" borderId="0" xfId="1" applyNumberFormat="1" applyFont="1"/>
    <xf numFmtId="0" fontId="0" fillId="0" borderId="0" xfId="0" applyAlignment="1">
      <alignment horizontal="right"/>
    </xf>
    <xf numFmtId="1" fontId="0" fillId="12" borderId="0" xfId="0" applyNumberFormat="1" applyFill="1" applyAlignment="1">
      <alignment horizontal="left"/>
    </xf>
    <xf numFmtId="0" fontId="1" fillId="20" borderId="0" xfId="0" applyFont="1" applyFill="1"/>
    <xf numFmtId="0" fontId="38" fillId="21" borderId="0" xfId="0" applyFont="1" applyFill="1" applyAlignment="1">
      <alignment horizontal="center" vertical="center"/>
    </xf>
    <xf numFmtId="0" fontId="54" fillId="30" borderId="0" xfId="0" applyFont="1" applyFill="1" applyAlignment="1">
      <alignment horizontal="center" vertical="center"/>
    </xf>
    <xf numFmtId="0" fontId="54" fillId="24" borderId="11" xfId="0" applyFont="1" applyFill="1" applyBorder="1" applyAlignment="1">
      <alignment horizontal="center"/>
    </xf>
    <xf numFmtId="0" fontId="54" fillId="24" borderId="0" xfId="0" applyFont="1" applyFill="1" applyAlignment="1">
      <alignment horizontal="center"/>
    </xf>
    <xf numFmtId="0" fontId="54" fillId="24" borderId="10" xfId="0" applyFont="1" applyFill="1" applyBorder="1" applyAlignment="1">
      <alignment horizontal="center"/>
    </xf>
    <xf numFmtId="44" fontId="8" fillId="0" borderId="19" xfId="0" applyNumberFormat="1" applyFont="1" applyBorder="1"/>
    <xf numFmtId="0" fontId="8" fillId="0" borderId="19" xfId="0" applyFont="1" applyBorder="1" applyAlignment="1">
      <alignment horizontal="left"/>
    </xf>
    <xf numFmtId="44" fontId="8" fillId="0" borderId="19" xfId="1" applyFont="1" applyBorder="1"/>
    <xf numFmtId="0" fontId="38" fillId="27" borderId="0" xfId="0" applyFont="1" applyFill="1" applyAlignment="1">
      <alignment horizontal="center" vertical="center"/>
    </xf>
    <xf numFmtId="2" fontId="0" fillId="12" borderId="0" xfId="0" applyNumberFormat="1" applyFill="1" applyAlignment="1">
      <alignment horizontal="left"/>
    </xf>
    <xf numFmtId="0" fontId="4" fillId="0" borderId="0" xfId="0" applyFont="1" applyAlignment="1">
      <alignment vertical="justify" wrapText="1" readingOrder="1"/>
    </xf>
    <xf numFmtId="44" fontId="8" fillId="0" borderId="0" xfId="1" applyFont="1"/>
    <xf numFmtId="0" fontId="36" fillId="0" borderId="0" xfId="0" applyFont="1" applyAlignment="1">
      <alignment horizontal="center"/>
    </xf>
    <xf numFmtId="0" fontId="36" fillId="0" borderId="0" xfId="0" applyFont="1"/>
    <xf numFmtId="0" fontId="36" fillId="42" borderId="0" xfId="0" applyFont="1" applyFill="1" applyAlignment="1">
      <alignment horizontal="center"/>
    </xf>
    <xf numFmtId="0" fontId="36" fillId="43" borderId="0" xfId="0" applyFont="1" applyFill="1" applyAlignment="1">
      <alignment horizontal="center"/>
    </xf>
    <xf numFmtId="0" fontId="36" fillId="44" borderId="0" xfId="0" applyFont="1" applyFill="1" applyAlignment="1">
      <alignment horizontal="center"/>
    </xf>
    <xf numFmtId="44" fontId="36" fillId="0" borderId="0" xfId="1" applyFont="1"/>
    <xf numFmtId="0" fontId="36" fillId="0" borderId="0" xfId="0" applyFont="1" applyAlignment="1">
      <alignment horizontal="left"/>
    </xf>
    <xf numFmtId="174" fontId="36" fillId="0" borderId="0" xfId="0" applyNumberFormat="1" applyFont="1"/>
    <xf numFmtId="0" fontId="8" fillId="41" borderId="0" xfId="0" applyFont="1" applyFill="1" applyAlignment="1">
      <alignment horizontal="center"/>
    </xf>
    <xf numFmtId="0" fontId="36" fillId="45" borderId="0" xfId="0" applyFont="1" applyFill="1" applyAlignment="1">
      <alignment horizontal="center"/>
    </xf>
    <xf numFmtId="2" fontId="36" fillId="0" borderId="0" xfId="0" applyNumberFormat="1" applyFont="1" applyAlignment="1">
      <alignment horizontal="center"/>
    </xf>
    <xf numFmtId="0" fontId="36" fillId="0" borderId="0" xfId="0" applyFont="1" applyAlignment="1">
      <alignment horizontal="center" vertical="center"/>
    </xf>
    <xf numFmtId="165" fontId="36" fillId="0" borderId="0" xfId="0" applyNumberFormat="1" applyFont="1"/>
    <xf numFmtId="44" fontId="36" fillId="46" borderId="0" xfId="1" applyFont="1" applyFill="1"/>
    <xf numFmtId="0" fontId="36" fillId="41" borderId="0" xfId="0" applyFont="1" applyFill="1" applyAlignment="1">
      <alignment horizontal="center" vertical="center"/>
    </xf>
    <xf numFmtId="165" fontId="36" fillId="0" borderId="0" xfId="0" applyNumberFormat="1" applyFont="1" applyAlignment="1">
      <alignment horizontal="left" vertical="center"/>
    </xf>
    <xf numFmtId="44" fontId="52" fillId="0" borderId="0" xfId="1" applyFont="1" applyAlignment="1">
      <alignment horizontal="center"/>
    </xf>
    <xf numFmtId="0" fontId="8" fillId="0" borderId="0" xfId="0" applyFont="1" applyAlignment="1">
      <alignment horizontal="center" vertical="center"/>
    </xf>
    <xf numFmtId="44" fontId="8" fillId="0" borderId="0" xfId="1" applyFont="1" applyBorder="1"/>
    <xf numFmtId="0" fontId="36" fillId="47" borderId="0" xfId="0" applyFont="1" applyFill="1" applyAlignment="1">
      <alignment horizontal="center"/>
    </xf>
    <xf numFmtId="0" fontId="8" fillId="48" borderId="0" xfId="0" applyFont="1" applyFill="1"/>
    <xf numFmtId="0" fontId="0" fillId="15" borderId="0" xfId="0" applyFill="1" applyAlignment="1">
      <alignment horizontal="center"/>
    </xf>
    <xf numFmtId="0" fontId="36" fillId="15" borderId="0" xfId="0" applyFont="1" applyFill="1" applyAlignment="1">
      <alignment horizontal="center" vertical="center"/>
    </xf>
    <xf numFmtId="0" fontId="36" fillId="15" borderId="0" xfId="0" applyFont="1" applyFill="1" applyAlignment="1">
      <alignment horizontal="center"/>
    </xf>
    <xf numFmtId="165" fontId="36" fillId="41" borderId="0" xfId="0" applyNumberFormat="1" applyFont="1" applyFill="1" applyAlignment="1">
      <alignment vertical="center"/>
    </xf>
    <xf numFmtId="0" fontId="36" fillId="41" borderId="0" xfId="0" applyFont="1" applyFill="1" applyAlignment="1">
      <alignment vertical="center"/>
    </xf>
    <xf numFmtId="0" fontId="8" fillId="41" borderId="0" xfId="0" applyFont="1" applyFill="1"/>
    <xf numFmtId="44" fontId="55" fillId="0" borderId="0" xfId="0" applyNumberFormat="1" applyFont="1"/>
    <xf numFmtId="14" fontId="0" fillId="0" borderId="0" xfId="0" applyNumberFormat="1"/>
    <xf numFmtId="0" fontId="8" fillId="37" borderId="0" xfId="0" applyFont="1" applyFill="1" applyAlignment="1">
      <alignment horizontal="center"/>
    </xf>
    <xf numFmtId="0" fontId="8" fillId="37" borderId="0" xfId="0" applyFont="1" applyFill="1"/>
    <xf numFmtId="0" fontId="8" fillId="55" borderId="0" xfId="0" applyFont="1" applyFill="1"/>
    <xf numFmtId="0" fontId="0" fillId="55" borderId="0" xfId="0" applyFill="1"/>
    <xf numFmtId="0" fontId="2" fillId="55" borderId="0" xfId="5" applyFill="1" applyAlignment="1">
      <alignment horizontal="center"/>
    </xf>
    <xf numFmtId="0" fontId="0" fillId="55" borderId="0" xfId="0" applyFill="1" applyAlignment="1">
      <alignment horizontal="right"/>
    </xf>
    <xf numFmtId="0" fontId="0" fillId="55" borderId="0" xfId="0" applyFill="1" applyAlignment="1">
      <alignment horizontal="right" vertical="center"/>
    </xf>
    <xf numFmtId="44" fontId="0" fillId="0" borderId="0" xfId="1" applyFont="1" applyAlignment="1">
      <alignment horizontal="center"/>
    </xf>
    <xf numFmtId="0" fontId="12" fillId="0" borderId="0" xfId="0" applyFont="1" applyAlignment="1">
      <alignment horizontal="center" vertical="center"/>
    </xf>
    <xf numFmtId="44" fontId="16" fillId="0" borderId="0" xfId="0" applyNumberFormat="1" applyFont="1"/>
    <xf numFmtId="0" fontId="12" fillId="0" borderId="21" xfId="0" applyFont="1" applyBorder="1" applyAlignment="1">
      <alignment horizontal="center" vertical="center"/>
    </xf>
    <xf numFmtId="0" fontId="0" fillId="0" borderId="21" xfId="0" applyBorder="1" applyAlignment="1">
      <alignment horizontal="center"/>
    </xf>
    <xf numFmtId="0" fontId="0" fillId="0" borderId="21" xfId="0" applyBorder="1"/>
    <xf numFmtId="44" fontId="0" fillId="0" borderId="21" xfId="1" applyFont="1" applyBorder="1"/>
    <xf numFmtId="44" fontId="0" fillId="0" borderId="21" xfId="0" applyNumberFormat="1" applyBorder="1"/>
    <xf numFmtId="0" fontId="12" fillId="0" borderId="21" xfId="0" applyFont="1" applyBorder="1"/>
    <xf numFmtId="44" fontId="12" fillId="0" borderId="21" xfId="0" applyNumberFormat="1" applyFont="1" applyBorder="1"/>
    <xf numFmtId="0" fontId="8" fillId="0" borderId="21" xfId="0" applyFont="1" applyBorder="1"/>
    <xf numFmtId="44" fontId="12" fillId="0" borderId="21" xfId="1" applyFont="1" applyBorder="1"/>
    <xf numFmtId="0" fontId="0" fillId="0" borderId="21" xfId="0" applyBorder="1" applyAlignment="1">
      <alignment horizontal="center" vertical="center"/>
    </xf>
    <xf numFmtId="44" fontId="12" fillId="0" borderId="21" xfId="1" applyFont="1" applyBorder="1" applyAlignment="1">
      <alignment horizontal="center"/>
    </xf>
    <xf numFmtId="0" fontId="12" fillId="0" borderId="21" xfId="0" applyFont="1" applyBorder="1" applyAlignment="1">
      <alignment horizontal="center"/>
    </xf>
    <xf numFmtId="0" fontId="0" fillId="0" borderId="22" xfId="0" applyBorder="1"/>
    <xf numFmtId="44" fontId="12" fillId="0" borderId="21" xfId="0" applyNumberFormat="1" applyFont="1" applyBorder="1" applyAlignment="1">
      <alignment horizontal="center"/>
    </xf>
    <xf numFmtId="0" fontId="0" fillId="57" borderId="0" xfId="0" applyFill="1" applyAlignment="1">
      <alignment horizontal="center" vertical="center"/>
    </xf>
    <xf numFmtId="0" fontId="56" fillId="0" borderId="0" xfId="0" applyFont="1"/>
    <xf numFmtId="0" fontId="56" fillId="0" borderId="0" xfId="0" applyFont="1" applyAlignment="1">
      <alignment horizontal="left" vertical="center"/>
    </xf>
    <xf numFmtId="0" fontId="57" fillId="0" borderId="0" xfId="0" applyFont="1"/>
    <xf numFmtId="0" fontId="4" fillId="0" borderId="0" xfId="0" applyFont="1" applyAlignment="1">
      <alignment horizontal="justify"/>
    </xf>
    <xf numFmtId="0" fontId="56" fillId="0" borderId="0" xfId="0" applyFont="1" applyAlignment="1">
      <alignment horizontal="left" vertical="top"/>
    </xf>
    <xf numFmtId="0" fontId="58" fillId="0" borderId="0" xfId="0" applyFont="1"/>
    <xf numFmtId="0" fontId="56" fillId="0" borderId="0" xfId="0" applyFont="1" applyAlignment="1">
      <alignment vertical="center"/>
    </xf>
    <xf numFmtId="0" fontId="59" fillId="0" borderId="0" xfId="0" applyFont="1" applyAlignment="1">
      <alignment horizontal="left" vertical="top"/>
    </xf>
    <xf numFmtId="0" fontId="0" fillId="40" borderId="0" xfId="0" applyFill="1"/>
    <xf numFmtId="175" fontId="0" fillId="0" borderId="0" xfId="0" applyNumberFormat="1"/>
    <xf numFmtId="0" fontId="64" fillId="0" borderId="1" xfId="0" applyFont="1" applyBorder="1" applyAlignment="1">
      <alignment horizontal="center" vertical="center" wrapText="1"/>
    </xf>
    <xf numFmtId="0" fontId="64" fillId="0" borderId="1" xfId="0" applyFont="1" applyBorder="1" applyAlignment="1">
      <alignment horizontal="left" vertical="center" wrapText="1" indent="2"/>
    </xf>
    <xf numFmtId="0" fontId="64" fillId="0" borderId="1" xfId="0" applyFont="1" applyBorder="1" applyAlignment="1">
      <alignment horizontal="left" vertical="center" wrapText="1" indent="3"/>
    </xf>
    <xf numFmtId="0" fontId="0" fillId="0" borderId="1" xfId="0" applyBorder="1"/>
    <xf numFmtId="0" fontId="0" fillId="0" borderId="23" xfId="0" applyBorder="1"/>
    <xf numFmtId="0" fontId="0" fillId="0" borderId="24" xfId="0" applyBorder="1"/>
    <xf numFmtId="0" fontId="0" fillId="0" borderId="25" xfId="0" applyBorder="1"/>
    <xf numFmtId="44" fontId="0" fillId="0" borderId="1" xfId="1" applyFont="1" applyBorder="1"/>
    <xf numFmtId="44" fontId="12" fillId="0" borderId="0" xfId="1" applyFont="1" applyBorder="1"/>
    <xf numFmtId="44" fontId="12" fillId="55" borderId="0" xfId="1" applyFont="1" applyFill="1" applyBorder="1"/>
    <xf numFmtId="0" fontId="36" fillId="55" borderId="0" xfId="0" applyFont="1" applyFill="1" applyAlignment="1">
      <alignment horizontal="center" vertical="center"/>
    </xf>
    <xf numFmtId="44" fontId="2" fillId="0" borderId="0" xfId="1" applyFont="1" applyBorder="1"/>
    <xf numFmtId="44" fontId="12" fillId="0" borderId="0" xfId="0" applyNumberFormat="1" applyFont="1"/>
    <xf numFmtId="1" fontId="0" fillId="0" borderId="0" xfId="0" applyNumberFormat="1"/>
    <xf numFmtId="171" fontId="0" fillId="0" borderId="0" xfId="0" applyNumberFormat="1"/>
    <xf numFmtId="0" fontId="36" fillId="57" borderId="0" xfId="0" applyFont="1" applyFill="1" applyAlignment="1">
      <alignment horizontal="center"/>
    </xf>
    <xf numFmtId="2" fontId="0" fillId="0" borderId="0" xfId="0" applyNumberFormat="1"/>
    <xf numFmtId="0" fontId="1" fillId="0" borderId="0" xfId="0" applyFont="1"/>
    <xf numFmtId="0" fontId="1" fillId="0" borderId="27" xfId="0" applyFont="1" applyBorder="1" applyAlignment="1">
      <alignment horizontal="left" vertical="center"/>
    </xf>
    <xf numFmtId="0" fontId="1" fillId="0" borderId="0" xfId="0" applyFont="1" applyAlignment="1">
      <alignment horizontal="left" vertical="center"/>
    </xf>
    <xf numFmtId="0" fontId="0" fillId="57" borderId="0" xfId="0" applyFill="1"/>
    <xf numFmtId="0" fontId="0" fillId="0" borderId="0" xfId="0" applyAlignment="1">
      <alignment horizontal="left" vertical="center" wrapText="1"/>
    </xf>
    <xf numFmtId="0" fontId="1" fillId="8" borderId="0" xfId="0" applyFont="1" applyFill="1" applyAlignment="1">
      <alignment horizontal="center"/>
    </xf>
    <xf numFmtId="14" fontId="0" fillId="0" borderId="0" xfId="1" applyNumberFormat="1" applyFont="1"/>
    <xf numFmtId="0" fontId="1" fillId="0" borderId="0" xfId="0" applyFont="1" applyAlignment="1">
      <alignment horizontal="center"/>
    </xf>
    <xf numFmtId="176" fontId="0" fillId="0" borderId="0" xfId="0" applyNumberFormat="1"/>
    <xf numFmtId="177" fontId="0" fillId="0" borderId="0" xfId="0" applyNumberFormat="1" applyAlignment="1">
      <alignment horizontal="left"/>
    </xf>
    <xf numFmtId="0" fontId="8" fillId="0" borderId="19" xfId="0" applyFont="1" applyBorder="1" applyAlignment="1">
      <alignment horizontal="center"/>
    </xf>
    <xf numFmtId="0" fontId="1" fillId="0" borderId="0" xfId="0" applyFont="1" applyAlignment="1">
      <alignment horizontal="center" vertical="center"/>
    </xf>
    <xf numFmtId="44" fontId="1" fillId="0" borderId="0" xfId="1" applyFont="1" applyFill="1" applyBorder="1" applyAlignment="1">
      <alignment horizontal="center"/>
    </xf>
    <xf numFmtId="14" fontId="1" fillId="0" borderId="0" xfId="0" applyNumberFormat="1" applyFont="1" applyAlignment="1">
      <alignment horizontal="center"/>
    </xf>
    <xf numFmtId="44" fontId="16" fillId="0" borderId="0" xfId="1" applyFont="1" applyFill="1" applyBorder="1"/>
    <xf numFmtId="0" fontId="12" fillId="58" borderId="1" xfId="0" applyFont="1" applyFill="1" applyBorder="1" applyAlignment="1">
      <alignment horizontal="center"/>
    </xf>
    <xf numFmtId="0" fontId="12" fillId="58" borderId="1" xfId="0" applyFont="1" applyFill="1" applyBorder="1" applyAlignment="1">
      <alignment horizontal="center" vertical="center"/>
    </xf>
    <xf numFmtId="44" fontId="12" fillId="58" borderId="1" xfId="1" applyFont="1" applyFill="1" applyBorder="1" applyAlignment="1">
      <alignment horizontal="center"/>
    </xf>
    <xf numFmtId="0" fontId="1" fillId="0" borderId="1" xfId="0" applyFont="1" applyBorder="1" applyAlignment="1">
      <alignment horizontal="center" vertical="center" wrapText="1"/>
    </xf>
    <xf numFmtId="0" fontId="1" fillId="0" borderId="23" xfId="0" applyFont="1" applyBorder="1" applyAlignment="1">
      <alignment horizontal="center" vertical="center" wrapText="1"/>
    </xf>
    <xf numFmtId="0" fontId="1" fillId="0" borderId="0" xfId="0" applyFont="1" applyAlignment="1">
      <alignment horizontal="center" vertical="center" wrapText="1"/>
    </xf>
    <xf numFmtId="0" fontId="1" fillId="8" borderId="28" xfId="0" applyFont="1" applyFill="1" applyBorder="1" applyAlignment="1">
      <alignment horizontal="center" vertical="center" wrapText="1"/>
    </xf>
    <xf numFmtId="44" fontId="1" fillId="8" borderId="28" xfId="1" applyFont="1" applyFill="1" applyBorder="1" applyAlignment="1">
      <alignment horizontal="center" vertical="center" wrapText="1"/>
    </xf>
    <xf numFmtId="0" fontId="4" fillId="0" borderId="0" xfId="0" applyFont="1" applyAlignment="1">
      <alignment horizontal="left" vertical="center"/>
    </xf>
    <xf numFmtId="0" fontId="14" fillId="0" borderId="0" xfId="0" applyFont="1" applyAlignment="1">
      <alignment horizontal="left" vertical="center" indent="9"/>
    </xf>
    <xf numFmtId="0" fontId="65" fillId="0" borderId="0" xfId="0" applyFont="1" applyAlignment="1">
      <alignment horizontal="left" indent="1"/>
    </xf>
    <xf numFmtId="0" fontId="30" fillId="0" borderId="0" xfId="3" applyAlignment="1">
      <alignment horizontal="center"/>
    </xf>
    <xf numFmtId="0" fontId="63" fillId="0" borderId="1" xfId="0" applyFont="1" applyBorder="1" applyAlignment="1">
      <alignment vertical="center"/>
    </xf>
    <xf numFmtId="0" fontId="63" fillId="0" borderId="1" xfId="0" applyFont="1" applyBorder="1" applyAlignment="1">
      <alignment horizontal="center" vertical="center"/>
    </xf>
    <xf numFmtId="0" fontId="63" fillId="0" borderId="1" xfId="0" applyFont="1" applyBorder="1" applyAlignment="1">
      <alignment horizontal="center" vertical="top"/>
    </xf>
    <xf numFmtId="0" fontId="4" fillId="0" borderId="5" xfId="0" applyFont="1" applyBorder="1"/>
    <xf numFmtId="0" fontId="45" fillId="0" borderId="0" xfId="0" applyFont="1" applyAlignment="1">
      <alignment horizontal="justify"/>
    </xf>
    <xf numFmtId="0" fontId="4" fillId="0" borderId="5" xfId="0" applyFont="1" applyBorder="1" applyAlignment="1">
      <alignment horizontal="left" vertical="center"/>
    </xf>
    <xf numFmtId="0" fontId="56" fillId="0" borderId="0" xfId="0" applyFont="1" applyAlignment="1">
      <alignment horizontal="justify" vertical="top" wrapText="1"/>
    </xf>
    <xf numFmtId="0" fontId="45" fillId="0" borderId="1" xfId="0" applyFont="1" applyBorder="1"/>
    <xf numFmtId="0" fontId="4" fillId="0" borderId="1" xfId="0" applyFont="1" applyBorder="1"/>
    <xf numFmtId="177" fontId="0" fillId="0" borderId="0" xfId="0" applyNumberFormat="1" applyAlignment="1">
      <alignment horizontal="left" vertical="center"/>
    </xf>
    <xf numFmtId="0" fontId="16" fillId="59" borderId="0" xfId="0" applyFont="1" applyFill="1" applyAlignment="1">
      <alignment horizontal="right"/>
    </xf>
    <xf numFmtId="0" fontId="8" fillId="0" borderId="29" xfId="0" applyFont="1" applyBorder="1"/>
    <xf numFmtId="0" fontId="8" fillId="0" borderId="26" xfId="0" applyFont="1" applyBorder="1"/>
    <xf numFmtId="0" fontId="38" fillId="0" borderId="26" xfId="0" applyFont="1" applyBorder="1"/>
    <xf numFmtId="0" fontId="8" fillId="0" borderId="26" xfId="0" applyFont="1" applyBorder="1" applyAlignment="1">
      <alignment horizontal="right"/>
    </xf>
    <xf numFmtId="0" fontId="38" fillId="0" borderId="30" xfId="0" applyFont="1" applyBorder="1"/>
    <xf numFmtId="0" fontId="8" fillId="0" borderId="32" xfId="0" applyFont="1" applyBorder="1"/>
    <xf numFmtId="0" fontId="8" fillId="0" borderId="5" xfId="0" applyFont="1" applyBorder="1" applyAlignment="1">
      <alignment horizontal="right"/>
    </xf>
    <xf numFmtId="0" fontId="38" fillId="0" borderId="5" xfId="0" applyFont="1" applyBorder="1"/>
    <xf numFmtId="0" fontId="8" fillId="0" borderId="5" xfId="0" applyFont="1" applyBorder="1"/>
    <xf numFmtId="0" fontId="38" fillId="0" borderId="5" xfId="0" applyFont="1" applyBorder="1" applyAlignment="1">
      <alignment horizontal="left"/>
    </xf>
    <xf numFmtId="0" fontId="8" fillId="0" borderId="33" xfId="0" applyFont="1" applyBorder="1"/>
    <xf numFmtId="0" fontId="8" fillId="0" borderId="24" xfId="0" applyFont="1" applyBorder="1" applyAlignment="1">
      <alignment horizontal="left" vertical="top"/>
    </xf>
    <xf numFmtId="0" fontId="41" fillId="0" borderId="25" xfId="0" applyFont="1" applyBorder="1"/>
    <xf numFmtId="0" fontId="8" fillId="0" borderId="24" xfId="0" applyFont="1" applyBorder="1"/>
    <xf numFmtId="0" fontId="8" fillId="0" borderId="25" xfId="0" applyFont="1" applyBorder="1"/>
    <xf numFmtId="0" fontId="8" fillId="0" borderId="26" xfId="0" applyFont="1" applyBorder="1" applyAlignment="1">
      <alignment vertical="top" wrapText="1"/>
    </xf>
    <xf numFmtId="0" fontId="8" fillId="0" borderId="30" xfId="0" applyFont="1" applyBorder="1" applyAlignment="1">
      <alignment vertical="top" wrapText="1"/>
    </xf>
    <xf numFmtId="0" fontId="8" fillId="0" borderId="27" xfId="0" applyFont="1" applyBorder="1"/>
    <xf numFmtId="0" fontId="8" fillId="0" borderId="0" xfId="0" applyFont="1" applyAlignment="1">
      <alignment vertical="top" wrapText="1"/>
    </xf>
    <xf numFmtId="0" fontId="8" fillId="0" borderId="31" xfId="0" applyFont="1" applyBorder="1" applyAlignment="1">
      <alignment vertical="top" wrapText="1"/>
    </xf>
    <xf numFmtId="0" fontId="8" fillId="0" borderId="31" xfId="0" applyFont="1" applyBorder="1"/>
    <xf numFmtId="0" fontId="8" fillId="0" borderId="5" xfId="0" applyFont="1" applyBorder="1" applyAlignment="1">
      <alignment vertical="top"/>
    </xf>
    <xf numFmtId="0" fontId="8" fillId="0" borderId="23" xfId="0" applyFont="1" applyBorder="1"/>
    <xf numFmtId="0" fontId="8" fillId="0" borderId="1" xfId="0" applyFont="1" applyBorder="1"/>
    <xf numFmtId="179" fontId="8" fillId="0" borderId="24" xfId="0" applyNumberFormat="1" applyFont="1" applyBorder="1" applyAlignment="1">
      <alignment horizontal="center" vertical="center"/>
    </xf>
    <xf numFmtId="0" fontId="41" fillId="0" borderId="24" xfId="0" applyFont="1" applyBorder="1"/>
    <xf numFmtId="0" fontId="41" fillId="0" borderId="24" xfId="0" applyFont="1" applyBorder="1" applyAlignment="1">
      <alignment vertical="top"/>
    </xf>
    <xf numFmtId="0" fontId="38" fillId="0" borderId="23" xfId="0" applyFont="1" applyBorder="1"/>
    <xf numFmtId="0" fontId="8" fillId="0" borderId="33" xfId="0" applyFont="1" applyBorder="1" applyAlignment="1">
      <alignment vertical="top" wrapText="1"/>
    </xf>
    <xf numFmtId="0" fontId="41" fillId="0" borderId="5" xfId="0" applyFont="1" applyBorder="1" applyAlignment="1">
      <alignment vertical="top" wrapText="1"/>
    </xf>
    <xf numFmtId="0" fontId="38" fillId="0" borderId="32" xfId="0" applyFont="1" applyBorder="1" applyAlignment="1">
      <alignment vertical="top"/>
    </xf>
    <xf numFmtId="0" fontId="38" fillId="0" borderId="29" xfId="0" applyFont="1" applyBorder="1"/>
    <xf numFmtId="180" fontId="0" fillId="0" borderId="0" xfId="0" applyNumberFormat="1"/>
    <xf numFmtId="0" fontId="0" fillId="0" borderId="27" xfId="0" applyBorder="1"/>
    <xf numFmtId="0" fontId="0" fillId="0" borderId="31" xfId="0" applyBorder="1"/>
    <xf numFmtId="0" fontId="8" fillId="58" borderId="0" xfId="0" applyFont="1" applyFill="1"/>
    <xf numFmtId="0" fontId="0" fillId="58" borderId="32" xfId="0" applyFill="1" applyBorder="1"/>
    <xf numFmtId="0" fontId="0" fillId="58" borderId="33" xfId="0" applyFill="1" applyBorder="1"/>
    <xf numFmtId="0" fontId="0" fillId="0" borderId="27" xfId="0" applyBorder="1" applyAlignment="1">
      <alignment horizontal="center" vertical="center"/>
    </xf>
    <xf numFmtId="0" fontId="0" fillId="0" borderId="31" xfId="0" applyBorder="1" applyAlignment="1">
      <alignment horizontal="center" vertical="center"/>
    </xf>
    <xf numFmtId="0" fontId="41" fillId="0" borderId="0" xfId="0" applyFont="1"/>
    <xf numFmtId="0" fontId="8" fillId="0" borderId="27" xfId="0" applyFont="1" applyBorder="1" applyAlignment="1">
      <alignment horizontal="center"/>
    </xf>
    <xf numFmtId="0" fontId="8" fillId="0" borderId="31" xfId="0" applyFont="1" applyBorder="1" applyAlignment="1">
      <alignment horizontal="center"/>
    </xf>
    <xf numFmtId="0" fontId="8" fillId="0" borderId="24" xfId="0" applyFont="1" applyBorder="1" applyAlignment="1">
      <alignment vertical="top"/>
    </xf>
    <xf numFmtId="0" fontId="8" fillId="0" borderId="25" xfId="0" applyFont="1" applyBorder="1" applyAlignment="1">
      <alignment vertical="top"/>
    </xf>
    <xf numFmtId="0" fontId="8" fillId="0" borderId="31" xfId="0" applyFont="1" applyBorder="1" applyAlignment="1">
      <alignment horizontal="center" vertical="top"/>
    </xf>
    <xf numFmtId="179" fontId="8" fillId="0" borderId="27" xfId="0" applyNumberFormat="1" applyFont="1" applyBorder="1" applyAlignment="1">
      <alignment horizontal="center" vertical="center"/>
    </xf>
    <xf numFmtId="0" fontId="8" fillId="0" borderId="23" xfId="0" applyFont="1" applyBorder="1" applyAlignment="1">
      <alignment vertical="top"/>
    </xf>
    <xf numFmtId="0" fontId="8" fillId="0" borderId="5" xfId="0" applyFont="1" applyBorder="1" applyAlignment="1">
      <alignment vertical="top" wrapText="1"/>
    </xf>
    <xf numFmtId="0" fontId="8" fillId="0" borderId="0" xfId="0" applyFont="1" applyAlignment="1">
      <alignment horizontal="right"/>
    </xf>
    <xf numFmtId="0" fontId="0" fillId="2" borderId="0" xfId="0" applyFill="1" applyAlignment="1">
      <alignment horizontal="right"/>
    </xf>
    <xf numFmtId="14" fontId="68" fillId="0" borderId="0" xfId="0" applyNumberFormat="1" applyFont="1"/>
    <xf numFmtId="0" fontId="68" fillId="0" borderId="0" xfId="0" applyFont="1"/>
    <xf numFmtId="0" fontId="68" fillId="3" borderId="0" xfId="0" applyFont="1" applyFill="1"/>
    <xf numFmtId="0" fontId="28" fillId="0" borderId="1" xfId="0" applyFont="1" applyBorder="1"/>
    <xf numFmtId="0" fontId="0" fillId="3" borderId="5" xfId="0" applyFill="1" applyBorder="1"/>
    <xf numFmtId="0" fontId="0" fillId="3" borderId="33" xfId="0" applyFill="1" applyBorder="1"/>
    <xf numFmtId="14" fontId="69" fillId="0" borderId="0" xfId="0" applyNumberFormat="1" applyFont="1"/>
    <xf numFmtId="0" fontId="0" fillId="0" borderId="26" xfId="0" applyBorder="1"/>
    <xf numFmtId="0" fontId="0" fillId="0" borderId="32" xfId="0" applyBorder="1"/>
    <xf numFmtId="44" fontId="0" fillId="0" borderId="1" xfId="0" applyNumberFormat="1" applyBorder="1"/>
    <xf numFmtId="0" fontId="12" fillId="0" borderId="1" xfId="0" applyFont="1" applyBorder="1"/>
    <xf numFmtId="44" fontId="12" fillId="0" borderId="1" xfId="0" applyNumberFormat="1" applyFont="1" applyBorder="1"/>
    <xf numFmtId="0" fontId="0" fillId="0" borderId="28" xfId="0" applyBorder="1"/>
    <xf numFmtId="44" fontId="0" fillId="0" borderId="28" xfId="0" applyNumberFormat="1" applyBorder="1"/>
    <xf numFmtId="0" fontId="0" fillId="0" borderId="29" xfId="0" applyBorder="1"/>
    <xf numFmtId="0" fontId="0" fillId="0" borderId="30" xfId="0" applyBorder="1"/>
    <xf numFmtId="0" fontId="0" fillId="0" borderId="33" xfId="0" applyBorder="1"/>
    <xf numFmtId="0" fontId="36" fillId="64" borderId="0" xfId="0" applyFont="1" applyFill="1"/>
    <xf numFmtId="44" fontId="0" fillId="64" borderId="0" xfId="0" applyNumberFormat="1" applyFill="1"/>
    <xf numFmtId="2" fontId="0" fillId="0" borderId="0" xfId="0" applyNumberFormat="1" applyAlignment="1">
      <alignment horizontal="center" vertical="center"/>
    </xf>
    <xf numFmtId="4" fontId="0" fillId="0" borderId="0" xfId="0" applyNumberFormat="1"/>
    <xf numFmtId="0" fontId="8" fillId="0" borderId="0" xfId="0" applyFont="1" applyAlignment="1">
      <alignment vertical="top"/>
    </xf>
    <xf numFmtId="0" fontId="0" fillId="0" borderId="39" xfId="0" applyBorder="1" applyAlignment="1">
      <alignment horizontal="center"/>
    </xf>
    <xf numFmtId="0" fontId="0" fillId="0" borderId="39" xfId="0" applyBorder="1"/>
    <xf numFmtId="44" fontId="0" fillId="0" borderId="39" xfId="1" applyFont="1" applyBorder="1"/>
    <xf numFmtId="44" fontId="0" fillId="0" borderId="39" xfId="0" applyNumberFormat="1" applyBorder="1"/>
    <xf numFmtId="0" fontId="0" fillId="0" borderId="40" xfId="0" applyBorder="1" applyAlignment="1">
      <alignment horizontal="center"/>
    </xf>
    <xf numFmtId="0" fontId="0" fillId="0" borderId="40" xfId="0" applyBorder="1"/>
    <xf numFmtId="44" fontId="0" fillId="0" borderId="40" xfId="1" applyFont="1" applyBorder="1"/>
    <xf numFmtId="44" fontId="0" fillId="0" borderId="40" xfId="0" applyNumberFormat="1" applyBorder="1"/>
    <xf numFmtId="0" fontId="67" fillId="0" borderId="38" xfId="0" applyFont="1" applyBorder="1" applyAlignment="1">
      <alignment horizontal="center"/>
    </xf>
    <xf numFmtId="0" fontId="63" fillId="0" borderId="38" xfId="0" applyFont="1" applyBorder="1"/>
    <xf numFmtId="44" fontId="63" fillId="0" borderId="38" xfId="1" applyFont="1" applyBorder="1" applyAlignment="1">
      <alignment horizontal="center" vertical="center"/>
    </xf>
    <xf numFmtId="44" fontId="63" fillId="0" borderId="38" xfId="1" applyFont="1" applyBorder="1"/>
    <xf numFmtId="0" fontId="67" fillId="0" borderId="0" xfId="0" applyFont="1" applyAlignment="1">
      <alignment horizontal="center"/>
    </xf>
    <xf numFmtId="0" fontId="63" fillId="0" borderId="0" xfId="0" applyFont="1"/>
    <xf numFmtId="44" fontId="63" fillId="0" borderId="0" xfId="1" applyFont="1" applyBorder="1" applyAlignment="1">
      <alignment horizontal="center" vertical="center"/>
    </xf>
    <xf numFmtId="44" fontId="63" fillId="0" borderId="0" xfId="1" applyFont="1" applyBorder="1"/>
    <xf numFmtId="2" fontId="12" fillId="0" borderId="0" xfId="0" applyNumberFormat="1" applyFont="1"/>
    <xf numFmtId="0" fontId="12" fillId="62" borderId="0" xfId="0" applyFont="1" applyFill="1"/>
    <xf numFmtId="44" fontId="12" fillId="62" borderId="0" xfId="1" applyFont="1" applyFill="1"/>
    <xf numFmtId="0" fontId="0" fillId="0" borderId="21" xfId="1" applyNumberFormat="1" applyFont="1" applyBorder="1"/>
    <xf numFmtId="0" fontId="28" fillId="0" borderId="41" xfId="0" applyFont="1" applyBorder="1" applyAlignment="1">
      <alignment horizontal="left"/>
    </xf>
    <xf numFmtId="0" fontId="28" fillId="0" borderId="12" xfId="0" applyFont="1" applyBorder="1" applyAlignment="1">
      <alignment horizontal="right"/>
    </xf>
    <xf numFmtId="0" fontId="28" fillId="0" borderId="42" xfId="0" applyFont="1" applyBorder="1" applyAlignment="1">
      <alignment horizontal="right"/>
    </xf>
    <xf numFmtId="0" fontId="28" fillId="3" borderId="0" xfId="0" applyFont="1" applyFill="1"/>
    <xf numFmtId="164" fontId="0" fillId="0" borderId="21" xfId="1" applyNumberFormat="1" applyFont="1" applyBorder="1"/>
    <xf numFmtId="181" fontId="0" fillId="0" borderId="0" xfId="1" applyNumberFormat="1" applyFont="1"/>
    <xf numFmtId="0" fontId="38" fillId="0" borderId="24" xfId="0" applyFont="1" applyBorder="1" applyAlignment="1">
      <alignment horizontal="right"/>
    </xf>
    <xf numFmtId="0" fontId="70" fillId="0" borderId="24" xfId="0" applyFont="1" applyBorder="1"/>
    <xf numFmtId="44" fontId="0" fillId="0" borderId="0" xfId="0" applyNumberFormat="1" applyAlignment="1">
      <alignment horizontal="centerContinuous"/>
    </xf>
    <xf numFmtId="0" fontId="7" fillId="0" borderId="0" xfId="0" applyFont="1" applyAlignment="1">
      <alignment horizontal="right"/>
    </xf>
    <xf numFmtId="44" fontId="7" fillId="0" borderId="0" xfId="0" applyNumberFormat="1" applyFont="1"/>
    <xf numFmtId="0" fontId="0" fillId="0" borderId="0" xfId="0" applyAlignment="1">
      <alignment horizontal="centerContinuous"/>
    </xf>
    <xf numFmtId="0" fontId="12" fillId="0" borderId="0" xfId="0" applyFont="1" applyAlignment="1">
      <alignment horizontal="centerContinuous"/>
    </xf>
    <xf numFmtId="44" fontId="12" fillId="0" borderId="0" xfId="0" applyNumberFormat="1" applyFont="1" applyAlignment="1">
      <alignment horizontal="centerContinuous"/>
    </xf>
    <xf numFmtId="0" fontId="71" fillId="42" borderId="0" xfId="0" applyFont="1" applyFill="1" applyAlignment="1">
      <alignment horizontal="center" vertical="center"/>
    </xf>
    <xf numFmtId="0" fontId="0" fillId="0" borderId="0" xfId="0" applyAlignment="1">
      <alignment vertical="center"/>
    </xf>
    <xf numFmtId="0" fontId="0" fillId="0" borderId="0" xfId="0" applyAlignment="1">
      <alignment horizontal="right" vertical="center"/>
    </xf>
    <xf numFmtId="0" fontId="0" fillId="0" borderId="0" xfId="0" applyAlignment="1">
      <alignment horizontal="centerContinuous" vertical="top"/>
    </xf>
    <xf numFmtId="0" fontId="36" fillId="65" borderId="0" xfId="0" applyFont="1" applyFill="1"/>
    <xf numFmtId="44" fontId="8" fillId="65" borderId="0" xfId="1" applyFont="1" applyFill="1"/>
    <xf numFmtId="44" fontId="0" fillId="65" borderId="0" xfId="0" applyNumberFormat="1" applyFill="1"/>
    <xf numFmtId="0" fontId="0" fillId="0" borderId="25" xfId="0" applyBorder="1" applyAlignment="1">
      <alignment horizontal="center"/>
    </xf>
    <xf numFmtId="0" fontId="0" fillId="0" borderId="1" xfId="0" applyBorder="1" applyAlignment="1">
      <alignment horizontal="center"/>
    </xf>
    <xf numFmtId="0" fontId="0" fillId="66" borderId="0" xfId="0" applyFill="1"/>
    <xf numFmtId="44" fontId="0" fillId="0" borderId="0" xfId="0" applyNumberFormat="1" applyAlignment="1">
      <alignment horizontal="center"/>
    </xf>
    <xf numFmtId="0" fontId="0" fillId="0" borderId="0" xfId="0" applyAlignment="1">
      <alignment wrapText="1"/>
    </xf>
    <xf numFmtId="0" fontId="8" fillId="0" borderId="43" xfId="0" applyFont="1" applyBorder="1"/>
    <xf numFmtId="0" fontId="0" fillId="0" borderId="43" xfId="0" pivotButton="1" applyBorder="1"/>
    <xf numFmtId="0" fontId="73" fillId="0" borderId="0" xfId="0" applyFont="1"/>
    <xf numFmtId="14" fontId="73" fillId="0" borderId="0" xfId="0" applyNumberFormat="1" applyFont="1" applyAlignment="1">
      <alignment horizontal="right" vertical="center"/>
    </xf>
    <xf numFmtId="0" fontId="73" fillId="0" borderId="0" xfId="0" applyFont="1" applyAlignment="1">
      <alignment horizontal="centerContinuous"/>
    </xf>
    <xf numFmtId="0" fontId="73" fillId="0" borderId="0" xfId="0" applyFont="1" applyAlignment="1">
      <alignment horizontal="right" vertical="center"/>
    </xf>
    <xf numFmtId="0" fontId="73" fillId="0" borderId="0" xfId="0" applyFont="1" applyAlignment="1">
      <alignment horizontal="center" vertical="center"/>
    </xf>
    <xf numFmtId="0" fontId="74" fillId="0" borderId="0" xfId="0" applyFont="1" applyAlignment="1">
      <alignment vertical="center"/>
    </xf>
    <xf numFmtId="0" fontId="73" fillId="0" borderId="0" xfId="0" applyFont="1" applyAlignment="1">
      <alignment horizontal="left" vertical="center" indent="3"/>
    </xf>
    <xf numFmtId="0" fontId="75" fillId="0" borderId="0" xfId="0" applyFont="1" applyAlignment="1">
      <alignment horizontal="left" vertical="center" indent="3"/>
    </xf>
    <xf numFmtId="0" fontId="73" fillId="0" borderId="0" xfId="0" applyFont="1" applyAlignment="1">
      <alignment vertical="center"/>
    </xf>
    <xf numFmtId="0" fontId="73" fillId="0" borderId="1" xfId="0" applyFont="1" applyBorder="1" applyAlignment="1">
      <alignment horizontal="right"/>
    </xf>
    <xf numFmtId="0" fontId="73" fillId="0" borderId="0" xfId="0" applyFont="1" applyAlignment="1">
      <alignment horizontal="centerContinuous" vertical="center"/>
    </xf>
    <xf numFmtId="0" fontId="73" fillId="0" borderId="0" xfId="0" applyFont="1" applyAlignment="1">
      <alignment horizontal="centerContinuous" vertical="top"/>
    </xf>
    <xf numFmtId="0" fontId="76" fillId="0" borderId="0" xfId="0" applyFont="1" applyAlignment="1">
      <alignment horizontal="center" vertical="top"/>
    </xf>
    <xf numFmtId="0" fontId="8" fillId="0" borderId="24" xfId="0" applyFont="1" applyBorder="1" applyAlignment="1">
      <alignment horizontal="left"/>
    </xf>
    <xf numFmtId="0" fontId="38" fillId="0" borderId="24" xfId="0" applyFont="1" applyBorder="1"/>
    <xf numFmtId="0" fontId="28" fillId="0" borderId="24" xfId="0" applyFont="1" applyBorder="1"/>
    <xf numFmtId="0" fontId="8" fillId="40" borderId="0" xfId="0" applyFont="1" applyFill="1"/>
    <xf numFmtId="44" fontId="8" fillId="0" borderId="0" xfId="1" applyFont="1" applyFill="1"/>
    <xf numFmtId="2" fontId="0" fillId="40" borderId="0" xfId="0" applyNumberFormat="1" applyFill="1" applyAlignment="1">
      <alignment horizontal="center" vertical="center"/>
    </xf>
    <xf numFmtId="0" fontId="38" fillId="0" borderId="24" xfId="0" applyFont="1" applyBorder="1" applyAlignment="1">
      <alignment vertical="top"/>
    </xf>
    <xf numFmtId="182" fontId="0" fillId="0" borderId="0" xfId="0" applyNumberFormat="1"/>
    <xf numFmtId="44" fontId="36" fillId="0" borderId="0" xfId="1" applyFont="1" applyFill="1"/>
    <xf numFmtId="0" fontId="0" fillId="0" borderId="5" xfId="0" applyBorder="1" applyAlignment="1">
      <alignment wrapText="1"/>
    </xf>
    <xf numFmtId="0" fontId="0" fillId="0" borderId="33" xfId="0" applyBorder="1" applyAlignment="1">
      <alignment wrapText="1"/>
    </xf>
    <xf numFmtId="0" fontId="0" fillId="0" borderId="24" xfId="0" applyBorder="1" applyAlignment="1">
      <alignment wrapText="1"/>
    </xf>
    <xf numFmtId="0" fontId="0" fillId="0" borderId="25" xfId="0" applyBorder="1" applyAlignment="1">
      <alignment wrapText="1"/>
    </xf>
    <xf numFmtId="0" fontId="8" fillId="0" borderId="44" xfId="0" applyFont="1" applyBorder="1"/>
    <xf numFmtId="0" fontId="16" fillId="67" borderId="0" xfId="0" applyFont="1" applyFill="1"/>
    <xf numFmtId="165" fontId="16" fillId="67" borderId="0" xfId="0" applyNumberFormat="1" applyFont="1" applyFill="1"/>
    <xf numFmtId="180" fontId="77" fillId="0" borderId="0" xfId="0" applyNumberFormat="1" applyFont="1"/>
    <xf numFmtId="0" fontId="78" fillId="0" borderId="0" xfId="0" applyFont="1" applyAlignment="1">
      <alignment horizontal="right"/>
    </xf>
    <xf numFmtId="14" fontId="78" fillId="0" borderId="0" xfId="0" applyNumberFormat="1" applyFont="1"/>
    <xf numFmtId="0" fontId="78" fillId="0" borderId="0" xfId="0" applyFont="1"/>
    <xf numFmtId="0" fontId="77" fillId="0" borderId="0" xfId="0" applyFont="1"/>
    <xf numFmtId="0" fontId="79" fillId="0" borderId="0" xfId="0" applyFont="1"/>
    <xf numFmtId="0" fontId="78" fillId="0" borderId="0" xfId="0" applyFont="1" applyAlignment="1">
      <alignment horizontal="center" vertical="center"/>
    </xf>
    <xf numFmtId="0" fontId="77" fillId="0" borderId="0" xfId="0" applyFont="1" applyAlignment="1">
      <alignment horizontal="right"/>
    </xf>
    <xf numFmtId="0" fontId="80" fillId="0" borderId="0" xfId="0" applyFont="1"/>
    <xf numFmtId="0" fontId="70" fillId="0" borderId="0" xfId="0" applyFont="1"/>
    <xf numFmtId="0" fontId="54" fillId="21" borderId="0" xfId="0" applyFont="1" applyFill="1" applyAlignment="1">
      <alignment horizontal="center" vertical="center"/>
    </xf>
    <xf numFmtId="0" fontId="70" fillId="0" borderId="12" xfId="0" applyFont="1" applyBorder="1"/>
    <xf numFmtId="44" fontId="77" fillId="0" borderId="12" xfId="1" applyFont="1" applyBorder="1"/>
    <xf numFmtId="44" fontId="70" fillId="0" borderId="12" xfId="1" applyFont="1" applyBorder="1"/>
    <xf numFmtId="0" fontId="70" fillId="0" borderId="16" xfId="0" applyFont="1" applyBorder="1" applyAlignment="1">
      <alignment horizontal="center" vertical="center"/>
    </xf>
    <xf numFmtId="0" fontId="70" fillId="0" borderId="16" xfId="0" applyFont="1" applyBorder="1"/>
    <xf numFmtId="44" fontId="70" fillId="0" borderId="16" xfId="1" applyFont="1" applyFill="1" applyBorder="1"/>
    <xf numFmtId="9" fontId="77" fillId="0" borderId="0" xfId="6" applyFont="1"/>
    <xf numFmtId="2" fontId="77" fillId="0" borderId="0" xfId="0" applyNumberFormat="1" applyFont="1"/>
    <xf numFmtId="0" fontId="54" fillId="0" borderId="0" xfId="0" applyFont="1"/>
    <xf numFmtId="0" fontId="54" fillId="32" borderId="0" xfId="0" applyFont="1" applyFill="1"/>
    <xf numFmtId="44" fontId="54" fillId="32" borderId="0" xfId="1" applyFont="1" applyFill="1"/>
    <xf numFmtId="0" fontId="54" fillId="34" borderId="0" xfId="0" applyFont="1" applyFill="1" applyAlignment="1">
      <alignment horizontal="center"/>
    </xf>
    <xf numFmtId="0" fontId="70" fillId="0" borderId="17" xfId="0" applyFont="1" applyBorder="1"/>
    <xf numFmtId="44" fontId="70" fillId="0" borderId="17" xfId="1" applyFont="1" applyBorder="1"/>
    <xf numFmtId="0" fontId="81" fillId="0" borderId="17" xfId="0" applyFont="1" applyBorder="1" applyAlignment="1">
      <alignment wrapText="1" shrinkToFit="1"/>
    </xf>
    <xf numFmtId="44" fontId="70" fillId="0" borderId="17" xfId="1" applyFont="1" applyBorder="1" applyAlignment="1">
      <alignment vertical="center"/>
    </xf>
    <xf numFmtId="0" fontId="70" fillId="0" borderId="18" xfId="0" applyFont="1" applyBorder="1"/>
    <xf numFmtId="44" fontId="70" fillId="0" borderId="18" xfId="1" applyFont="1" applyBorder="1"/>
    <xf numFmtId="0" fontId="54" fillId="35" borderId="0" xfId="0" applyFont="1" applyFill="1"/>
    <xf numFmtId="44" fontId="54" fillId="35" borderId="0" xfId="0" applyNumberFormat="1" applyFont="1" applyFill="1"/>
    <xf numFmtId="0" fontId="70" fillId="0" borderId="35" xfId="0" applyFont="1" applyBorder="1"/>
    <xf numFmtId="0" fontId="70" fillId="0" borderId="35" xfId="0" applyFont="1" applyBorder="1" applyAlignment="1">
      <alignment horizontal="left" vertical="top" wrapText="1"/>
    </xf>
    <xf numFmtId="44" fontId="70" fillId="0" borderId="35" xfId="0" applyNumberFormat="1" applyFont="1" applyBorder="1" applyAlignment="1">
      <alignment vertical="center"/>
    </xf>
    <xf numFmtId="44" fontId="70" fillId="0" borderId="35" xfId="1" applyFont="1" applyBorder="1"/>
    <xf numFmtId="0" fontId="70" fillId="0" borderId="11" xfId="0" applyFont="1" applyBorder="1"/>
    <xf numFmtId="0" fontId="70" fillId="23" borderId="0" xfId="0" applyFont="1" applyFill="1"/>
    <xf numFmtId="44" fontId="70" fillId="23" borderId="10" xfId="1" applyFont="1" applyFill="1" applyBorder="1"/>
    <xf numFmtId="0" fontId="54" fillId="36" borderId="0" xfId="0" applyFont="1" applyFill="1" applyAlignment="1">
      <alignment horizontal="center"/>
    </xf>
    <xf numFmtId="0" fontId="70" fillId="0" borderId="10" xfId="0" applyFont="1" applyBorder="1"/>
    <xf numFmtId="1" fontId="70" fillId="0" borderId="18" xfId="0" applyNumberFormat="1" applyFont="1" applyBorder="1"/>
    <xf numFmtId="44" fontId="70" fillId="0" borderId="18" xfId="0" applyNumberFormat="1" applyFont="1" applyBorder="1"/>
    <xf numFmtId="0" fontId="70" fillId="0" borderId="34" xfId="0" applyFont="1" applyBorder="1"/>
    <xf numFmtId="44" fontId="70" fillId="0" borderId="34" xfId="0" applyNumberFormat="1" applyFont="1" applyBorder="1"/>
    <xf numFmtId="44" fontId="70" fillId="0" borderId="34" xfId="1" applyFont="1" applyBorder="1"/>
    <xf numFmtId="0" fontId="54" fillId="36" borderId="0" xfId="0" applyFont="1" applyFill="1"/>
    <xf numFmtId="44" fontId="54" fillId="36" borderId="0" xfId="0" applyNumberFormat="1" applyFont="1" applyFill="1"/>
    <xf numFmtId="0" fontId="70" fillId="0" borderId="13" xfId="0" applyFont="1" applyBorder="1"/>
    <xf numFmtId="0" fontId="82" fillId="0" borderId="0" xfId="0" applyFont="1"/>
    <xf numFmtId="44" fontId="70" fillId="0" borderId="14" xfId="1" applyFont="1" applyFill="1" applyBorder="1"/>
    <xf numFmtId="0" fontId="70" fillId="40" borderId="13" xfId="0" applyFont="1" applyFill="1" applyBorder="1"/>
    <xf numFmtId="0" fontId="82" fillId="40" borderId="0" xfId="0" applyFont="1" applyFill="1" applyAlignment="1">
      <alignment horizontal="left"/>
    </xf>
    <xf numFmtId="44" fontId="70" fillId="40" borderId="14" xfId="1" applyFont="1" applyFill="1" applyBorder="1"/>
    <xf numFmtId="0" fontId="70" fillId="37" borderId="0" xfId="0" applyFont="1" applyFill="1" applyAlignment="1">
      <alignment horizontal="center"/>
    </xf>
    <xf numFmtId="0" fontId="70" fillId="0" borderId="19" xfId="0" applyFont="1" applyBorder="1"/>
    <xf numFmtId="44" fontId="70" fillId="0" borderId="19" xfId="0" applyNumberFormat="1" applyFont="1" applyBorder="1"/>
    <xf numFmtId="44" fontId="70" fillId="0" borderId="19" xfId="1" applyFont="1" applyBorder="1"/>
    <xf numFmtId="0" fontId="77" fillId="40" borderId="0" xfId="0" applyFont="1" applyFill="1"/>
    <xf numFmtId="0" fontId="54" fillId="38" borderId="0" xfId="0" applyFont="1" applyFill="1"/>
    <xf numFmtId="44" fontId="54" fillId="38" borderId="0" xfId="0" applyNumberFormat="1" applyFont="1" applyFill="1"/>
    <xf numFmtId="0" fontId="70" fillId="34" borderId="0" xfId="0" applyFont="1" applyFill="1"/>
    <xf numFmtId="44" fontId="70" fillId="34" borderId="0" xfId="1" applyFont="1" applyFill="1"/>
    <xf numFmtId="44" fontId="54" fillId="34" borderId="0" xfId="1" applyFont="1" applyFill="1"/>
    <xf numFmtId="44" fontId="77" fillId="0" borderId="0" xfId="0" applyNumberFormat="1" applyFont="1"/>
    <xf numFmtId="0" fontId="81" fillId="3" borderId="0" xfId="0" applyFont="1" applyFill="1"/>
    <xf numFmtId="0" fontId="70" fillId="0" borderId="19" xfId="0" applyFont="1" applyBorder="1" applyAlignment="1">
      <alignment horizontal="center" vertical="center"/>
    </xf>
    <xf numFmtId="0" fontId="27" fillId="0" borderId="0" xfId="0" applyFont="1"/>
    <xf numFmtId="0" fontId="70" fillId="26" borderId="0" xfId="0" applyFont="1" applyFill="1"/>
    <xf numFmtId="44" fontId="70" fillId="26" borderId="0" xfId="0" applyNumberFormat="1" applyFont="1" applyFill="1"/>
    <xf numFmtId="0" fontId="54" fillId="34" borderId="0" xfId="0" applyFont="1" applyFill="1"/>
    <xf numFmtId="44" fontId="54" fillId="34" borderId="0" xfId="0" applyNumberFormat="1" applyFont="1" applyFill="1"/>
    <xf numFmtId="44" fontId="54" fillId="0" borderId="0" xfId="0" applyNumberFormat="1" applyFont="1"/>
    <xf numFmtId="0" fontId="54" fillId="27" borderId="0" xfId="0" applyFont="1" applyFill="1" applyAlignment="1">
      <alignment horizontal="center" vertical="center"/>
    </xf>
    <xf numFmtId="0" fontId="70" fillId="0" borderId="15" xfId="0" applyFont="1" applyBorder="1"/>
    <xf numFmtId="44" fontId="70" fillId="0" borderId="15" xfId="1" applyFont="1" applyBorder="1"/>
    <xf numFmtId="0" fontId="70" fillId="37" borderId="0" xfId="0" applyFont="1" applyFill="1"/>
    <xf numFmtId="0" fontId="70" fillId="0" borderId="19" xfId="0" applyFont="1" applyBorder="1" applyAlignment="1">
      <alignment horizontal="center"/>
    </xf>
    <xf numFmtId="0" fontId="81" fillId="0" borderId="19" xfId="0" applyFont="1" applyBorder="1" applyAlignment="1">
      <alignment horizontal="left"/>
    </xf>
    <xf numFmtId="0" fontId="70" fillId="0" borderId="19" xfId="0" applyFont="1" applyBorder="1" applyAlignment="1">
      <alignment horizontal="left"/>
    </xf>
    <xf numFmtId="0" fontId="70" fillId="40" borderId="19" xfId="0" applyFont="1" applyFill="1" applyBorder="1" applyAlignment="1">
      <alignment horizontal="left"/>
    </xf>
    <xf numFmtId="44" fontId="70" fillId="40" borderId="19" xfId="1" applyFont="1" applyFill="1" applyBorder="1"/>
    <xf numFmtId="44" fontId="70" fillId="40" borderId="19" xfId="0" applyNumberFormat="1" applyFont="1" applyFill="1" applyBorder="1"/>
    <xf numFmtId="0" fontId="70" fillId="40" borderId="15" xfId="0" applyFont="1" applyFill="1" applyBorder="1"/>
    <xf numFmtId="44" fontId="70" fillId="40" borderId="15" xfId="1" applyFont="1" applyFill="1" applyBorder="1"/>
    <xf numFmtId="1" fontId="70" fillId="0" borderId="15" xfId="0" applyNumberFormat="1" applyFont="1" applyBorder="1"/>
    <xf numFmtId="0" fontId="70" fillId="0" borderId="15" xfId="1" applyNumberFormat="1" applyFont="1" applyBorder="1"/>
    <xf numFmtId="0" fontId="70" fillId="0" borderId="15" xfId="0" applyFont="1" applyBorder="1" applyAlignment="1">
      <alignment horizontal="right"/>
    </xf>
    <xf numFmtId="0" fontId="70" fillId="53" borderId="0" xfId="0" applyFont="1" applyFill="1" applyAlignment="1">
      <alignment horizontal="right"/>
    </xf>
    <xf numFmtId="164" fontId="77" fillId="0" borderId="0" xfId="0" applyNumberFormat="1" applyFont="1"/>
    <xf numFmtId="0" fontId="54" fillId="29" borderId="0" xfId="0" applyFont="1" applyFill="1"/>
    <xf numFmtId="44" fontId="54" fillId="29" borderId="0" xfId="0" applyNumberFormat="1" applyFont="1" applyFill="1"/>
    <xf numFmtId="0" fontId="0" fillId="0" borderId="0" xfId="0" applyAlignment="1">
      <alignment horizontal="center"/>
    </xf>
    <xf numFmtId="0" fontId="16" fillId="16" borderId="0" xfId="4" applyAlignment="1">
      <alignment horizontal="center"/>
    </xf>
    <xf numFmtId="0" fontId="6" fillId="3" borderId="0" xfId="0" applyFont="1" applyFill="1" applyAlignment="1">
      <alignment horizontal="left"/>
    </xf>
    <xf numFmtId="0" fontId="6" fillId="3" borderId="0" xfId="0" applyFont="1" applyFill="1" applyAlignment="1">
      <alignment horizontal="left" vertical="top"/>
    </xf>
    <xf numFmtId="164" fontId="5" fillId="0" borderId="1" xfId="0" applyNumberFormat="1" applyFont="1" applyBorder="1" applyAlignment="1">
      <alignment horizontal="right" vertical="center"/>
    </xf>
    <xf numFmtId="0" fontId="7" fillId="0" borderId="1" xfId="0" applyFont="1" applyBorder="1" applyAlignment="1">
      <alignment horizontal="right" vertical="center"/>
    </xf>
    <xf numFmtId="0" fontId="9" fillId="3" borderId="0" xfId="0" applyFont="1" applyFill="1" applyAlignment="1">
      <alignment horizontal="right" vertical="center"/>
    </xf>
    <xf numFmtId="0" fontId="9" fillId="3" borderId="0" xfId="0" applyFont="1" applyFill="1" applyAlignment="1">
      <alignment horizontal="center" vertical="center"/>
    </xf>
    <xf numFmtId="0" fontId="10" fillId="3" borderId="0" xfId="0" applyFont="1" applyFill="1" applyAlignment="1">
      <alignment horizontal="center" vertical="center"/>
    </xf>
    <xf numFmtId="0" fontId="44" fillId="0" borderId="0" xfId="0" applyFont="1" applyAlignment="1">
      <alignment horizontal="center"/>
    </xf>
    <xf numFmtId="0" fontId="14" fillId="0" borderId="0" xfId="0" applyFont="1" applyAlignment="1">
      <alignment horizontal="left" vertical="center" wrapText="1" readingOrder="2"/>
    </xf>
    <xf numFmtId="0" fontId="6" fillId="0" borderId="5" xfId="0" applyFont="1" applyBorder="1" applyAlignment="1">
      <alignment horizontal="left" vertical="center"/>
    </xf>
    <xf numFmtId="0" fontId="6" fillId="0" borderId="0" xfId="0" applyFont="1" applyAlignment="1">
      <alignment horizontal="left" vertical="center"/>
    </xf>
    <xf numFmtId="0" fontId="0" fillId="41" borderId="0" xfId="0" applyFill="1" applyAlignment="1">
      <alignment horizontal="center"/>
    </xf>
    <xf numFmtId="0" fontId="8" fillId="41" borderId="0" xfId="0" applyFont="1" applyFill="1" applyAlignment="1">
      <alignment horizontal="center"/>
    </xf>
    <xf numFmtId="0" fontId="36" fillId="41" borderId="0" xfId="0" applyFont="1" applyFill="1" applyAlignment="1">
      <alignment horizontal="center" vertical="center"/>
    </xf>
    <xf numFmtId="0" fontId="8" fillId="49" borderId="0" xfId="0" applyFont="1" applyFill="1" applyAlignment="1">
      <alignment horizontal="center"/>
    </xf>
    <xf numFmtId="0" fontId="54" fillId="36" borderId="20" xfId="0" applyFont="1" applyFill="1" applyBorder="1" applyAlignment="1">
      <alignment horizontal="center"/>
    </xf>
    <xf numFmtId="164" fontId="78" fillId="51" borderId="0" xfId="0" applyNumberFormat="1" applyFont="1" applyFill="1" applyAlignment="1">
      <alignment horizontal="center"/>
    </xf>
    <xf numFmtId="0" fontId="77" fillId="50" borderId="0" xfId="0" applyFont="1" applyFill="1" applyAlignment="1">
      <alignment horizontal="justify" vertical="top" wrapText="1"/>
    </xf>
    <xf numFmtId="164" fontId="78" fillId="52" borderId="0" xfId="0" applyNumberFormat="1" applyFont="1" applyFill="1" applyAlignment="1">
      <alignment horizontal="center"/>
    </xf>
    <xf numFmtId="0" fontId="70" fillId="39" borderId="0" xfId="0" applyFont="1" applyFill="1" applyAlignment="1">
      <alignment horizontal="center"/>
    </xf>
    <xf numFmtId="0" fontId="70" fillId="25" borderId="11" xfId="0" applyFont="1" applyFill="1" applyBorder="1" applyAlignment="1">
      <alignment horizontal="center"/>
    </xf>
    <xf numFmtId="0" fontId="70" fillId="25" borderId="0" xfId="0" applyFont="1" applyFill="1" applyAlignment="1">
      <alignment horizontal="center"/>
    </xf>
    <xf numFmtId="0" fontId="70" fillId="25" borderId="10" xfId="0" applyFont="1" applyFill="1" applyBorder="1" applyAlignment="1">
      <alignment horizontal="center"/>
    </xf>
    <xf numFmtId="0" fontId="54" fillId="22" borderId="0" xfId="0" applyFont="1" applyFill="1" applyAlignment="1">
      <alignment horizontal="center" vertical="center"/>
    </xf>
    <xf numFmtId="0" fontId="70" fillId="28" borderId="0" xfId="0" applyFont="1" applyFill="1" applyAlignment="1">
      <alignment horizontal="center"/>
    </xf>
    <xf numFmtId="0" fontId="54" fillId="31" borderId="0" xfId="0" applyFont="1" applyFill="1" applyAlignment="1">
      <alignment horizontal="center"/>
    </xf>
    <xf numFmtId="0" fontId="54" fillId="33" borderId="0" xfId="0" applyFont="1" applyFill="1" applyAlignment="1">
      <alignment horizontal="center"/>
    </xf>
    <xf numFmtId="0" fontId="70" fillId="37" borderId="0" xfId="0" applyFont="1" applyFill="1" applyAlignment="1">
      <alignment horizontal="center"/>
    </xf>
    <xf numFmtId="0" fontId="4" fillId="0" borderId="0" xfId="0" applyFont="1" applyAlignment="1">
      <alignment horizontal="justify"/>
    </xf>
    <xf numFmtId="164" fontId="14" fillId="0" borderId="0" xfId="0" applyNumberFormat="1" applyFont="1" applyAlignment="1">
      <alignment horizontal="center"/>
    </xf>
    <xf numFmtId="0" fontId="0" fillId="0" borderId="5" xfId="0" applyBorder="1" applyAlignment="1">
      <alignment horizontal="left"/>
    </xf>
    <xf numFmtId="0" fontId="4" fillId="0" borderId="5" xfId="0" applyFont="1" applyBorder="1" applyAlignment="1">
      <alignment horizontal="left"/>
    </xf>
    <xf numFmtId="0" fontId="0" fillId="0" borderId="0" xfId="0" applyAlignment="1">
      <alignment horizontal="justify" vertical="top" wrapText="1"/>
    </xf>
    <xf numFmtId="0" fontId="66" fillId="0" borderId="0" xfId="0" applyFont="1" applyAlignment="1">
      <alignment horizontal="justify" vertical="top" wrapText="1"/>
    </xf>
    <xf numFmtId="0" fontId="4" fillId="0" borderId="0" xfId="0" applyFont="1" applyAlignment="1">
      <alignment horizontal="justify" vertical="top" wrapText="1"/>
    </xf>
    <xf numFmtId="0" fontId="56" fillId="0" borderId="0" xfId="0" applyFont="1" applyAlignment="1">
      <alignment horizontal="justify"/>
    </xf>
    <xf numFmtId="0" fontId="56" fillId="0" borderId="0" xfId="0" applyFont="1" applyAlignment="1">
      <alignment horizontal="justify" vertical="top" wrapText="1"/>
    </xf>
    <xf numFmtId="0" fontId="56" fillId="0" borderId="0" xfId="0" applyFont="1" applyAlignment="1">
      <alignment horizontal="justify" vertical="top"/>
    </xf>
    <xf numFmtId="166" fontId="4" fillId="0" borderId="0" xfId="0" applyNumberFormat="1" applyFont="1" applyAlignment="1">
      <alignment horizontal="left"/>
    </xf>
    <xf numFmtId="0" fontId="4" fillId="0" borderId="0" xfId="0" applyFont="1" applyAlignment="1">
      <alignment horizontal="center"/>
    </xf>
    <xf numFmtId="0" fontId="0" fillId="0" borderId="0" xfId="0" applyAlignment="1">
      <alignment horizontal="left" wrapText="1"/>
    </xf>
    <xf numFmtId="0" fontId="4" fillId="0" borderId="0" xfId="0" applyFont="1" applyAlignment="1">
      <alignment horizontal="right"/>
    </xf>
    <xf numFmtId="0" fontId="4" fillId="0" borderId="0" xfId="0" applyFont="1" applyAlignment="1">
      <alignment horizontal="left"/>
    </xf>
    <xf numFmtId="0" fontId="60" fillId="0" borderId="0" xfId="0" applyFont="1" applyAlignment="1">
      <alignment horizontal="center" vertical="center"/>
    </xf>
    <xf numFmtId="0" fontId="61" fillId="0" borderId="0" xfId="0" applyFont="1" applyAlignment="1">
      <alignment horizontal="center" vertical="center"/>
    </xf>
    <xf numFmtId="0" fontId="56" fillId="0" borderId="0" xfId="0" applyFont="1" applyAlignment="1">
      <alignment horizontal="center" vertical="center"/>
    </xf>
    <xf numFmtId="0" fontId="4" fillId="0" borderId="0" xfId="0" applyFont="1" applyAlignment="1">
      <alignment horizontal="justify" vertical="top"/>
    </xf>
    <xf numFmtId="0" fontId="0" fillId="58" borderId="29" xfId="0" applyFill="1" applyBorder="1" applyAlignment="1">
      <alignment horizontal="center"/>
    </xf>
    <xf numFmtId="0" fontId="0" fillId="58" borderId="30" xfId="0" applyFill="1" applyBorder="1" applyAlignment="1">
      <alignment horizontal="center"/>
    </xf>
    <xf numFmtId="0" fontId="8" fillId="0" borderId="23" xfId="0" applyFont="1" applyBorder="1" applyAlignment="1">
      <alignment horizontal="center" vertical="top"/>
    </xf>
    <xf numFmtId="0" fontId="8" fillId="0" borderId="24" xfId="0" applyFont="1" applyBorder="1" applyAlignment="1">
      <alignment horizontal="center" vertical="top"/>
    </xf>
    <xf numFmtId="0" fontId="8" fillId="0" borderId="24" xfId="0" applyFont="1" applyBorder="1" applyAlignment="1">
      <alignment horizontal="left" vertical="top"/>
    </xf>
    <xf numFmtId="0" fontId="8" fillId="0" borderId="25" xfId="0" applyFont="1" applyBorder="1" applyAlignment="1">
      <alignment horizontal="left" vertical="top"/>
    </xf>
    <xf numFmtId="0" fontId="8" fillId="0" borderId="29" xfId="0" applyFont="1" applyBorder="1" applyAlignment="1">
      <alignment horizontal="center"/>
    </xf>
    <xf numFmtId="0" fontId="8" fillId="0" borderId="30" xfId="0" applyFont="1" applyBorder="1" applyAlignment="1">
      <alignment horizontal="center"/>
    </xf>
    <xf numFmtId="0" fontId="38" fillId="0" borderId="23" xfId="0" applyFont="1" applyBorder="1" applyAlignment="1">
      <alignment horizontal="left"/>
    </xf>
    <xf numFmtId="0" fontId="38" fillId="0" borderId="24" xfId="0" applyFont="1" applyBorder="1" applyAlignment="1">
      <alignment horizontal="left"/>
    </xf>
    <xf numFmtId="0" fontId="8" fillId="0" borderId="0" xfId="0" applyFont="1" applyAlignment="1">
      <alignment horizontal="center"/>
    </xf>
    <xf numFmtId="0" fontId="8" fillId="0" borderId="27" xfId="0" applyFont="1" applyBorder="1" applyAlignment="1">
      <alignment horizontal="center"/>
    </xf>
    <xf numFmtId="0" fontId="8" fillId="0" borderId="31" xfId="0" applyFont="1" applyBorder="1" applyAlignment="1">
      <alignment horizontal="center"/>
    </xf>
    <xf numFmtId="0" fontId="16" fillId="60" borderId="32" xfId="0" applyFont="1" applyFill="1" applyBorder="1" applyAlignment="1">
      <alignment horizontal="center"/>
    </xf>
    <xf numFmtId="0" fontId="16" fillId="60" borderId="33" xfId="0" applyFont="1" applyFill="1" applyBorder="1" applyAlignment="1">
      <alignment horizontal="center"/>
    </xf>
    <xf numFmtId="0" fontId="0" fillId="61" borderId="29" xfId="0" applyFill="1" applyBorder="1" applyAlignment="1">
      <alignment horizontal="center"/>
    </xf>
    <xf numFmtId="0" fontId="0" fillId="61" borderId="30" xfId="0" applyFill="1" applyBorder="1" applyAlignment="1">
      <alignment horizontal="center"/>
    </xf>
    <xf numFmtId="165" fontId="14" fillId="58" borderId="0" xfId="0" applyNumberFormat="1" applyFont="1" applyFill="1" applyAlignment="1">
      <alignment horizontal="right"/>
    </xf>
    <xf numFmtId="165" fontId="38" fillId="58" borderId="0" xfId="0" applyNumberFormat="1" applyFont="1" applyFill="1" applyAlignment="1">
      <alignment horizontal="left" shrinkToFit="1"/>
    </xf>
    <xf numFmtId="0" fontId="0" fillId="61" borderId="32" xfId="0" applyFill="1" applyBorder="1" applyAlignment="1">
      <alignment horizontal="center"/>
    </xf>
    <xf numFmtId="0" fontId="0" fillId="61" borderId="33" xfId="0" applyFill="1" applyBorder="1" applyAlignment="1">
      <alignment horizontal="center"/>
    </xf>
    <xf numFmtId="0" fontId="8" fillId="0" borderId="27" xfId="0" applyFont="1" applyBorder="1" applyAlignment="1">
      <alignment horizontal="left"/>
    </xf>
    <xf numFmtId="0" fontId="8" fillId="0" borderId="31" xfId="0" applyFont="1" applyBorder="1" applyAlignment="1">
      <alignment horizontal="left"/>
    </xf>
    <xf numFmtId="0" fontId="8" fillId="0" borderId="23" xfId="0" applyFont="1" applyBorder="1" applyAlignment="1">
      <alignment horizontal="left"/>
    </xf>
    <xf numFmtId="0" fontId="8" fillId="0" borderId="24" xfId="0" applyFont="1" applyBorder="1" applyAlignment="1">
      <alignment horizontal="left"/>
    </xf>
    <xf numFmtId="0" fontId="8" fillId="0" borderId="23" xfId="0" applyFont="1" applyBorder="1" applyAlignment="1">
      <alignment horizontal="left" vertical="top"/>
    </xf>
    <xf numFmtId="0" fontId="8" fillId="0" borderId="24" xfId="0" applyFont="1" applyBorder="1" applyAlignment="1">
      <alignment horizontal="left" vertical="top" wrapText="1"/>
    </xf>
    <xf numFmtId="0" fontId="8" fillId="0" borderId="25" xfId="0" applyFont="1" applyBorder="1" applyAlignment="1">
      <alignment horizontal="left" vertical="top" wrapText="1"/>
    </xf>
    <xf numFmtId="0" fontId="38" fillId="40" borderId="0" xfId="0" applyFont="1" applyFill="1" applyAlignment="1">
      <alignment horizontal="left" wrapText="1"/>
    </xf>
    <xf numFmtId="175" fontId="8" fillId="0" borderId="0" xfId="0" applyNumberFormat="1" applyFont="1" applyAlignment="1">
      <alignment horizontal="left"/>
    </xf>
    <xf numFmtId="0" fontId="8" fillId="0" borderId="26" xfId="0" applyFont="1" applyBorder="1" applyAlignment="1">
      <alignment horizontal="justify" vertical="top" wrapText="1"/>
    </xf>
    <xf numFmtId="0" fontId="8" fillId="0" borderId="30" xfId="0" applyFont="1" applyBorder="1" applyAlignment="1">
      <alignment horizontal="justify" vertical="top" wrapText="1"/>
    </xf>
    <xf numFmtId="0" fontId="8" fillId="0" borderId="5" xfId="0" applyFont="1" applyBorder="1" applyAlignment="1">
      <alignment horizontal="justify" vertical="top" wrapText="1"/>
    </xf>
    <xf numFmtId="0" fontId="8" fillId="0" borderId="33" xfId="0" applyFont="1" applyBorder="1" applyAlignment="1">
      <alignment horizontal="justify" vertical="top" wrapText="1"/>
    </xf>
    <xf numFmtId="1" fontId="8" fillId="0" borderId="0" xfId="0" applyNumberFormat="1" applyFont="1" applyAlignment="1">
      <alignment horizontal="left"/>
    </xf>
    <xf numFmtId="0" fontId="0" fillId="0" borderId="27" xfId="0" applyBorder="1" applyAlignment="1">
      <alignment horizontal="left" vertical="center"/>
    </xf>
    <xf numFmtId="0" fontId="0" fillId="0" borderId="31" xfId="0" applyBorder="1" applyAlignment="1">
      <alignment horizontal="left" vertical="center"/>
    </xf>
    <xf numFmtId="0" fontId="8" fillId="0" borderId="25" xfId="0" applyFont="1" applyBorder="1" applyAlignment="1">
      <alignment horizontal="left"/>
    </xf>
    <xf numFmtId="0" fontId="8" fillId="0" borderId="29" xfId="0" applyFont="1" applyBorder="1" applyAlignment="1">
      <alignment horizontal="left" vertical="top"/>
    </xf>
    <xf numFmtId="0" fontId="8" fillId="0" borderId="26" xfId="0" applyFont="1" applyBorder="1" applyAlignment="1">
      <alignment horizontal="left" vertical="top"/>
    </xf>
    <xf numFmtId="0" fontId="8" fillId="0" borderId="32" xfId="0" applyFont="1" applyBorder="1" applyAlignment="1">
      <alignment horizontal="left" vertical="top"/>
    </xf>
    <xf numFmtId="0" fontId="8" fillId="0" borderId="5" xfId="0" applyFont="1" applyBorder="1" applyAlignment="1">
      <alignment horizontal="left" vertical="top"/>
    </xf>
    <xf numFmtId="0" fontId="8" fillId="0" borderId="5" xfId="0" applyFont="1" applyBorder="1" applyAlignment="1">
      <alignment horizontal="left" vertical="top" wrapText="1"/>
    </xf>
    <xf numFmtId="0" fontId="38" fillId="0" borderId="23" xfId="0" applyFont="1" applyBorder="1" applyAlignment="1">
      <alignment horizontal="left" vertical="top"/>
    </xf>
    <xf numFmtId="0" fontId="38" fillId="0" borderId="24" xfId="0" applyFont="1" applyBorder="1" applyAlignment="1">
      <alignment horizontal="left" vertical="top"/>
    </xf>
    <xf numFmtId="0" fontId="0" fillId="60" borderId="29" xfId="0" applyFill="1" applyBorder="1" applyAlignment="1">
      <alignment horizontal="center"/>
    </xf>
    <xf numFmtId="0" fontId="0" fillId="60" borderId="30" xfId="0" applyFill="1" applyBorder="1" applyAlignment="1">
      <alignment horizontal="center"/>
    </xf>
    <xf numFmtId="0" fontId="0" fillId="60" borderId="32" xfId="0" applyFill="1" applyBorder="1" applyAlignment="1">
      <alignment horizontal="center"/>
    </xf>
    <xf numFmtId="0" fontId="0" fillId="60" borderId="33" xfId="0" applyFill="1" applyBorder="1" applyAlignment="1">
      <alignment horizontal="center"/>
    </xf>
    <xf numFmtId="0" fontId="0" fillId="0" borderId="0" xfId="0" applyAlignment="1">
      <alignment horizontal="center" vertical="top" wrapText="1"/>
    </xf>
    <xf numFmtId="0" fontId="0" fillId="0" borderId="0" xfId="0" applyAlignment="1">
      <alignment horizontal="center" vertical="center"/>
    </xf>
    <xf numFmtId="0" fontId="0" fillId="0" borderId="36" xfId="0" applyBorder="1" applyAlignment="1">
      <alignment horizontal="center" vertical="center"/>
    </xf>
    <xf numFmtId="0" fontId="0" fillId="0" borderId="37" xfId="0" applyBorder="1" applyAlignment="1">
      <alignment horizontal="center" vertical="center"/>
    </xf>
    <xf numFmtId="0" fontId="0" fillId="0" borderId="28" xfId="0" applyBorder="1" applyAlignment="1">
      <alignment horizontal="center" vertical="center"/>
    </xf>
    <xf numFmtId="44" fontId="0" fillId="0" borderId="30" xfId="1" applyFont="1" applyBorder="1" applyAlignment="1">
      <alignment horizontal="center" vertical="center"/>
    </xf>
    <xf numFmtId="44" fontId="0" fillId="0" borderId="31" xfId="1" applyFont="1" applyBorder="1" applyAlignment="1">
      <alignment horizontal="center" vertical="center"/>
    </xf>
    <xf numFmtId="44" fontId="0" fillId="0" borderId="33" xfId="1" applyFont="1" applyBorder="1" applyAlignment="1">
      <alignment horizontal="center" vertical="center"/>
    </xf>
    <xf numFmtId="44" fontId="0" fillId="0" borderId="36" xfId="1" applyFont="1" applyBorder="1" applyAlignment="1">
      <alignment horizontal="center" vertical="center"/>
    </xf>
    <xf numFmtId="44" fontId="0" fillId="0" borderId="37" xfId="1" applyFont="1" applyBorder="1" applyAlignment="1">
      <alignment horizontal="center" vertical="center"/>
    </xf>
    <xf numFmtId="44" fontId="0" fillId="0" borderId="28" xfId="1" applyFont="1" applyBorder="1" applyAlignment="1">
      <alignment horizontal="center" vertical="center"/>
    </xf>
    <xf numFmtId="0" fontId="0" fillId="0" borderId="0" xfId="0" applyAlignment="1">
      <alignment vertical="justify" wrapText="1"/>
    </xf>
    <xf numFmtId="166" fontId="0" fillId="0" borderId="0" xfId="0" applyNumberFormat="1" applyAlignment="1">
      <alignment horizontal="right"/>
    </xf>
    <xf numFmtId="0" fontId="0" fillId="0" borderId="23" xfId="0"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44" fontId="0" fillId="0" borderId="30" xfId="0" applyNumberFormat="1" applyBorder="1" applyAlignment="1">
      <alignment horizontal="center" vertical="center"/>
    </xf>
    <xf numFmtId="0" fontId="0" fillId="0" borderId="31" xfId="0" applyBorder="1" applyAlignment="1">
      <alignment horizontal="center" vertical="center"/>
    </xf>
    <xf numFmtId="0" fontId="0" fillId="0" borderId="33" xfId="0" applyBorder="1" applyAlignment="1">
      <alignment horizontal="center" vertical="center"/>
    </xf>
    <xf numFmtId="44" fontId="73" fillId="0" borderId="1" xfId="1" applyFont="1" applyBorder="1" applyAlignment="1">
      <alignment horizontal="center"/>
    </xf>
    <xf numFmtId="0" fontId="0" fillId="0" borderId="26" xfId="0" applyBorder="1" applyAlignment="1">
      <alignment horizontal="center"/>
    </xf>
    <xf numFmtId="0" fontId="63" fillId="0" borderId="1" xfId="0" applyFont="1" applyBorder="1" applyAlignment="1">
      <alignment horizontal="left" vertical="center"/>
    </xf>
    <xf numFmtId="0" fontId="64" fillId="0" borderId="1" xfId="0" applyFont="1" applyBorder="1" applyAlignment="1">
      <alignment horizontal="center" vertical="center" wrapText="1"/>
    </xf>
    <xf numFmtId="0" fontId="63" fillId="0" borderId="23" xfId="0" applyFont="1" applyBorder="1" applyAlignment="1">
      <alignment horizontal="left" vertical="center"/>
    </xf>
    <xf numFmtId="0" fontId="63" fillId="0" borderId="25" xfId="0" applyFont="1" applyBorder="1" applyAlignment="1">
      <alignment horizontal="left" vertical="center"/>
    </xf>
    <xf numFmtId="0" fontId="52" fillId="0" borderId="1" xfId="0" applyFont="1" applyBorder="1" applyAlignment="1">
      <alignment horizontal="left" vertical="center"/>
    </xf>
    <xf numFmtId="0" fontId="0" fillId="0" borderId="0" xfId="0" applyAlignment="1">
      <alignment horizontal="justify" wrapText="1"/>
    </xf>
    <xf numFmtId="165" fontId="0" fillId="0" borderId="0" xfId="1" applyNumberFormat="1" applyFont="1" applyAlignment="1">
      <alignment horizontal="center"/>
    </xf>
    <xf numFmtId="0" fontId="62" fillId="0" borderId="1" xfId="0" applyFont="1" applyBorder="1" applyAlignment="1">
      <alignment horizontal="center" vertical="center" wrapText="1"/>
    </xf>
    <xf numFmtId="175" fontId="8" fillId="0" borderId="0" xfId="0" applyNumberFormat="1" applyFont="1" applyAlignment="1">
      <alignment horizontal="center"/>
    </xf>
    <xf numFmtId="0" fontId="0" fillId="0" borderId="0" xfId="0" applyAlignment="1">
      <alignment horizontal="justify" vertical="top" wrapText="1" readingOrder="1"/>
    </xf>
    <xf numFmtId="0" fontId="31" fillId="0" borderId="0" xfId="3" applyFont="1" applyAlignment="1">
      <alignment horizontal="justify" vertical="top" wrapText="1"/>
    </xf>
    <xf numFmtId="0" fontId="31" fillId="0" borderId="0" xfId="3" applyFont="1" applyAlignment="1">
      <alignment horizontal="justify" vertical="top"/>
    </xf>
    <xf numFmtId="166" fontId="0" fillId="0" borderId="0" xfId="0" applyNumberFormat="1" applyAlignment="1">
      <alignment horizontal="left"/>
    </xf>
    <xf numFmtId="166" fontId="32" fillId="0" borderId="0" xfId="0" applyNumberFormat="1" applyFont="1" applyAlignment="1">
      <alignment horizontal="left" vertical="center" shrinkToFit="1"/>
    </xf>
    <xf numFmtId="166" fontId="4" fillId="0" borderId="0" xfId="0" applyNumberFormat="1" applyFont="1" applyAlignment="1">
      <alignment horizontal="left" shrinkToFit="1"/>
    </xf>
    <xf numFmtId="0" fontId="53" fillId="0" borderId="0" xfId="3" applyFont="1" applyAlignment="1">
      <alignment horizontal="center" vertical="top" wrapText="1"/>
    </xf>
    <xf numFmtId="0" fontId="38" fillId="0" borderId="0" xfId="0" applyFont="1" applyAlignment="1">
      <alignment horizontal="center" vertical="center" wrapText="1"/>
    </xf>
    <xf numFmtId="178" fontId="0" fillId="0" borderId="0" xfId="0" applyNumberFormat="1" applyAlignment="1">
      <alignment horizontal="left"/>
    </xf>
    <xf numFmtId="0" fontId="35" fillId="0" borderId="0" xfId="0" applyFont="1" applyAlignment="1">
      <alignment horizontal="justify" vertical="center"/>
    </xf>
    <xf numFmtId="0" fontId="0" fillId="0" borderId="0" xfId="0" applyAlignment="1">
      <alignment horizontal="justify"/>
    </xf>
    <xf numFmtId="0" fontId="32" fillId="0" borderId="0" xfId="3" applyFont="1" applyAlignment="1">
      <alignment horizontal="justify" vertical="top" wrapText="1"/>
    </xf>
    <xf numFmtId="0" fontId="32" fillId="0" borderId="0" xfId="3" applyFont="1" applyAlignment="1">
      <alignment horizontal="justify" vertical="top"/>
    </xf>
    <xf numFmtId="0" fontId="0" fillId="0" borderId="0" xfId="0" applyAlignment="1">
      <alignment horizontal="justify" vertical="top"/>
    </xf>
    <xf numFmtId="0" fontId="0" fillId="56" borderId="0" xfId="0" applyFill="1" applyAlignment="1">
      <alignment horizontal="center"/>
    </xf>
    <xf numFmtId="0" fontId="0" fillId="56" borderId="0" xfId="0" applyFill="1" applyAlignment="1">
      <alignment horizontal="center" vertical="center"/>
    </xf>
    <xf numFmtId="0" fontId="0" fillId="55" borderId="0" xfId="0" applyFill="1" applyAlignment="1">
      <alignment horizontal="center" vertical="center"/>
    </xf>
    <xf numFmtId="165" fontId="0" fillId="62" borderId="0" xfId="1" applyNumberFormat="1" applyFont="1" applyFill="1" applyAlignment="1">
      <alignment horizontal="center" vertical="center"/>
    </xf>
    <xf numFmtId="165" fontId="0" fillId="63" borderId="0" xfId="0" applyNumberFormat="1" applyFill="1" applyAlignment="1">
      <alignment horizontal="center" vertical="center"/>
    </xf>
    <xf numFmtId="0" fontId="2" fillId="55" borderId="0" xfId="5" applyFill="1" applyAlignment="1">
      <alignment horizontal="center"/>
    </xf>
    <xf numFmtId="0" fontId="2" fillId="55" borderId="0" xfId="5" applyFill="1" applyBorder="1" applyAlignment="1">
      <alignment horizontal="center"/>
    </xf>
    <xf numFmtId="0" fontId="0" fillId="58" borderId="32" xfId="0" applyFill="1" applyBorder="1" applyAlignment="1">
      <alignment horizontal="center"/>
    </xf>
    <xf numFmtId="0" fontId="0" fillId="58" borderId="33" xfId="0" applyFill="1" applyBorder="1" applyAlignment="1">
      <alignment horizontal="center"/>
    </xf>
    <xf numFmtId="0" fontId="0" fillId="60" borderId="27" xfId="0" applyFill="1" applyBorder="1" applyAlignment="1">
      <alignment horizontal="center"/>
    </xf>
    <xf numFmtId="0" fontId="0" fillId="60" borderId="31" xfId="0" applyFill="1" applyBorder="1" applyAlignment="1">
      <alignment horizontal="center"/>
    </xf>
    <xf numFmtId="0" fontId="8" fillId="0" borderId="0" xfId="0" applyFont="1" applyAlignment="1">
      <alignment horizontal="center" vertical="center"/>
    </xf>
    <xf numFmtId="0" fontId="8" fillId="0" borderId="27" xfId="0" applyFont="1" applyBorder="1" applyAlignment="1">
      <alignment horizontal="left" vertical="top"/>
    </xf>
    <xf numFmtId="0" fontId="8" fillId="0" borderId="0" xfId="0" applyFont="1" applyAlignment="1">
      <alignment horizontal="left" vertical="top"/>
    </xf>
    <xf numFmtId="0" fontId="8" fillId="0" borderId="0" xfId="0" applyFont="1" applyAlignment="1">
      <alignment horizontal="justify" vertical="top" wrapText="1"/>
    </xf>
    <xf numFmtId="0" fontId="8" fillId="0" borderId="31" xfId="0" applyFont="1" applyBorder="1" applyAlignment="1">
      <alignment horizontal="justify" vertical="top" wrapText="1"/>
    </xf>
    <xf numFmtId="165" fontId="12" fillId="58" borderId="0" xfId="0" applyNumberFormat="1" applyFont="1" applyFill="1" applyAlignment="1">
      <alignment horizontal="left"/>
    </xf>
    <xf numFmtId="0" fontId="12" fillId="0" borderId="0" xfId="0" applyFont="1" applyAlignment="1">
      <alignment horizontal="justify" vertical="top" wrapText="1"/>
    </xf>
    <xf numFmtId="0" fontId="0" fillId="0" borderId="0" xfId="0" applyAlignment="1">
      <alignment horizontal="left"/>
    </xf>
    <xf numFmtId="0" fontId="0" fillId="0" borderId="0" xfId="0" applyFont="1" applyFill="1"/>
    <xf numFmtId="0" fontId="0" fillId="0" borderId="44" xfId="0" pivotButton="1" applyFont="1" applyBorder="1"/>
  </cellXfs>
  <cellStyles count="7">
    <cellStyle name="40% - Énfasis5" xfId="5" builtinId="47"/>
    <cellStyle name="Énfasis1" xfId="4" builtinId="29"/>
    <cellStyle name="Hipervínculo" xfId="2" builtinId="8"/>
    <cellStyle name="Moneda" xfId="1" builtinId="4"/>
    <cellStyle name="Normal" xfId="0" builtinId="0"/>
    <cellStyle name="Normal 2" xfId="3" xr:uid="{EE902CD9-DF6D-4D52-A795-DEA2D4A63957}"/>
    <cellStyle name="Porcentaje" xfId="6" builtinId="5"/>
  </cellStyles>
  <dxfs count="237">
    <dxf>
      <font>
        <color theme="0"/>
      </font>
      <fill>
        <gradientFill degree="90">
          <stop position="0">
            <color theme="1"/>
          </stop>
          <stop position="1">
            <color rgb="FF25EF03"/>
          </stop>
        </gradientFill>
      </fill>
    </dxf>
    <dxf>
      <font>
        <color theme="0"/>
      </font>
      <fill>
        <gradientFill degree="90">
          <stop position="0">
            <color theme="1"/>
          </stop>
          <stop position="1">
            <color rgb="FFFF6600"/>
          </stop>
        </gradientFill>
      </fill>
    </dxf>
    <dxf>
      <font>
        <color theme="0"/>
      </font>
      <fill>
        <gradientFill degree="90">
          <stop position="0">
            <color theme="1"/>
          </stop>
          <stop position="1">
            <color rgb="FFFF6600"/>
          </stop>
        </gradientFill>
      </fill>
    </dxf>
    <dxf>
      <font>
        <color theme="1"/>
      </font>
      <fill>
        <gradientFill degree="270">
          <stop position="0">
            <color rgb="FFFFFF00"/>
          </stop>
          <stop position="1">
            <color rgb="FFF7FB57"/>
          </stop>
        </gradientFill>
      </fill>
    </dxf>
    <dxf>
      <font>
        <color theme="0"/>
      </font>
      <fill>
        <gradientFill degree="270">
          <stop position="0">
            <color rgb="FFFFFF00"/>
          </stop>
          <stop position="1">
            <color rgb="FF484D03"/>
          </stop>
        </gradientFill>
      </fill>
    </dxf>
    <dxf>
      <font>
        <color theme="0"/>
      </font>
      <fill>
        <gradientFill degree="90">
          <stop position="0">
            <color theme="1"/>
          </stop>
          <stop position="1">
            <color rgb="FF25EF03"/>
          </stop>
        </gradientFill>
      </fill>
    </dxf>
    <dxf>
      <font>
        <color theme="0"/>
      </font>
      <fill>
        <gradientFill degree="90">
          <stop position="0">
            <color theme="1"/>
          </stop>
          <stop position="1">
            <color rgb="FFFF6600"/>
          </stop>
        </gradientFill>
      </fill>
    </dxf>
    <dxf>
      <font>
        <color theme="0"/>
      </font>
      <fill>
        <gradientFill degree="90">
          <stop position="0">
            <color theme="1"/>
          </stop>
          <stop position="1">
            <color rgb="FF25EF03"/>
          </stop>
        </gradientFill>
      </fill>
    </dxf>
    <dxf>
      <font>
        <color theme="0"/>
      </font>
      <fill>
        <gradientFill degree="90">
          <stop position="0">
            <color theme="1"/>
          </stop>
          <stop position="1">
            <color rgb="FF25EF03"/>
          </stop>
        </gradientFill>
      </fill>
    </dxf>
    <dxf>
      <numFmt numFmtId="164" formatCode="_-[$$-80A]* #,##0.00_-;\-[$$-80A]* #,##0.00_-;_-[$$-80A]* &quot;-&quot;??_-;_-@_-"/>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numFmt numFmtId="34" formatCode="_-&quot;$&quot;* #,##0.00_-;\-&quot;$&quot;* #,##0.00_-;_-&quot;$&quot;*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9" formatCode="dd/mm/yyyy"/>
    </dxf>
    <dxf>
      <border outline="0">
        <top style="thin">
          <color indexed="64"/>
        </top>
      </border>
    </dxf>
    <dxf>
      <border outline="0">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9" formatCode="dd/mm/yyyy"/>
    </dxf>
    <dxf>
      <font>
        <b val="0"/>
        <i val="0"/>
        <strike val="0"/>
        <condense val="0"/>
        <extend val="0"/>
        <outline val="0"/>
        <shadow val="0"/>
        <u val="none"/>
        <vertAlign val="baseline"/>
        <sz val="11"/>
        <color theme="1"/>
        <name val="Calibri"/>
        <family val="2"/>
        <scheme val="minor"/>
      </font>
    </dxf>
    <dxf>
      <numFmt numFmtId="34" formatCode="_-&quot;$&quot;* #,##0.00_-;\-&quot;$&quot;* #,##0.00_-;_-&quot;$&quot;* &quot;-&quot;??_-;_-@_-"/>
    </dxf>
    <dxf>
      <font>
        <b val="0"/>
        <i val="0"/>
        <strike val="0"/>
        <condense val="0"/>
        <extend val="0"/>
        <outline val="0"/>
        <shadow val="0"/>
        <u val="none"/>
        <vertAlign val="baseline"/>
        <sz val="11"/>
        <color theme="1"/>
        <name val="Calibri"/>
        <family val="2"/>
        <scheme val="minor"/>
      </font>
    </dxf>
    <dxf>
      <numFmt numFmtId="34" formatCode="_-&quot;$&quot;* #,##0.00_-;\-&quot;$&quot;* #,##0.00_-;_-&quot;$&quot;* &quot;-&quot;??_-;_-@_-"/>
    </dxf>
    <dxf>
      <numFmt numFmtId="34" formatCode="_-&quot;$&quot;* #,##0.00_-;\-&quot;$&quot;* #,##0.00_-;_-&quot;$&quot;* &quot;-&quot;??_-;_-@_-"/>
    </dxf>
    <dxf>
      <numFmt numFmtId="34" formatCode="_-&quot;$&quot;* #,##0.00_-;\-&quot;$&quot;* #,##0.00_-;_-&quot;$&quot;* &quot;-&quot;??_-;_-@_-"/>
    </dxf>
    <dxf>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center" vertical="center" textRotation="0" wrapText="0" indent="0" justifyLastLine="0" shrinkToFit="0" readingOrder="0"/>
    </dxf>
    <dxf>
      <numFmt numFmtId="177" formatCode="&quot;RM&quot;\2\9\9000"/>
      <alignment horizontal="left"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center" vertical="bottom" textRotation="0" wrapText="0" indent="0" justifyLastLine="0" shrinkToFit="0" readingOrder="0"/>
    </dxf>
    <dxf>
      <fill>
        <patternFill patternType="none">
          <fgColor indexed="64"/>
          <bgColor auto="1"/>
        </patternFill>
      </fil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color theme="1"/>
      </font>
    </dxf>
    <dxf>
      <font>
        <sz val="10"/>
      </font>
    </dxf>
    <dxf>
      <numFmt numFmtId="164" formatCode="_-[$$-80A]* #,##0.00_-;\-[$$-80A]* #,##0.00_-;_-[$$-80A]* &quot;-&quot;??_-;_-@_-"/>
    </dxf>
    <dxf>
      <numFmt numFmtId="164" formatCode="_-[$$-80A]* #,##0.00_-;\-[$$-80A]* #,##0.00_-;_-[$$-80A]* &quot;-&quot;??_-;_-@_-"/>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color theme="1"/>
      </font>
    </dxf>
    <dxf>
      <font>
        <sz val="10"/>
      </font>
    </dxf>
    <dxf>
      <font>
        <color theme="1"/>
      </font>
    </dxf>
    <dxf>
      <font>
        <color theme="1"/>
      </font>
    </dxf>
    <dxf>
      <font>
        <sz val="10"/>
      </font>
    </dxf>
    <dxf>
      <numFmt numFmtId="0" formatCode="General"/>
    </dxf>
    <dxf>
      <numFmt numFmtId="164" formatCode="_-[$$-80A]* #,##0.00_-;\-[$$-80A]* #,##0.00_-;_-[$$-80A]* &quot;-&quot;??_-;_-@_-"/>
    </dxf>
    <dxf>
      <numFmt numFmtId="164" formatCode="_-[$$-80A]* #,##0.00_-;\-[$$-80A]* #,##0.00_-;_-[$$-80A]* &quot;-&quot;??_-;_-@_-"/>
    </dxf>
    <dxf>
      <font>
        <b val="0"/>
        <i val="0"/>
        <strike val="0"/>
        <condense val="0"/>
        <extend val="0"/>
        <outline val="0"/>
        <shadow val="0"/>
        <u val="none"/>
        <vertAlign val="baseline"/>
        <sz val="10"/>
        <color rgb="FF000000"/>
        <name val="Calibri"/>
        <family val="2"/>
        <scheme val="none"/>
      </font>
    </dxf>
    <dxf>
      <font>
        <b val="0"/>
        <i val="0"/>
        <strike val="0"/>
        <condense val="0"/>
        <extend val="0"/>
        <outline val="0"/>
        <shadow val="0"/>
        <u val="none"/>
        <vertAlign val="baseline"/>
        <sz val="10"/>
        <color rgb="FF000000"/>
        <name val="Calibri"/>
        <family val="2"/>
        <scheme val="none"/>
      </font>
      <alignment horizontal="center" vertical="bottom" textRotation="0" wrapText="0" indent="0" justifyLastLine="0" shrinkToFit="0" readingOrder="0"/>
    </dxf>
    <dxf>
      <numFmt numFmtId="0" formatCode="General"/>
    </dxf>
    <dxf>
      <numFmt numFmtId="0" formatCode="General"/>
    </dxf>
    <dxf>
      <numFmt numFmtId="168" formatCode="0.000\ &quot;M&quot;"/>
    </dxf>
    <dxf>
      <numFmt numFmtId="169" formatCode="0,000\ &quot;kg&quot;"/>
    </dxf>
    <dxf>
      <numFmt numFmtId="169" formatCode="0,000\ &quot;kg&quot;"/>
    </dxf>
    <dxf>
      <numFmt numFmtId="169" formatCode="0,000\ &quot;kg&quot;"/>
    </dxf>
    <dxf>
      <numFmt numFmtId="169" formatCode="0,000\ &quot;kg&quot;"/>
    </dxf>
    <dxf>
      <numFmt numFmtId="169" formatCode="0,000\ &quot;kg&quot;"/>
    </dxf>
    <dxf>
      <alignment horizontal="center" vertical="bottom" textRotation="0" wrapText="0" indent="0" justifyLastLine="0" shrinkToFit="0" readingOrder="0"/>
    </dxf>
    <dxf>
      <fill>
        <patternFill patternType="none">
          <fgColor indexed="64"/>
          <bgColor auto="1"/>
        </patternFill>
      </fil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169" formatCode="0,000\ &quot;kg&quot;"/>
      <fill>
        <patternFill patternType="none">
          <fgColor theme="4" tint="0.79998168889431442"/>
          <bgColor auto="1"/>
        </patternFill>
      </fill>
    </dxf>
    <dxf>
      <font>
        <b val="0"/>
        <i val="0"/>
        <strike val="0"/>
        <condense val="0"/>
        <extend val="0"/>
        <outline val="0"/>
        <shadow val="0"/>
        <u val="none"/>
        <vertAlign val="baseline"/>
        <sz val="11"/>
        <color theme="1"/>
        <name val="Calibri"/>
        <family val="2"/>
        <scheme val="minor"/>
      </font>
      <numFmt numFmtId="168" formatCode="0.000\ &quot;M&quot;"/>
      <fill>
        <patternFill patternType="none">
          <fgColor theme="4" tint="0.79998168889431442"/>
          <bgColor auto="1"/>
        </patternFill>
      </fill>
    </dxf>
    <dxf>
      <font>
        <b val="0"/>
        <i val="0"/>
        <strike val="0"/>
        <condense val="0"/>
        <extend val="0"/>
        <outline val="0"/>
        <shadow val="0"/>
        <u val="none"/>
        <vertAlign val="baseline"/>
        <sz val="11"/>
        <color theme="1"/>
        <name val="Calibri"/>
        <family val="2"/>
        <scheme val="minor"/>
      </font>
      <numFmt numFmtId="169" formatCode="0,000\ &quot;kg&quot;"/>
      <fill>
        <patternFill patternType="none">
          <fgColor theme="4" tint="0.79998168889431442"/>
          <bgColor auto="1"/>
        </patternFill>
      </fill>
    </dxf>
    <dxf>
      <font>
        <b val="0"/>
        <i val="0"/>
        <strike val="0"/>
        <condense val="0"/>
        <extend val="0"/>
        <outline val="0"/>
        <shadow val="0"/>
        <u val="none"/>
        <vertAlign val="baseline"/>
        <sz val="11"/>
        <color theme="1"/>
        <name val="Calibri"/>
        <family val="2"/>
        <scheme val="minor"/>
      </font>
      <numFmt numFmtId="169" formatCode="0,000\ &quot;kg&quot;"/>
      <fill>
        <patternFill patternType="none">
          <fgColor theme="4" tint="0.79998168889431442"/>
          <bgColor auto="1"/>
        </patternFill>
      </fill>
    </dxf>
    <dxf>
      <font>
        <b val="0"/>
        <i val="0"/>
        <strike val="0"/>
        <condense val="0"/>
        <extend val="0"/>
        <outline val="0"/>
        <shadow val="0"/>
        <u val="none"/>
        <vertAlign val="baseline"/>
        <sz val="11"/>
        <color theme="1"/>
        <name val="Calibri"/>
        <family val="2"/>
        <scheme val="minor"/>
      </font>
      <fill>
        <patternFill patternType="none">
          <fgColor theme="4" tint="0.79998168889431442"/>
          <bgColor auto="1"/>
        </patternFill>
      </fill>
    </dxf>
    <dxf>
      <font>
        <b val="0"/>
        <i val="0"/>
        <strike val="0"/>
        <condense val="0"/>
        <extend val="0"/>
        <outline val="0"/>
        <shadow val="0"/>
        <u val="none"/>
        <vertAlign val="baseline"/>
        <sz val="11"/>
        <color theme="1"/>
        <name val="Calibri"/>
        <family val="2"/>
        <scheme val="minor"/>
      </font>
      <numFmt numFmtId="169" formatCode="0,000\ &quot;kg&quot;"/>
      <fill>
        <patternFill patternType="none">
          <fgColor theme="4" tint="0.79998168889431442"/>
          <bgColor auto="1"/>
        </patternFill>
      </fill>
    </dxf>
    <dxf>
      <font>
        <b val="0"/>
        <i val="0"/>
        <strike val="0"/>
        <condense val="0"/>
        <extend val="0"/>
        <outline val="0"/>
        <shadow val="0"/>
        <u val="none"/>
        <vertAlign val="baseline"/>
        <sz val="11"/>
        <color theme="1"/>
        <name val="Calibri"/>
        <family val="2"/>
        <scheme val="minor"/>
      </font>
      <fill>
        <patternFill patternType="none">
          <fgColor theme="4" tint="0.79998168889431442"/>
          <bgColor auto="1"/>
        </patternFill>
      </fill>
    </dxf>
    <dxf>
      <font>
        <b val="0"/>
        <i val="0"/>
        <strike val="0"/>
        <condense val="0"/>
        <extend val="0"/>
        <outline val="0"/>
        <shadow val="0"/>
        <u val="none"/>
        <vertAlign val="baseline"/>
        <sz val="11"/>
        <color theme="1"/>
        <name val="Calibri"/>
        <family val="2"/>
        <scheme val="minor"/>
      </font>
      <numFmt numFmtId="169" formatCode="0,000\ &quot;kg&quot;"/>
      <fill>
        <patternFill patternType="none">
          <fgColor theme="4" tint="0.79998168889431442"/>
          <bgColor auto="1"/>
        </patternFill>
      </fill>
    </dxf>
    <dxf>
      <font>
        <b val="0"/>
        <i val="0"/>
        <strike val="0"/>
        <condense val="0"/>
        <extend val="0"/>
        <outline val="0"/>
        <shadow val="0"/>
        <u val="none"/>
        <vertAlign val="baseline"/>
        <sz val="11"/>
        <color theme="1"/>
        <name val="Calibri"/>
        <family val="2"/>
        <scheme val="minor"/>
      </font>
      <numFmt numFmtId="169" formatCode="0,000\ &quot;kg&quot;"/>
      <fill>
        <patternFill patternType="none">
          <fgColor theme="4" tint="0.79998168889431442"/>
          <bgColor auto="1"/>
        </patternFill>
      </fill>
    </dxf>
    <dxf>
      <numFmt numFmtId="0" formatCode="General"/>
    </dxf>
    <dxf>
      <font>
        <b val="0"/>
        <i val="0"/>
        <strike val="0"/>
        <condense val="0"/>
        <extend val="0"/>
        <outline val="0"/>
        <shadow val="0"/>
        <u val="none"/>
        <vertAlign val="baseline"/>
        <sz val="11"/>
        <color theme="1"/>
        <name val="Calibri"/>
        <family val="2"/>
        <scheme val="minor"/>
      </font>
      <fill>
        <patternFill patternType="none">
          <fgColor theme="4" tint="0.79998168889431442"/>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theme="4" tint="0.79998168889431442"/>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4" tint="0.79998168889431442"/>
          <bgColor auto="1"/>
        </patternFill>
      </fill>
      <border diagonalUp="0" diagonalDown="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theme="4" tint="0.79998168889431442"/>
          <bgColor auto="1"/>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167" formatCode="&quot;TRUCKZONE&quot;"/>
      <fill>
        <patternFill patternType="none">
          <fgColor indexed="64"/>
          <bgColor auto="1"/>
        </patternFill>
      </fill>
      <border diagonalUp="0" diagonalDown="0" outline="0">
        <left/>
        <right/>
        <top style="thin">
          <color theme="4" tint="0.39997558519241921"/>
        </top>
        <bottom style="thin">
          <color theme="4" tint="0.39997558519241921"/>
        </bottom>
      </border>
    </dxf>
    <dxf>
      <alignment horizontal="center" textRotation="0" wrapText="0" indent="0" justifyLastLine="0" shrinkToFit="0" readingOrder="0"/>
    </dxf>
    <dxf>
      <fill>
        <patternFill patternType="none">
          <fgColor indexed="64"/>
          <bgColor auto="1"/>
        </patternFill>
      </fill>
    </dxf>
    <dxf>
      <numFmt numFmtId="0" formatCode="General"/>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center" textRotation="0" wrapText="0" indent="0" justifyLastLine="0" shrinkToFit="0" readingOrder="0"/>
    </dxf>
    <dxf>
      <fill>
        <patternFill patternType="none">
          <fgColor indexed="64"/>
          <bgColor auto="1"/>
        </patternFill>
      </fill>
    </dxf>
    <dxf>
      <numFmt numFmtId="0" formatCode="General"/>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fill>
        <patternFill patternType="none">
          <fgColor indexed="64"/>
          <bgColor indexed="65"/>
        </patternFill>
      </fill>
      <alignment horizontal="center" vertical="bottom" textRotation="0" wrapText="0" indent="0" justifyLastLine="0" shrinkToFit="0" readingOrder="0"/>
    </dxf>
    <dxf>
      <alignment horizontal="center" textRotation="0" wrapText="0" indent="0" justifyLastLine="0" shrinkToFit="0" readingOrder="0"/>
    </dxf>
    <dxf>
      <fill>
        <patternFill patternType="none">
          <fgColor indexed="64"/>
          <bgColor auto="1"/>
        </patternFill>
      </fill>
    </dxf>
    <dxf>
      <numFmt numFmtId="0" formatCode="General"/>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center" textRotation="0" wrapText="0" indent="0" justifyLastLine="0" shrinkToFit="0" readingOrder="0"/>
    </dxf>
    <dxf>
      <numFmt numFmtId="34" formatCode="_-&quot;$&quot;* #,##0.00_-;\-&quot;$&quot;* #,##0.00_-;_-&quot;$&quot;* &quot;-&quot;??_-;_-@_-"/>
      <fill>
        <patternFill patternType="none">
          <fgColor indexed="64"/>
          <bgColor auto="1"/>
        </patternFill>
      </fill>
    </dxf>
    <dxf>
      <numFmt numFmtId="0" formatCode="General"/>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ill>
        <patternFill>
          <fgColor indexed="64"/>
          <bgColor rgb="FF3399FF"/>
        </patternFill>
      </fill>
      <alignment horizontal="center" vertical="center" textRotation="0" wrapText="0" indent="0" justifyLastLine="0" shrinkToFit="0" readingOrder="0"/>
    </dxf>
    <dxf>
      <numFmt numFmtId="34" formatCode="_-&quot;$&quot;* #,##0.00_-;\-&quot;$&quot;* #,##0.00_-;_-&quot;$&quot;* &quot;-&quot;??_-;_-@_-"/>
    </dxf>
    <dxf>
      <numFmt numFmtId="2" formatCode="0.00"/>
      <fill>
        <patternFill>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Calibri"/>
        <family val="2"/>
        <scheme val="none"/>
      </font>
    </dxf>
    <dxf>
      <font>
        <b val="0"/>
        <i val="0"/>
        <strike val="0"/>
        <condense val="0"/>
        <extend val="0"/>
        <outline val="0"/>
        <shadow val="0"/>
        <u val="none"/>
        <vertAlign val="baseline"/>
        <sz val="10"/>
        <color rgb="FF000000"/>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rgb="FF000000"/>
        <name val="Calibri"/>
        <family val="2"/>
        <scheme val="none"/>
      </font>
      <fill>
        <patternFill patternType="solid">
          <fgColor indexed="64"/>
          <bgColor theme="9" tint="0.79998168889431442"/>
        </patternFill>
      </fill>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rgb="FF000000"/>
        <name val="Calibri"/>
        <family val="2"/>
        <scheme val="none"/>
      </font>
      <alignment horizontal="center" vertical="center" textRotation="0" wrapText="0" indent="0" justifyLastLine="0" shrinkToFit="0" readingOrder="0"/>
    </dxf>
    <dxf>
      <numFmt numFmtId="34" formatCode="_-&quot;$&quot;* #,##0.00_-;\-&quot;$&quot;* #,##0.00_-;_-&quot;$&quot;* &quot;-&quot;??_-;_-@_-"/>
    </dxf>
    <dxf>
      <numFmt numFmtId="34" formatCode="_-&quot;$&quot;* #,##0.00_-;\-&quot;$&quot;* #,##0.00_-;_-&quot;$&quot;* &quot;-&quot;??_-;_-@_-"/>
    </dxf>
    <dxf>
      <font>
        <b val="0"/>
        <i val="0"/>
        <strike val="0"/>
        <condense val="0"/>
        <extend val="0"/>
        <outline val="0"/>
        <shadow val="0"/>
        <u val="none"/>
        <vertAlign val="baseline"/>
        <sz val="10"/>
        <color rgb="FF000000"/>
        <name val="Calibri"/>
        <family val="2"/>
        <scheme val="none"/>
      </font>
      <alignment horizontal="center" vertical="center" textRotation="0" wrapText="0" indent="0" justifyLastLine="0" shrinkToFit="0" readingOrder="0"/>
    </dxf>
    <dxf>
      <numFmt numFmtId="0" formatCode="General"/>
    </dxf>
    <dxf>
      <font>
        <b val="0"/>
        <i val="0"/>
        <strike val="0"/>
        <condense val="0"/>
        <extend val="0"/>
        <outline val="0"/>
        <shadow val="0"/>
        <u val="none"/>
        <vertAlign val="baseline"/>
        <sz val="10"/>
        <color rgb="FF000000"/>
        <name val="Calibri"/>
        <family val="2"/>
        <scheme val="none"/>
      </font>
      <fill>
        <patternFill patternType="solid">
          <fgColor theme="0"/>
          <bgColor theme="0"/>
        </patternFill>
      </fill>
    </dxf>
    <dxf>
      <font>
        <b val="0"/>
        <i val="0"/>
        <strike val="0"/>
        <condense val="0"/>
        <extend val="0"/>
        <outline val="0"/>
        <shadow val="0"/>
        <u val="none"/>
        <vertAlign val="baseline"/>
        <sz val="10"/>
        <color rgb="FF000000"/>
        <name val="Calibri"/>
        <family val="2"/>
        <scheme val="none"/>
      </font>
      <numFmt numFmtId="165" formatCode="&quot;$&quot;#,##0.00"/>
    </dxf>
    <dxf>
      <font>
        <b val="0"/>
        <i val="0"/>
        <strike val="0"/>
        <condense val="0"/>
        <extend val="0"/>
        <outline val="0"/>
        <shadow val="0"/>
        <u val="none"/>
        <vertAlign val="baseline"/>
        <sz val="10"/>
        <color rgb="FF000000"/>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Calibri"/>
        <family val="2"/>
        <scheme val="none"/>
      </font>
    </dxf>
    <dxf>
      <font>
        <b val="0"/>
        <i val="0"/>
        <strike val="0"/>
        <condense val="0"/>
        <extend val="0"/>
        <outline val="0"/>
        <shadow val="0"/>
        <u val="none"/>
        <vertAlign val="baseline"/>
        <sz val="10"/>
        <color rgb="FF000000"/>
        <name val="Calibri"/>
        <family val="2"/>
        <scheme val="none"/>
      </font>
    </dxf>
    <dxf>
      <font>
        <b val="0"/>
        <i val="0"/>
        <strike val="0"/>
        <condense val="0"/>
        <extend val="0"/>
        <outline val="0"/>
        <shadow val="0"/>
        <u val="none"/>
        <vertAlign val="baseline"/>
        <sz val="10"/>
        <color rgb="FF000000"/>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rgb="FF000000"/>
        <name val="Calibri"/>
        <family val="2"/>
        <scheme val="none"/>
      </font>
    </dxf>
    <dxf>
      <font>
        <b val="0"/>
        <i val="0"/>
        <strike val="0"/>
        <condense val="0"/>
        <extend val="0"/>
        <outline val="0"/>
        <shadow val="0"/>
        <u val="none"/>
        <vertAlign val="baseline"/>
        <sz val="10"/>
        <color rgb="FF000000"/>
        <name val="Calibri"/>
        <family val="2"/>
        <scheme val="none"/>
      </font>
    </dxf>
    <dxf>
      <font>
        <b val="0"/>
        <i val="0"/>
        <strike val="0"/>
        <condense val="0"/>
        <extend val="0"/>
        <outline val="0"/>
        <shadow val="0"/>
        <u val="none"/>
        <vertAlign val="baseline"/>
        <sz val="10"/>
        <color rgb="FF000000"/>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rgb="FF000000"/>
        <name val="Calibri"/>
        <family val="2"/>
        <scheme val="none"/>
      </font>
    </dxf>
    <dxf>
      <font>
        <b val="0"/>
        <i val="0"/>
        <strike val="0"/>
        <condense val="0"/>
        <extend val="0"/>
        <outline val="0"/>
        <shadow val="0"/>
        <u val="none"/>
        <vertAlign val="baseline"/>
        <sz val="10"/>
        <color rgb="FF000000"/>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rgb="FF000000"/>
        <name val="Calibri"/>
        <family val="2"/>
        <scheme val="none"/>
      </font>
    </dxf>
    <dxf>
      <font>
        <b val="0"/>
        <i val="0"/>
        <strike val="0"/>
        <condense val="0"/>
        <extend val="0"/>
        <outline val="0"/>
        <shadow val="0"/>
        <u val="none"/>
        <vertAlign val="baseline"/>
        <sz val="10"/>
        <color rgb="FF000000"/>
        <name val="Calibri"/>
        <family val="2"/>
        <scheme val="none"/>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alignment horizontal="right"/>
    </dxf>
    <dxf>
      <alignment vertical="center"/>
    </dxf>
    <dxf>
      <font>
        <sz val="12"/>
      </font>
    </dxf>
    <dxf>
      <font>
        <sz val="12"/>
      </font>
    </dxf>
    <dxf>
      <font>
        <sz val="12"/>
      </font>
    </dxf>
    <dxf>
      <font>
        <sz val="12"/>
      </font>
    </dxf>
    <dxf>
      <font>
        <sz val="12"/>
      </font>
    </dxf>
    <dxf>
      <font>
        <sz val="12"/>
      </font>
    </dxf>
    <dxf>
      <font>
        <sz val="12"/>
      </font>
    </dxf>
    <dxf>
      <font>
        <sz val="12"/>
      </font>
    </dxf>
    <dxf>
      <font>
        <sz val="12"/>
      </font>
    </dxf>
    <dxf>
      <alignment horizontal="right"/>
    </dxf>
    <dxf>
      <fill>
        <gradientFill degree="90">
          <stop position="0">
            <color rgb="FFFF6600"/>
          </stop>
          <stop position="0.5">
            <color rgb="FFFF6600"/>
          </stop>
          <stop position="1">
            <color rgb="FFFF6600"/>
          </stop>
        </gradientFill>
      </fill>
    </dxf>
    <dxf>
      <font>
        <color theme="0"/>
      </font>
    </dxf>
    <dxf>
      <fill>
        <patternFill patternType="solid">
          <bgColor theme="5" tint="-0.249977111117893"/>
        </patternFill>
      </fill>
    </dxf>
    <dxf>
      <fill>
        <patternFill patternType="solid">
          <bgColor theme="0"/>
        </patternFill>
      </fill>
    </dxf>
    <dxf>
      <border>
        <left style="thin">
          <color theme="6"/>
        </left>
      </border>
    </dxf>
    <dxf>
      <border>
        <left style="thin">
          <color theme="6"/>
        </left>
      </border>
    </dxf>
    <dxf>
      <border>
        <top style="thin">
          <color theme="6"/>
        </top>
      </border>
    </dxf>
    <dxf>
      <font>
        <b/>
        <color theme="1"/>
      </font>
    </dxf>
    <dxf>
      <font>
        <b/>
        <color theme="1"/>
      </font>
    </dxf>
    <dxf>
      <font>
        <b/>
        <color theme="1"/>
      </font>
      <border>
        <top style="double">
          <color theme="6"/>
        </top>
      </border>
    </dxf>
    <dxf>
      <font>
        <b/>
        <color theme="0"/>
      </font>
      <fill>
        <gradientFill degree="270">
          <stop position="0">
            <color rgb="FF00A84C"/>
          </stop>
          <stop position="1">
            <color rgb="FF006666"/>
          </stop>
        </gradientFill>
      </fill>
    </dxf>
    <dxf>
      <font>
        <color theme="1"/>
      </font>
      <border>
        <left style="thin">
          <color theme="6"/>
        </left>
        <right style="thin">
          <color theme="6"/>
        </right>
        <top style="thin">
          <color theme="6"/>
        </top>
        <bottom style="thin">
          <color theme="6"/>
        </bottom>
      </border>
    </dxf>
    <dxf>
      <font>
        <b/>
        <color theme="1"/>
      </font>
      <border>
        <bottom style="thin">
          <color theme="9"/>
        </bottom>
        <vertical/>
        <horizontal/>
      </border>
    </dxf>
    <dxf>
      <font>
        <color theme="1"/>
      </font>
      <fill>
        <patternFill>
          <bgColor theme="0" tint="-4.9989318521683403E-2"/>
        </patternFill>
      </fill>
      <border>
        <left style="thin">
          <color theme="9"/>
        </left>
        <right style="thin">
          <color theme="9"/>
        </right>
        <top style="thin">
          <color theme="9"/>
        </top>
        <bottom style="thin">
          <color theme="9"/>
        </bottom>
        <vertical/>
        <horizontal/>
      </border>
    </dxf>
    <dxf>
      <font>
        <color theme="0"/>
      </font>
      <fill>
        <gradientFill degree="90">
          <stop position="0">
            <color theme="8" tint="-0.25098422193060094"/>
          </stop>
          <stop position="1">
            <color theme="8" tint="-0.49803155613879818"/>
          </stop>
        </gradientFill>
      </fill>
    </dxf>
    <dxf>
      <font>
        <color theme="0"/>
      </font>
      <fill>
        <patternFill patternType="solid">
          <fgColor auto="1"/>
          <bgColor theme="8" tint="-0.499984740745262"/>
        </patternFill>
      </fill>
    </dxf>
  </dxfs>
  <tableStyles count="3" defaultTableStyle="TableStyleMedium2" defaultPivotStyle="PivotStyleLight16">
    <tableStyle name="Estilo de segmentación de datos 1" pivot="0" table="0" count="5" xr9:uid="{D2C41017-AAB3-44A9-B8FF-306C19F15104}">
      <tableStyleElement type="wholeTable" dxfId="236"/>
      <tableStyleElement type="headerRow" dxfId="235"/>
    </tableStyle>
    <tableStyle name="SlicerStyleDark6 2" pivot="0" table="0" count="10" xr9:uid="{DBA3C5DA-0FDD-42A1-A9DB-A7DF5A29C01E}">
      <tableStyleElement type="wholeTable" dxfId="234"/>
      <tableStyleElement type="headerRow" dxfId="233"/>
    </tableStyle>
    <tableStyle name="TableStyleLight11 2" pivot="0" count="8" xr9:uid="{DEAFF620-F4CB-4342-86A0-F14090AC9FEE}">
      <tableStyleElement type="wholeTable" dxfId="232"/>
      <tableStyleElement type="headerRow" dxfId="231"/>
      <tableStyleElement type="totalRow" dxfId="230"/>
      <tableStyleElement type="firstColumn" dxfId="229"/>
      <tableStyleElement type="lastColumn" dxfId="228"/>
      <tableStyleElement type="secondRowStripe" dxfId="227"/>
      <tableStyleElement type="firstColumnStripe" dxfId="226"/>
      <tableStyleElement type="secondColumnStripe" dxfId="225"/>
    </tableStyle>
  </tableStyles>
  <colors>
    <mruColors>
      <color rgb="FF00FFCC"/>
      <color rgb="FF00A84C"/>
      <color rgb="FF66FFCC"/>
      <color rgb="FF00FFFF"/>
      <color rgb="FF25EF03"/>
      <color rgb="FF04A4AC"/>
      <color rgb="FF006666"/>
      <color rgb="FFFF6600"/>
      <color rgb="FF00B050"/>
      <color rgb="FF02723F"/>
    </mruColors>
  </colors>
  <extLst>
    <ext xmlns:x14="http://schemas.microsoft.com/office/spreadsheetml/2009/9/main" uri="{46F421CA-312F-682f-3DD2-61675219B42D}">
      <x14:dxfs count="11">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theme="1"/>
          </font>
          <fill>
            <gradientFill degree="270">
              <stop position="0">
                <color theme="4" tint="0.80001220740379042"/>
              </stop>
              <stop position="1">
                <color theme="4" tint="0.59999389629810485"/>
              </stop>
            </gradientFill>
          </fill>
        </dxf>
        <dxf>
          <font>
            <color theme="0"/>
          </font>
          <fill>
            <patternFill patternType="solid">
              <fgColor auto="1"/>
              <bgColor theme="5"/>
            </patternFill>
          </fill>
        </dxf>
        <dxf>
          <font>
            <color theme="0"/>
          </font>
          <fill>
            <gradientFill type="path" left="1" right="1" top="1" bottom="1">
              <stop position="0">
                <color rgb="FF00B0F0"/>
              </stop>
              <stop position="1">
                <color theme="3" tint="-0.25098422193060094"/>
              </stop>
            </gradientFill>
          </fill>
        </dxf>
      </x14:dxfs>
    </ext>
    <ext xmlns:x14="http://schemas.microsoft.com/office/spreadsheetml/2009/9/main" uri="{EB79DEF2-80B8-43e5-95BD-54CBDDF9020C}">
      <x14:slicerStyles defaultSlicerStyle="SlicerStyleLight1">
        <x14:slicerStyle name="Estilo de segmentación de datos 1">
          <x14:slicerStyleElements>
            <x14:slicerStyleElement type="unselectedItemWithData" dxfId="10"/>
            <x14:slicerStyleElement type="selectedItemWithData" dxfId="9"/>
            <x14:slicerStyleElement type="selectedItemWithNoData" dxfId="8"/>
          </x14:slicerStyleElements>
        </x14:slicerStyle>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pivotCacheDefinition" Target="pivotCache/pivotCacheDefinition11.xml"/><Relationship Id="rId47" Type="http://schemas.microsoft.com/office/2007/relationships/slicerCache" Target="slicerCaches/slicerCache1.xml"/><Relationship Id="rId63" Type="http://schemas.openxmlformats.org/officeDocument/2006/relationships/customXml" Target="../customXml/item2.xml"/><Relationship Id="rId68" Type="http://schemas.openxmlformats.org/officeDocument/2006/relationships/customXml" Target="../customXml/item7.xml"/><Relationship Id="rId84" Type="http://schemas.openxmlformats.org/officeDocument/2006/relationships/customXml" Target="../customXml/item23.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pivotCacheDefinition" Target="pivotCache/pivotCacheDefinition1.xml"/><Relationship Id="rId37" Type="http://schemas.openxmlformats.org/officeDocument/2006/relationships/pivotCacheDefinition" Target="pivotCache/pivotCacheDefinition6.xml"/><Relationship Id="rId53" Type="http://schemas.microsoft.com/office/2007/relationships/slicerCache" Target="slicerCaches/slicerCache7.xml"/><Relationship Id="rId58" Type="http://schemas.openxmlformats.org/officeDocument/2006/relationships/sharedStrings" Target="sharedStrings.xml"/><Relationship Id="rId74" Type="http://schemas.openxmlformats.org/officeDocument/2006/relationships/customXml" Target="../customXml/item13.xml"/><Relationship Id="rId79" Type="http://schemas.openxmlformats.org/officeDocument/2006/relationships/customXml" Target="../customXml/item18.xml"/><Relationship Id="rId5" Type="http://schemas.openxmlformats.org/officeDocument/2006/relationships/worksheet" Target="worksheets/sheet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4.xml"/><Relationship Id="rId43" Type="http://schemas.openxmlformats.org/officeDocument/2006/relationships/pivotCacheDefinition" Target="pivotCache/pivotCacheDefinition12.xml"/><Relationship Id="rId48" Type="http://schemas.microsoft.com/office/2007/relationships/slicerCache" Target="slicerCaches/slicerCache2.xml"/><Relationship Id="rId56" Type="http://schemas.openxmlformats.org/officeDocument/2006/relationships/connections" Target="connections.xml"/><Relationship Id="rId64" Type="http://schemas.openxmlformats.org/officeDocument/2006/relationships/customXml" Target="../customXml/item3.xml"/><Relationship Id="rId69" Type="http://schemas.openxmlformats.org/officeDocument/2006/relationships/customXml" Target="../customXml/item8.xml"/><Relationship Id="rId77" Type="http://schemas.openxmlformats.org/officeDocument/2006/relationships/customXml" Target="../customXml/item16.xml"/><Relationship Id="rId8" Type="http://schemas.openxmlformats.org/officeDocument/2006/relationships/worksheet" Target="worksheets/sheet8.xml"/><Relationship Id="rId51" Type="http://schemas.microsoft.com/office/2007/relationships/slicerCache" Target="slicerCaches/slicerCache5.xml"/><Relationship Id="rId72" Type="http://schemas.openxmlformats.org/officeDocument/2006/relationships/customXml" Target="../customXml/item11.xml"/><Relationship Id="rId80" Type="http://schemas.openxmlformats.org/officeDocument/2006/relationships/customXml" Target="../customXml/item19.xml"/><Relationship Id="rId85" Type="http://schemas.openxmlformats.org/officeDocument/2006/relationships/customXml" Target="../customXml/item2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2.xml"/><Relationship Id="rId38" Type="http://schemas.openxmlformats.org/officeDocument/2006/relationships/pivotCacheDefinition" Target="pivotCache/pivotCacheDefinition7.xml"/><Relationship Id="rId46" Type="http://schemas.openxmlformats.org/officeDocument/2006/relationships/pivotCacheDefinition" Target="pivotCache/pivotCacheDefinition15.xml"/><Relationship Id="rId59" Type="http://schemas.openxmlformats.org/officeDocument/2006/relationships/sheetMetadata" Target="metadata.xml"/><Relationship Id="rId67" Type="http://schemas.openxmlformats.org/officeDocument/2006/relationships/customXml" Target="../customXml/item6.xml"/><Relationship Id="rId20" Type="http://schemas.openxmlformats.org/officeDocument/2006/relationships/worksheet" Target="worksheets/sheet20.xml"/><Relationship Id="rId41" Type="http://schemas.openxmlformats.org/officeDocument/2006/relationships/pivotCacheDefinition" Target="pivotCache/pivotCacheDefinition10.xml"/><Relationship Id="rId54" Type="http://schemas.microsoft.com/office/2007/relationships/slicerCache" Target="slicerCaches/slicerCache8.xml"/><Relationship Id="rId62" Type="http://schemas.openxmlformats.org/officeDocument/2006/relationships/customXml" Target="../customXml/item1.xml"/><Relationship Id="rId70" Type="http://schemas.openxmlformats.org/officeDocument/2006/relationships/customXml" Target="../customXml/item9.xml"/><Relationship Id="rId75" Type="http://schemas.openxmlformats.org/officeDocument/2006/relationships/customXml" Target="../customXml/item14.xml"/><Relationship Id="rId83"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5.xml"/><Relationship Id="rId49" Type="http://schemas.microsoft.com/office/2007/relationships/slicerCache" Target="slicerCaches/slicerCache3.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pivotCacheDefinition" Target="pivotCache/pivotCacheDefinition13.xml"/><Relationship Id="rId52" Type="http://schemas.microsoft.com/office/2007/relationships/slicerCache" Target="slicerCaches/slicerCache6.xml"/><Relationship Id="rId60" Type="http://schemas.openxmlformats.org/officeDocument/2006/relationships/powerPivotData" Target="model/item.data"/><Relationship Id="rId65" Type="http://schemas.openxmlformats.org/officeDocument/2006/relationships/customXml" Target="../customXml/item4.xml"/><Relationship Id="rId73" Type="http://schemas.openxmlformats.org/officeDocument/2006/relationships/customXml" Target="../customXml/item12.xml"/><Relationship Id="rId78" Type="http://schemas.openxmlformats.org/officeDocument/2006/relationships/customXml" Target="../customXml/item17.xml"/><Relationship Id="rId81" Type="http://schemas.openxmlformats.org/officeDocument/2006/relationships/customXml" Target="../customXml/item20.xml"/><Relationship Id="rId86"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pivotCacheDefinition" Target="pivotCache/pivotCacheDefinition8.xml"/><Relationship Id="rId34" Type="http://schemas.openxmlformats.org/officeDocument/2006/relationships/pivotCacheDefinition" Target="pivotCache/pivotCacheDefinition3.xml"/><Relationship Id="rId50" Type="http://schemas.microsoft.com/office/2007/relationships/slicerCache" Target="slicerCaches/slicerCache4.xml"/><Relationship Id="rId55" Type="http://schemas.openxmlformats.org/officeDocument/2006/relationships/theme" Target="theme/theme1.xml"/><Relationship Id="rId76" Type="http://schemas.openxmlformats.org/officeDocument/2006/relationships/customXml" Target="../customXml/item15.xml"/><Relationship Id="rId7" Type="http://schemas.openxmlformats.org/officeDocument/2006/relationships/worksheet" Target="worksheets/sheet7.xml"/><Relationship Id="rId71" Type="http://schemas.openxmlformats.org/officeDocument/2006/relationships/customXml" Target="../customXml/item10.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pivotCacheDefinition" Target="pivotCache/pivotCacheDefinition9.xml"/><Relationship Id="rId45" Type="http://schemas.openxmlformats.org/officeDocument/2006/relationships/pivotCacheDefinition" Target="pivotCache/pivotCacheDefinition14.xml"/><Relationship Id="rId66" Type="http://schemas.openxmlformats.org/officeDocument/2006/relationships/customXml" Target="../customXml/item5.xml"/><Relationship Id="rId61" Type="http://schemas.openxmlformats.org/officeDocument/2006/relationships/calcChain" Target="calcChain.xml"/><Relationship Id="rId82" Type="http://schemas.openxmlformats.org/officeDocument/2006/relationships/customXml" Target="../customXml/item2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8BD21D10-EC42-11CE-9E0D-00AA006002F3}"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8BD21D10-EC42-11CE-9E0D-00AA006002F3}"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8BD21D10-EC42-11CE-9E0D-00AA006002F3}" ax:persistence="persistStreamInit" r:id="rId1"/>
</file>

<file path=xl/activeX/activeX52.xml><?xml version="1.0" encoding="utf-8"?>
<ax:ocx xmlns:ax="http://schemas.microsoft.com/office/2006/activeX" xmlns:r="http://schemas.openxmlformats.org/officeDocument/2006/relationships" ax:classid="{8BD21D10-EC42-11CE-9E0D-00AA006002F3}"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8BD21D10-EC42-11CE-9E0D-00AA006002F3}" ax:persistence="persistStreamInit" r:id="rId1"/>
</file>

<file path=xl/activeX/activeX55.xml><?xml version="1.0" encoding="utf-8"?>
<ax:ocx xmlns:ax="http://schemas.microsoft.com/office/2006/activeX" xmlns:r="http://schemas.openxmlformats.org/officeDocument/2006/relationships" ax:classid="{8BD21D10-EC42-11CE-9E0D-00AA006002F3}"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Drop" dropStyle="combo" dx="22" fmlaLink="TARIFARIO!$A$89" fmlaRange="TARIFARIO!$B$89:$B$91" sel="2" val="0"/>
</file>

<file path=xl/ctrlProps/ctrlProp2.xml><?xml version="1.0" encoding="utf-8"?>
<formControlPr xmlns="http://schemas.microsoft.com/office/spreadsheetml/2009/9/main" objectType="Drop" dropStyle="combo" dx="22" fmlaLink="TARIFARIO!$A$80" fmlaRange="TARIFARIO!$B$80:$B$85" sel="5" val="0"/>
</file>

<file path=xl/ctrlProps/ctrlProp3.xml><?xml version="1.0" encoding="utf-8"?>
<formControlPr xmlns="http://schemas.microsoft.com/office/spreadsheetml/2009/9/main" objectType="Drop" dropStyle="combo" dx="22" fmlaLink="TARIFARIO!$A$94" fmlaRange="TARIFARIO!$B$94:$B$97" sel="2" val="0"/>
</file>

<file path=xl/ctrlProps/ctrlProp4.xml><?xml version="1.0" encoding="utf-8"?>
<formControlPr xmlns="http://schemas.microsoft.com/office/spreadsheetml/2009/9/main" objectType="Drop" dropStyle="combo" dx="22" fmlaLink="TARIFARIO!$A$121" fmlaRange="TARIFARIO!$B$122:$B$130" sel="3" val="0"/>
</file>

<file path=xl/ctrlProps/ctrlProp5.xml><?xml version="1.0" encoding="utf-8"?>
<formControlPr xmlns="http://schemas.microsoft.com/office/spreadsheetml/2009/9/main" objectType="Drop" dropStyle="combo" dx="22" fmlaLink="'DATOS DE EQUIPAMIENTO'!$O$8" fmlaRange="'DATOS DE EQUIPAMIENTO'!$O$11:$O$12" sel="1" val="0"/>
</file>

<file path=xl/ctrlProps/ctrlProp6.xml><?xml version="1.0" encoding="utf-8"?>
<formControlPr xmlns="http://schemas.microsoft.com/office/spreadsheetml/2009/9/main" objectType="Drop" dropStyle="combo" dx="22" fmlaLink="'DATOS DE EQUIPAMIENTO'!$I$8" fmlaRange="'DATOS DE EQUIPAMIENTO'!$I$11:$I$14" sel="2" val="0"/>
</file>

<file path=xl/ctrlProps/ctrlProp7.xml><?xml version="1.0" encoding="utf-8"?>
<formControlPr xmlns="http://schemas.microsoft.com/office/spreadsheetml/2009/9/main" objectType="Drop" dropStyle="combo" dx="22" fmlaLink="TARIFARIO!$A$134" fmlaRange="TARIFARIO!$B$134:$B$138" sel="3" val="0"/>
</file>

<file path=xl/ctrlProps/ctrlProp8.xml><?xml version="1.0" encoding="utf-8"?>
<formControlPr xmlns="http://schemas.microsoft.com/office/spreadsheetml/2009/9/main" objectType="Drop" dropStyle="combo" dx="22" fmlaLink="TARIFARIO!$A$158" fmlaRange="TARIFARIO!$B$160:$B$175" sel="16" val="8"/>
</file>

<file path=xl/ctrlProps/ctrlProp9.xml><?xml version="1.0" encoding="utf-8"?>
<formControlPr xmlns="http://schemas.microsoft.com/office/spreadsheetml/2009/9/main" objectType="Drop" dropStyle="combo" dx="22" fmlaLink="TARIFARIO!$A$149" fmlaRange="TARIFARIO!$B$151:$B$156" sel="5" val="0"/>
</file>

<file path=xl/ctrlProps/ctrlProp10.xml><?xml version="1.0" encoding="utf-8"?>
<formControlPr xmlns="http://schemas.microsoft.com/office/spreadsheetml/2009/9/main" objectType="Drop" dropStyle="combo" dx="22" fmlaLink="'DATOS DE EQUIPAMIENTO'!$AC$8" fmlaRange="'DATOS DE EQUIPAMIENTO'!$AC$11:$AC$13" sel="1" val="0"/>
</file>

<file path=xl/ctrlProps/ctrlProp11.xml><?xml version="1.0" encoding="utf-8"?>
<formControlPr xmlns="http://schemas.microsoft.com/office/spreadsheetml/2009/9/main" objectType="Drop" dropStyle="combo" dx="22" fmlaLink="'DATOS DE EQUIPAMIENTO'!$AD$8" fmlaRange="'DATOS DE EQUIPAMIENTO'!$AD$11:$AD$13" sel="1" val="0"/>
</file>

<file path=xl/ctrlProps/ctrlProp12.xml><?xml version="1.0" encoding="utf-8"?>
<formControlPr xmlns="http://schemas.microsoft.com/office/spreadsheetml/2009/9/main" objectType="Drop" dropStyle="combo" dx="22" fmlaLink="TARIFARIO!$A$178" fmlaRange="TARIFARIO!$B$180:$B$183" sel="1" val="0"/>
</file>

<file path=xl/ctrlProps/ctrlProp13.xml><?xml version="1.0" encoding="utf-8"?>
<formControlPr xmlns="http://schemas.microsoft.com/office/spreadsheetml/2009/9/main" objectType="Drop" dropStyle="combo" dx="22" fmlaLink="TARIFARIO!$A$185" fmlaRange="TARIFARIO!$B$187:$B$196" sel="6" val="2"/>
</file>

<file path=xl/ctrlProps/ctrlProp14.xml><?xml version="1.0" encoding="utf-8"?>
<formControlPr xmlns="http://schemas.microsoft.com/office/spreadsheetml/2009/9/main" objectType="Drop" dropStyle="combo" dx="22" fmlaLink="'DATOS DE EQUIPAMIENTO'!$AL$8" fmlaRange="'DATOS DE EQUIPAMIENTO'!$AL$11:$AL$23" sel="9" val="5"/>
</file>

<file path=xl/ctrlProps/ctrlProp15.xml><?xml version="1.0" encoding="utf-8"?>
<formControlPr xmlns="http://schemas.microsoft.com/office/spreadsheetml/2009/9/main" objectType="Drop" dropStyle="combo" dx="22" fmlaLink="'DATOS DE EQUIPAMIENTO'!$AH$8" fmlaRange="'DATOS DE EQUIPAMIENTO'!$AH$11:$AH$23" sel="9" val="5"/>
</file>

<file path=xl/ctrlProps/ctrlProp16.xml><?xml version="1.0" encoding="utf-8"?>
<formControlPr xmlns="http://schemas.microsoft.com/office/spreadsheetml/2009/9/main" objectType="Drop" dropStyle="combo" dx="22" fmlaLink="TARIFARIO!$A$202" fmlaRange="TARIFARIO!$B$202:$B$229" sel="6" val="0"/>
</file>

<file path=xl/ctrlProps/ctrlProp17.xml><?xml version="1.0" encoding="utf-8"?>
<formControlPr xmlns="http://schemas.microsoft.com/office/spreadsheetml/2009/9/main" objectType="Drop" dropStyle="combo" dx="22" fmlaLink="TARIFARIO!$A$204" fmlaRange="TARIFARIO!$B$202:$B$229" sel="4" val="2"/>
</file>

<file path=xl/ctrlProps/ctrlProp18.xml><?xml version="1.0" encoding="utf-8"?>
<formControlPr xmlns="http://schemas.microsoft.com/office/spreadsheetml/2009/9/main" objectType="Drop" dropStyle="combo" dx="22" fmlaLink="TARIFARIO!$A$205" fmlaRange="TARIFARIO!$B$202:$B$229" sel="27" val="20"/>
</file>

<file path=xl/ctrlProps/ctrlProp19.xml><?xml version="1.0" encoding="utf-8"?>
<formControlPr xmlns="http://schemas.microsoft.com/office/spreadsheetml/2009/9/main" objectType="Drop" dropStyle="combo" dx="22" fmlaLink="TARIFARIO!$A$206" fmlaRange="TARIFARIO!$B$202:$B$229" sel="9" val="8"/>
</file>

<file path=xl/ctrlProps/ctrlProp20.xml><?xml version="1.0" encoding="utf-8"?>
<formControlPr xmlns="http://schemas.microsoft.com/office/spreadsheetml/2009/9/main" objectType="Drop" dropStyle="combo" dx="22" fmlaLink="TARIFARIO!$A$207" fmlaRange="TARIFARIO!$B$202:$B$229" sel="28" val="20"/>
</file>

<file path=xl/ctrlProps/ctrlProp21.xml><?xml version="1.0" encoding="utf-8"?>
<formControlPr xmlns="http://schemas.microsoft.com/office/spreadsheetml/2009/9/main" objectType="Drop" dropStyle="combo" dx="22" fmlaLink="TARIFARIO!$A$208" fmlaRange="TARIFARIO!$B$202:$B$229" sel="28" val="20"/>
</file>

<file path=xl/ctrlProps/ctrlProp22.xml><?xml version="1.0" encoding="utf-8"?>
<formControlPr xmlns="http://schemas.microsoft.com/office/spreadsheetml/2009/9/main" objectType="Drop" dropStyle="combo" dx="22" fmlaLink="PRODUCTOS!$BF$7" fmlaRange="PRODUCTOS!$BF$9:$BF$18" sel="2" val="0"/>
</file>

<file path=xl/ctrlProps/ctrlProp23.xml><?xml version="1.0" encoding="utf-8"?>
<formControlPr xmlns="http://schemas.microsoft.com/office/spreadsheetml/2009/9/main" objectType="Drop" dropStyle="combo" dx="22" fmlaLink="TARIFARIO!$A$69" fmlaRange="TARIFARIO!$B$69:$B$71" sel="1" val="0"/>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Style="combo" dx="22" fmlaLink="TARIFARIO!$A$212" fmlaRange="TARIFARIO!$B$202:$B$229" sel="28" val="20"/>
</file>

<file path=xl/ctrlProps/ctrlProp26.xml><?xml version="1.0" encoding="utf-8"?>
<formControlPr xmlns="http://schemas.microsoft.com/office/spreadsheetml/2009/9/main" objectType="Drop" dropStyle="combo" dx="22" fmlaLink="'DATOS DE EQUIPAMIENTO'!$AH$7" fmlaRange="'DATOS DE EQUIPAMIENTO'!$AH$11:$AH$23" sel="1" val="0"/>
</file>

<file path=xl/ctrlProps/ctrlProp27.xml><?xml version="1.0" encoding="utf-8"?>
<formControlPr xmlns="http://schemas.microsoft.com/office/spreadsheetml/2009/9/main" objectType="Drop" dropStyle="combo" dx="22" fmlaLink="TARIFARIO!$A$180" fmlaRange="TARIFARIO!$B$180:$B$184" sel="5" val="0"/>
</file>

<file path=xl/ctrlProps/ctrlProp28.xml><?xml version="1.0" encoding="utf-8"?>
<formControlPr xmlns="http://schemas.microsoft.com/office/spreadsheetml/2009/9/main" objectType="Drop" dropStyle="combo" dx="22" fmlaLink="'DATOS DE EQUIPAMIENTO'!$AL$7" fmlaRange="'DATOS DE EQUIPAMIENTO'!$AL$11:$AL$23" sel="1" val="0"/>
</file>

<file path=xl/ctrlProps/ctrlProp29.xml><?xml version="1.0" encoding="utf-8"?>
<formControlPr xmlns="http://schemas.microsoft.com/office/spreadsheetml/2009/9/main" objectType="Drop" dropStyle="combo" dx="22" fmlaLink="TARIFARIO!$A$188" fmlaRange="TARIFARIO!$B$187:$B$196" sel="10" val="2"/>
</file>

<file path=xl/ctrlProps/ctrlProp30.xml><?xml version="1.0" encoding="utf-8"?>
<formControlPr xmlns="http://schemas.microsoft.com/office/spreadsheetml/2009/9/main" objectType="Drop" dropStyle="combo" dx="22" fmlaLink="TARIFARIO!$A$164" fmlaRange="TARIFARIO!$B$160:$B$177" sel="17" val="0"/>
</file>

<file path=xl/ctrlProps/ctrlProp31.xml><?xml version="1.0" encoding="utf-8"?>
<formControlPr xmlns="http://schemas.microsoft.com/office/spreadsheetml/2009/9/main" objectType="Drop" dropStyle="combo" dx="22" fmlaLink="TARIFARIO!$A$236" fmlaRange="TARIFARIO!$B$237:$B$246" sel="10" val="2"/>
</file>

<file path=xl/ctrlProps/ctrlProp32.xml><?xml version="1.0" encoding="utf-8"?>
<formControlPr xmlns="http://schemas.microsoft.com/office/spreadsheetml/2009/9/main" objectType="Drop" dropStyle="combo" dx="22" fmlaLink="TARIFARIO!$A$95" fmlaRange="TARIFARIO!$B$94:$B$97" sel="4" val="0"/>
</file>

<file path=xl/ctrlProps/ctrlProp33.xml><?xml version="1.0" encoding="utf-8"?>
<formControlPr xmlns="http://schemas.microsoft.com/office/spreadsheetml/2009/9/main" objectType="Drop" dropStyle="combo" dx="22" fmlaLink="'DATOS DE EQUIPAMIENTO'!$I$7" fmlaRange="'DATOS DE EQUIPAMIENTO'!$I$11:$I$14" sel="3" val="0"/>
</file>

<file path=xl/ctrlProps/ctrlProp34.xml><?xml version="1.0" encoding="utf-8"?>
<formControlPr xmlns="http://schemas.microsoft.com/office/spreadsheetml/2009/9/main" objectType="Drop" dropStyle="combo" dx="22" fmlaLink="TARIFARIO!$A$81" fmlaRange="TARIFARIO!$B$80:$B$85" noThreeD="1" sel="5" val="0"/>
</file>

<file path=xl/ctrlProps/ctrlProp35.xml><?xml version="1.0" encoding="utf-8"?>
<formControlPr xmlns="http://schemas.microsoft.com/office/spreadsheetml/2009/9/main" objectType="Drop" dropStyle="combo" dx="22" fmlaLink="TARIFARIO!$A$90" fmlaRange="TARIFARIO!$B$89:$B$91" noThreeD="1" sel="2" val="0"/>
</file>

<file path=xl/ctrlProps/ctrlProp36.xml><?xml version="1.0" encoding="utf-8"?>
<formControlPr xmlns="http://schemas.microsoft.com/office/spreadsheetml/2009/9/main" objectType="Drop" dropStyle="combo" dx="22" fmlaLink="PRODUCTOS!$CB$7" fmlaRange="PRODUCTOS!$CB$9" noThreeD="1" sel="1" val="0"/>
</file>

<file path=xl/ctrlProps/ctrlProp37.xml><?xml version="1.0" encoding="utf-8"?>
<formControlPr xmlns="http://schemas.microsoft.com/office/spreadsheetml/2009/9/main" objectType="Drop" dropStyle="combo" dx="22" fmlaLink="TARIFARIO!$A$181" fmlaRange="TARIFARIO!$B$180:$B$183" noThreeD="1" sel="4" val="0"/>
</file>

<file path=xl/ctrlProps/ctrlProp38.xml><?xml version="1.0" encoding="utf-8"?>
<formControlPr xmlns="http://schemas.microsoft.com/office/spreadsheetml/2009/9/main" objectType="Drop" dropStyle="combo" dx="22" fmlaLink="TARIFARIO!$A$187" fmlaRange="TARIFARIO!$B$187:$B$196" noThreeD="1" sel="9" val="2"/>
</file>

<file path=xl/ctrlProps/ctrlProp39.xml><?xml version="1.0" encoding="utf-8"?>
<formControlPr xmlns="http://schemas.microsoft.com/office/spreadsheetml/2009/9/main" objectType="Drop" dropStyle="combo" dx="22" fmlaLink="'DATOS DE EQUIPAMIENTO'!$AC$7" fmlaRange="'DATOS DE EQUIPAMIENTO'!$AC$11:$AC$13" noThreeD="1" sel="1" val="0"/>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Drop" dropStyle="combo" dx="22" fmlaLink="TARIFARIO!$A$182" fmlaRange="TARIFARIO!$B$180:$B$183" noThreeD="1" sel="4" val="0"/>
</file>

<file path=xl/drawings/_rels/drawing1.xml.rels><?xml version="1.0" encoding="UTF-8" standalone="yes"?>
<Relationships xmlns="http://schemas.openxmlformats.org/package/2006/relationships"><Relationship Id="rId8" Type="http://schemas.openxmlformats.org/officeDocument/2006/relationships/hyperlink" Target="#Lovi!A1"/><Relationship Id="rId3" Type="http://schemas.openxmlformats.org/officeDocument/2006/relationships/hyperlink" Target="#Ventas!A1"/><Relationship Id="rId7" Type="http://schemas.openxmlformats.org/officeDocument/2006/relationships/hyperlink" Target="#'REG DE PAGOS RECIB'!A1"/><Relationship Id="rId2" Type="http://schemas.openxmlformats.org/officeDocument/2006/relationships/hyperlink" Target="#'base clientes'!A1"/><Relationship Id="rId1" Type="http://schemas.openxmlformats.org/officeDocument/2006/relationships/hyperlink" Target="#'Cap Cliente'!A1"/><Relationship Id="rId6" Type="http://schemas.openxmlformats.org/officeDocument/2006/relationships/hyperlink" Target="#PRODUCTOS!A1"/><Relationship Id="rId11" Type="http://schemas.openxmlformats.org/officeDocument/2006/relationships/image" Target="../media/image2.emf"/><Relationship Id="rId5" Type="http://schemas.openxmlformats.org/officeDocument/2006/relationships/hyperlink" Target="#'PAGOS RECIBIDOS'!A1"/><Relationship Id="rId10" Type="http://schemas.openxmlformats.org/officeDocument/2006/relationships/image" Target="../media/image1.emf"/><Relationship Id="rId4" Type="http://schemas.openxmlformats.org/officeDocument/2006/relationships/hyperlink" Target="#'REG DE VENTAS'!A1"/><Relationship Id="rId9" Type="http://schemas.openxmlformats.org/officeDocument/2006/relationships/hyperlink" Target="#PRESUPUESTO!A1"/></Relationships>
</file>

<file path=xl/drawings/_rels/drawing2.xml.rels><?xml version="1.0" encoding="UTF-8" standalone="yes"?>
<Relationships xmlns="http://schemas.openxmlformats.org/package/2006/relationships"><Relationship Id="rId8" Type="http://schemas.openxmlformats.org/officeDocument/2006/relationships/hyperlink" Target="#eQUIPAMIENTO!A1"/><Relationship Id="rId3" Type="http://schemas.openxmlformats.org/officeDocument/2006/relationships/hyperlink" Target="#CLIENTES!A1"/><Relationship Id="rId7" Type="http://schemas.openxmlformats.org/officeDocument/2006/relationships/image" Target="../media/image6.jpg"/><Relationship Id="rId2" Type="http://schemas.openxmlformats.org/officeDocument/2006/relationships/image" Target="../media/image5.png"/><Relationship Id="rId1" Type="http://schemas.openxmlformats.org/officeDocument/2006/relationships/hyperlink" Target="#COTIZACION!A1"/><Relationship Id="rId6" Type="http://schemas.openxmlformats.org/officeDocument/2006/relationships/hyperlink" Target="#LOBBY!A1"/><Relationship Id="rId5" Type="http://schemas.openxmlformats.org/officeDocument/2006/relationships/hyperlink" Target="#'CARTA FACTURA'!A1"/><Relationship Id="rId4" Type="http://schemas.openxmlformats.org/officeDocument/2006/relationships/hyperlink" Target="#base_presupuesto1!A1"/></Relationships>
</file>

<file path=xl/drawings/_rels/drawing3.xml.rels><?xml version="1.0" encoding="UTF-8" standalone="yes"?>
<Relationships xmlns="http://schemas.openxmlformats.org/package/2006/relationships"><Relationship Id="rId8" Type="http://schemas.openxmlformats.org/officeDocument/2006/relationships/hyperlink" Target="#TARIFARIO!A106:A117"/><Relationship Id="rId3" Type="http://schemas.openxmlformats.org/officeDocument/2006/relationships/hyperlink" Target="#TARIFARIO!A57:A59"/><Relationship Id="rId7" Type="http://schemas.openxmlformats.org/officeDocument/2006/relationships/hyperlink" Target="#TARIFARIO!A87:A105"/><Relationship Id="rId2" Type="http://schemas.openxmlformats.org/officeDocument/2006/relationships/hyperlink" Target="#TARIFARIO!A47:A54"/><Relationship Id="rId1" Type="http://schemas.openxmlformats.org/officeDocument/2006/relationships/hyperlink" Target="#TARIFARIO!A32:A44"/><Relationship Id="rId6" Type="http://schemas.openxmlformats.org/officeDocument/2006/relationships/hyperlink" Target="#TARIFARIO!A81:A86"/><Relationship Id="rId11" Type="http://schemas.openxmlformats.org/officeDocument/2006/relationships/hyperlink" Target="#TARIFARIO!A136:A142"/><Relationship Id="rId5" Type="http://schemas.openxmlformats.org/officeDocument/2006/relationships/hyperlink" Target="#TARIFARIO!A76:A80"/><Relationship Id="rId10" Type="http://schemas.openxmlformats.org/officeDocument/2006/relationships/hyperlink" Target="#TARIFARIO!A126:A134"/><Relationship Id="rId4" Type="http://schemas.openxmlformats.org/officeDocument/2006/relationships/hyperlink" Target="#TARIFARIO!A62:A67"/><Relationship Id="rId9" Type="http://schemas.openxmlformats.org/officeDocument/2006/relationships/hyperlink" Target="#TARIFARIO!A118:A124"/></Relationships>
</file>

<file path=xl/drawings/_rels/drawing6.x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png"/><Relationship Id="rId1" Type="http://schemas.openxmlformats.org/officeDocument/2006/relationships/image" Target="../media/image14.png"/><Relationship Id="rId6" Type="http://schemas.openxmlformats.org/officeDocument/2006/relationships/image" Target="../media/image19.emf"/><Relationship Id="rId5" Type="http://schemas.openxmlformats.org/officeDocument/2006/relationships/image" Target="../media/image18.png"/><Relationship Id="rId4" Type="http://schemas.openxmlformats.org/officeDocument/2006/relationships/image" Target="../media/image1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9.emf"/><Relationship Id="rId2" Type="http://schemas.microsoft.com/office/2007/relationships/hdphoto" Target="../media/hdphoto1.wdp"/><Relationship Id="rId1" Type="http://schemas.openxmlformats.org/officeDocument/2006/relationships/image" Target="../media/image28.png"/><Relationship Id="rId5" Type="http://schemas.microsoft.com/office/2007/relationships/hdphoto" Target="../media/hdphoto2.wdp"/><Relationship Id="rId4" Type="http://schemas.openxmlformats.org/officeDocument/2006/relationships/image" Target="../media/image29.png"/></Relationships>
</file>

<file path=xl/drawings/_rels/drawing9.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8.png"/></Relationships>
</file>

<file path=xl/drawings/_rels/drawing10.xml.rels><?xml version="1.0" encoding="UTF-8" standalone="yes"?>
<Relationships xmlns="http://schemas.openxmlformats.org/package/2006/relationships"><Relationship Id="rId3" Type="http://schemas.openxmlformats.org/officeDocument/2006/relationships/image" Target="../media/image40.png"/><Relationship Id="rId2" Type="http://schemas.microsoft.com/office/2007/relationships/hdphoto" Target="../media/hdphoto1.wdp"/><Relationship Id="rId1" Type="http://schemas.openxmlformats.org/officeDocument/2006/relationships/image" Target="../media/image28.png"/><Relationship Id="rId5" Type="http://schemas.openxmlformats.org/officeDocument/2006/relationships/image" Target="../media/image41.jpeg"/><Relationship Id="rId4" Type="http://schemas.microsoft.com/office/2007/relationships/hdphoto" Target="../media/hdphoto3.wdp"/></Relationships>
</file>

<file path=xl/drawings/_rels/drawing11.xml.rels><?xml version="1.0" encoding="UTF-8" standalone="yes"?>
<Relationships xmlns="http://schemas.openxmlformats.org/package/2006/relationships"><Relationship Id="rId1" Type="http://schemas.openxmlformats.org/officeDocument/2006/relationships/image" Target="../media/image43.jpeg"/></Relationships>
</file>

<file path=xl/drawings/_rels/drawing12.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8.png"/><Relationship Id="rId1" Type="http://schemas.openxmlformats.org/officeDocument/2006/relationships/image" Target="../media/image44.jpeg"/><Relationship Id="rId5" Type="http://schemas.openxmlformats.org/officeDocument/2006/relationships/image" Target="../media/image46.jpeg"/><Relationship Id="rId4" Type="http://schemas.openxmlformats.org/officeDocument/2006/relationships/image" Target="../media/image45.jpeg"/></Relationships>
</file>

<file path=xl/drawings/_rels/drawing17.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62.emf"/><Relationship Id="rId1" Type="http://schemas.openxmlformats.org/officeDocument/2006/relationships/image" Target="../media/image61.emf"/><Relationship Id="rId4" Type="http://schemas.microsoft.com/office/2007/relationships/hdphoto" Target="../media/hdphoto1.wdp"/></Relationships>
</file>

<file path=xl/drawings/_rels/drawing18.x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image" Target="../media/image67.emf"/></Relationships>
</file>

<file path=xl/drawings/_rels/drawing19.xml.rels><?xml version="1.0" encoding="UTF-8" standalone="yes"?>
<Relationships xmlns="http://schemas.openxmlformats.org/package/2006/relationships"><Relationship Id="rId8" Type="http://schemas.openxmlformats.org/officeDocument/2006/relationships/hyperlink" Target="#Ajustes!A1"/><Relationship Id="rId3" Type="http://schemas.openxmlformats.org/officeDocument/2006/relationships/hyperlink" Target="#CLIENTES!A1"/><Relationship Id="rId7" Type="http://schemas.openxmlformats.org/officeDocument/2006/relationships/hyperlink" Target="#'PRES PLANAS'!A1"/><Relationship Id="rId2" Type="http://schemas.openxmlformats.org/officeDocument/2006/relationships/image" Target="../media/image5.png"/><Relationship Id="rId1" Type="http://schemas.openxmlformats.org/officeDocument/2006/relationships/hyperlink" Target="#COTIZACION!A1"/><Relationship Id="rId6" Type="http://schemas.openxmlformats.org/officeDocument/2006/relationships/hyperlink" Target="#'fotos para cotizacion'!A1"/><Relationship Id="rId11" Type="http://schemas.microsoft.com/office/2007/relationships/hdphoto" Target="../media/hdphoto4.wdp"/><Relationship Id="rId5" Type="http://schemas.openxmlformats.org/officeDocument/2006/relationships/hyperlink" Target="#'CARTA FACTURA'!A1"/><Relationship Id="rId10" Type="http://schemas.openxmlformats.org/officeDocument/2006/relationships/image" Target="../media/image71.png"/><Relationship Id="rId4" Type="http://schemas.openxmlformats.org/officeDocument/2006/relationships/hyperlink" Target="#base_presupuesto1!A1"/><Relationship Id="rId9" Type="http://schemas.openxmlformats.org/officeDocument/2006/relationships/hyperlink" Target="#eQUIPAMIENTO!A1"/></Relationships>
</file>

<file path=xl/drawings/_rels/drawing20.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hyperlink" Target="#LOBBY!A1"/></Relationships>
</file>

<file path=xl/drawings/_rels/drawing21.xml.rels><?xml version="1.0" encoding="UTF-8" standalone="yes"?>
<Relationships xmlns="http://schemas.openxmlformats.org/package/2006/relationships"><Relationship Id="rId8" Type="http://schemas.microsoft.com/office/2007/relationships/hdphoto" Target="../media/hdphoto7.wdp"/><Relationship Id="rId13" Type="http://schemas.openxmlformats.org/officeDocument/2006/relationships/image" Target="../media/image76.png"/><Relationship Id="rId3" Type="http://schemas.openxmlformats.org/officeDocument/2006/relationships/image" Target="../media/image29.png"/><Relationship Id="rId7" Type="http://schemas.openxmlformats.org/officeDocument/2006/relationships/image" Target="../media/image74.png"/><Relationship Id="rId12" Type="http://schemas.openxmlformats.org/officeDocument/2006/relationships/image" Target="../media/image5.png"/><Relationship Id="rId2" Type="http://schemas.microsoft.com/office/2007/relationships/hdphoto" Target="../media/hdphoto5.wdp"/><Relationship Id="rId1" Type="http://schemas.openxmlformats.org/officeDocument/2006/relationships/image" Target="../media/image72.png"/><Relationship Id="rId6" Type="http://schemas.microsoft.com/office/2007/relationships/hdphoto" Target="../media/hdphoto6.wdp"/><Relationship Id="rId11" Type="http://schemas.openxmlformats.org/officeDocument/2006/relationships/hyperlink" Target="#LOBBY!A1"/><Relationship Id="rId5" Type="http://schemas.openxmlformats.org/officeDocument/2006/relationships/image" Target="../media/image73.png"/><Relationship Id="rId10" Type="http://schemas.microsoft.com/office/2007/relationships/hdphoto" Target="../media/hdphoto8.wdp"/><Relationship Id="rId4" Type="http://schemas.microsoft.com/office/2007/relationships/hdphoto" Target="../media/hdphoto2.wdp"/><Relationship Id="rId9" Type="http://schemas.openxmlformats.org/officeDocument/2006/relationships/image" Target="../media/image75.png"/></Relationships>
</file>

<file path=xl/drawings/_rels/drawing22.xml.rels><?xml version="1.0" encoding="UTF-8" standalone="yes"?>
<Relationships xmlns="http://schemas.openxmlformats.org/package/2006/relationships"><Relationship Id="rId3" Type="http://schemas.openxmlformats.org/officeDocument/2006/relationships/image" Target="../media/image75.png"/><Relationship Id="rId2" Type="http://schemas.microsoft.com/office/2007/relationships/hdphoto" Target="../media/hdphoto7.wdp"/><Relationship Id="rId1" Type="http://schemas.openxmlformats.org/officeDocument/2006/relationships/image" Target="../media/image74.png"/><Relationship Id="rId4" Type="http://schemas.microsoft.com/office/2007/relationships/hdphoto" Target="../media/hdphoto8.wdp"/></Relationships>
</file>

<file path=xl/drawings/_rels/drawing23.xml.rels><?xml version="1.0" encoding="UTF-8" standalone="yes"?>
<Relationships xmlns="http://schemas.openxmlformats.org/package/2006/relationships"><Relationship Id="rId1" Type="http://schemas.openxmlformats.org/officeDocument/2006/relationships/image" Target="../media/image80.png"/></Relationships>
</file>

<file path=xl/drawings/_rels/drawing27.xml.rels><?xml version="1.0" encoding="UTF-8" standalone="yes"?>
<Relationships xmlns="http://schemas.openxmlformats.org/package/2006/relationships"><Relationship Id="rId3" Type="http://schemas.openxmlformats.org/officeDocument/2006/relationships/image" Target="../media/image88.jpg"/><Relationship Id="rId2" Type="http://schemas.openxmlformats.org/officeDocument/2006/relationships/image" Target="../media/image87.jpg"/><Relationship Id="rId1" Type="http://schemas.openxmlformats.org/officeDocument/2006/relationships/image" Target="../media/image86.jpeg"/><Relationship Id="rId6" Type="http://schemas.openxmlformats.org/officeDocument/2006/relationships/image" Target="../media/image91.jpeg"/><Relationship Id="rId5" Type="http://schemas.openxmlformats.org/officeDocument/2006/relationships/image" Target="../media/image90.jpeg"/><Relationship Id="rId4" Type="http://schemas.openxmlformats.org/officeDocument/2006/relationships/image" Target="../media/image89.jp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png"/><Relationship Id="rId7" Type="http://schemas.openxmlformats.org/officeDocument/2006/relationships/image" Target="../media/image24.png"/><Relationship Id="rId2" Type="http://schemas.openxmlformats.org/officeDocument/2006/relationships/image" Target="../media/image11.emf"/><Relationship Id="rId1" Type="http://schemas.openxmlformats.org/officeDocument/2006/relationships/image" Target="../media/image13.emf"/><Relationship Id="rId6" Type="http://schemas.openxmlformats.org/officeDocument/2006/relationships/image" Target="../media/image23.png"/><Relationship Id="rId5" Type="http://schemas.openxmlformats.org/officeDocument/2006/relationships/image" Target="../media/image22.emf"/><Relationship Id="rId4" Type="http://schemas.openxmlformats.org/officeDocument/2006/relationships/image" Target="../media/image21.png"/></Relationships>
</file>

<file path=xl/drawings/_rels/vmlDrawing8.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30.jpeg"/></Relationships>
</file>

<file path=xl/drawings/_rels/vmlDrawing10.vml.rels><?xml version="1.0" encoding="UTF-8" standalone="yes"?>
<Relationships xmlns="http://schemas.openxmlformats.org/package/2006/relationships"><Relationship Id="rId8" Type="http://schemas.openxmlformats.org/officeDocument/2006/relationships/image" Target="../media/image38.emf"/><Relationship Id="rId3" Type="http://schemas.openxmlformats.org/officeDocument/2006/relationships/image" Target="../media/image13.emf"/><Relationship Id="rId7" Type="http://schemas.openxmlformats.org/officeDocument/2006/relationships/image" Target="../media/image37.emf"/><Relationship Id="rId2" Type="http://schemas.openxmlformats.org/officeDocument/2006/relationships/image" Target="../media/image32.emf"/><Relationship Id="rId1" Type="http://schemas.openxmlformats.org/officeDocument/2006/relationships/image" Target="../media/image33.emf"/><Relationship Id="rId6" Type="http://schemas.openxmlformats.org/officeDocument/2006/relationships/image" Target="../media/image36.emf"/><Relationship Id="rId5" Type="http://schemas.openxmlformats.org/officeDocument/2006/relationships/image" Target="../media/image35.emf"/><Relationship Id="rId4" Type="http://schemas.openxmlformats.org/officeDocument/2006/relationships/image" Target="../media/image34.emf"/><Relationship Id="rId9" Type="http://schemas.openxmlformats.org/officeDocument/2006/relationships/image" Target="../media/image39.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42.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4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5.vml.rels><?xml version="1.0" encoding="UTF-8" standalone="yes"?>
<Relationships xmlns="http://schemas.openxmlformats.org/package/2006/relationships"><Relationship Id="rId8" Type="http://schemas.openxmlformats.org/officeDocument/2006/relationships/image" Target="../media/image56.emf"/><Relationship Id="rId3" Type="http://schemas.openxmlformats.org/officeDocument/2006/relationships/image" Target="../media/image51.emf"/><Relationship Id="rId7" Type="http://schemas.openxmlformats.org/officeDocument/2006/relationships/image" Target="../media/image55.emf"/><Relationship Id="rId2" Type="http://schemas.openxmlformats.org/officeDocument/2006/relationships/image" Target="../media/image50.emf"/><Relationship Id="rId1" Type="http://schemas.openxmlformats.org/officeDocument/2006/relationships/image" Target="../media/image49.emf"/><Relationship Id="rId6" Type="http://schemas.openxmlformats.org/officeDocument/2006/relationships/image" Target="../media/image54.emf"/><Relationship Id="rId11" Type="http://schemas.openxmlformats.org/officeDocument/2006/relationships/image" Target="../media/image58.emf"/><Relationship Id="rId5" Type="http://schemas.openxmlformats.org/officeDocument/2006/relationships/image" Target="../media/image53.emf"/><Relationship Id="rId10" Type="http://schemas.openxmlformats.org/officeDocument/2006/relationships/image" Target="../media/image48.emf"/><Relationship Id="rId4" Type="http://schemas.openxmlformats.org/officeDocument/2006/relationships/image" Target="../media/image52.emf"/><Relationship Id="rId9" Type="http://schemas.openxmlformats.org/officeDocument/2006/relationships/image" Target="../media/image57.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60.emf"/><Relationship Id="rId1" Type="http://schemas.openxmlformats.org/officeDocument/2006/relationships/image" Target="../media/image59.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59.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0.emf"/><Relationship Id="rId1" Type="http://schemas.openxmlformats.org/officeDocument/2006/relationships/image" Target="../media/image13.emf"/><Relationship Id="rId4" Type="http://schemas.openxmlformats.org/officeDocument/2006/relationships/image" Target="../media/image64.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60.emf"/><Relationship Id="rId1" Type="http://schemas.openxmlformats.org/officeDocument/2006/relationships/image" Target="../media/image65.emf"/><Relationship Id="rId6" Type="http://schemas.openxmlformats.org/officeDocument/2006/relationships/image" Target="../media/image69.emf"/><Relationship Id="rId5" Type="http://schemas.openxmlformats.org/officeDocument/2006/relationships/image" Target="../media/image68.emf"/><Relationship Id="rId4" Type="http://schemas.openxmlformats.org/officeDocument/2006/relationships/image" Target="../media/image21.png"/></Relationships>
</file>

<file path=xl/drawings/_rels/vmlDrawing22.vml.rels><?xml version="1.0" encoding="UTF-8" standalone="yes"?>
<Relationships xmlns="http://schemas.openxmlformats.org/package/2006/relationships"><Relationship Id="rId3" Type="http://schemas.openxmlformats.org/officeDocument/2006/relationships/image" Target="../media/image79.emf"/><Relationship Id="rId2" Type="http://schemas.openxmlformats.org/officeDocument/2006/relationships/image" Target="../media/image78.emf"/><Relationship Id="rId1" Type="http://schemas.openxmlformats.org/officeDocument/2006/relationships/image" Target="../media/image77.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drawing1.xml><?xml version="1.0" encoding="utf-8"?>
<xdr:wsDr xmlns:xdr="http://schemas.openxmlformats.org/drawingml/2006/spreadsheetDrawing" xmlns:a="http://schemas.openxmlformats.org/drawingml/2006/main">
  <xdr:twoCellAnchor editAs="absolute">
    <xdr:from>
      <xdr:col>14</xdr:col>
      <xdr:colOff>600075</xdr:colOff>
      <xdr:row>0</xdr:row>
      <xdr:rowOff>50801</xdr:rowOff>
    </xdr:from>
    <xdr:to>
      <xdr:col>15</xdr:col>
      <xdr:colOff>714375</xdr:colOff>
      <xdr:row>1</xdr:row>
      <xdr:rowOff>107951</xdr:rowOff>
    </xdr:to>
    <xdr:sp macro="[0]!ACTUALIZAR_T" textlink="">
      <xdr:nvSpPr>
        <xdr:cNvPr id="2" name="Rectángulo: esquinas redondeadas 1">
          <a:extLst>
            <a:ext uri="{FF2B5EF4-FFF2-40B4-BE49-F238E27FC236}">
              <a16:creationId xmlns:a16="http://schemas.microsoft.com/office/drawing/2014/main" id="{00000000-0008-0000-0000-000002000000}"/>
            </a:ext>
          </a:extLst>
        </xdr:cNvPr>
        <xdr:cNvSpPr>
          <a:spLocks noChangeAspect="1"/>
        </xdr:cNvSpPr>
      </xdr:nvSpPr>
      <xdr:spPr>
        <a:xfrm>
          <a:off x="10844742" y="50801"/>
          <a:ext cx="876300" cy="2476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100"/>
            <a:t>ACTUALIZAR</a:t>
          </a:r>
        </a:p>
      </xdr:txBody>
    </xdr:sp>
    <xdr:clientData/>
  </xdr:twoCellAnchor>
  <xdr:twoCellAnchor editAs="absolute">
    <xdr:from>
      <xdr:col>14</xdr:col>
      <xdr:colOff>600075</xdr:colOff>
      <xdr:row>2</xdr:row>
      <xdr:rowOff>24342</xdr:rowOff>
    </xdr:from>
    <xdr:to>
      <xdr:col>15</xdr:col>
      <xdr:colOff>963083</xdr:colOff>
      <xdr:row>3</xdr:row>
      <xdr:rowOff>138642</xdr:rowOff>
    </xdr:to>
    <xdr:sp macro="[0]!GUAR_PRESUP_PDF" textlink="">
      <xdr:nvSpPr>
        <xdr:cNvPr id="3" name="Rectángulo: esquinas redondeadas 2">
          <a:extLst>
            <a:ext uri="{FF2B5EF4-FFF2-40B4-BE49-F238E27FC236}">
              <a16:creationId xmlns:a16="http://schemas.microsoft.com/office/drawing/2014/main" id="{00000000-0008-0000-0000-000003000000}"/>
            </a:ext>
          </a:extLst>
        </xdr:cNvPr>
        <xdr:cNvSpPr>
          <a:spLocks noChangeAspect="1"/>
        </xdr:cNvSpPr>
      </xdr:nvSpPr>
      <xdr:spPr>
        <a:xfrm>
          <a:off x="10844742" y="415925"/>
          <a:ext cx="1125008"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100"/>
            <a:t>GUARDAR PDF</a:t>
          </a:r>
        </a:p>
      </xdr:txBody>
    </xdr:sp>
    <xdr:clientData/>
  </xdr:twoCellAnchor>
  <xdr:twoCellAnchor>
    <xdr:from>
      <xdr:col>4</xdr:col>
      <xdr:colOff>128057</xdr:colOff>
      <xdr:row>2</xdr:row>
      <xdr:rowOff>10584</xdr:rowOff>
    </xdr:from>
    <xdr:to>
      <xdr:col>11</xdr:col>
      <xdr:colOff>128057</xdr:colOff>
      <xdr:row>6</xdr:row>
      <xdr:rowOff>2117</xdr:rowOff>
    </xdr:to>
    <xdr:sp macro="" textlink="">
      <xdr:nvSpPr>
        <xdr:cNvPr id="4" name="Diagrama de flujo: proceso 3">
          <a:extLst>
            <a:ext uri="{FF2B5EF4-FFF2-40B4-BE49-F238E27FC236}">
              <a16:creationId xmlns:a16="http://schemas.microsoft.com/office/drawing/2014/main" id="{00000000-0008-0000-0000-000004000000}"/>
            </a:ext>
          </a:extLst>
        </xdr:cNvPr>
        <xdr:cNvSpPr/>
      </xdr:nvSpPr>
      <xdr:spPr>
        <a:xfrm>
          <a:off x="4117974" y="402167"/>
          <a:ext cx="4127500" cy="753533"/>
        </a:xfrm>
        <a:prstGeom prst="flowChartProcess">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s-MX" sz="2400"/>
            <a:t>DATOS DE EMPRESA</a:t>
          </a:r>
        </a:p>
      </xdr:txBody>
    </xdr:sp>
    <xdr:clientData/>
  </xdr:twoCellAnchor>
  <xdr:twoCellAnchor>
    <xdr:from>
      <xdr:col>15</xdr:col>
      <xdr:colOff>283104</xdr:colOff>
      <xdr:row>4</xdr:row>
      <xdr:rowOff>170128</xdr:rowOff>
    </xdr:from>
    <xdr:to>
      <xdr:col>15</xdr:col>
      <xdr:colOff>2020622</xdr:colOff>
      <xdr:row>13</xdr:row>
      <xdr:rowOff>62178</xdr:rowOff>
    </xdr:to>
    <mc:AlternateContent xmlns:mc="http://schemas.openxmlformats.org/markup-compatibility/2006" xmlns:a14="http://schemas.microsoft.com/office/drawing/2010/main">
      <mc:Choice Requires="a14">
        <xdr:graphicFrame macro="">
          <xdr:nvGraphicFramePr>
            <xdr:cNvPr id="7" name="LARGO 1">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LARGO 1"/>
            </a:graphicData>
          </a:graphic>
        </xdr:graphicFrame>
      </mc:Choice>
      <mc:Fallback xmlns="">
        <xdr:sp macro="" textlink="">
          <xdr:nvSpPr>
            <xdr:cNvPr id="0" name=""/>
            <xdr:cNvSpPr>
              <a:spLocks noTextEdit="1"/>
            </xdr:cNvSpPr>
          </xdr:nvSpPr>
          <xdr:spPr>
            <a:xfrm>
              <a:off x="11284479" y="944034"/>
              <a:ext cx="1737518" cy="1606550"/>
            </a:xfrm>
            <a:prstGeom prst="rect">
              <a:avLst/>
            </a:prstGeom>
            <a:solidFill>
              <a:prstClr val="white"/>
            </a:solidFill>
            <a:ln w="1">
              <a:solidFill>
                <a:prstClr val="green"/>
              </a:solidFill>
            </a:ln>
          </xdr:spPr>
          <xdr:txBody>
            <a:bodyPr vertOverflow="clip" horzOverflow="clip"/>
            <a:lstStyle/>
            <a:p>
              <a:r>
                <a:rPr lang="es-MX"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15</xdr:col>
      <xdr:colOff>383647</xdr:colOff>
      <xdr:row>13</xdr:row>
      <xdr:rowOff>116415</xdr:rowOff>
    </xdr:from>
    <xdr:to>
      <xdr:col>16</xdr:col>
      <xdr:colOff>1852</xdr:colOff>
      <xdr:row>20</xdr:row>
      <xdr:rowOff>160865</xdr:rowOff>
    </xdr:to>
    <mc:AlternateContent xmlns:mc="http://schemas.openxmlformats.org/markup-compatibility/2006" xmlns:a14="http://schemas.microsoft.com/office/drawing/2010/main">
      <mc:Choice Requires="a14">
        <xdr:graphicFrame macro="">
          <xdr:nvGraphicFramePr>
            <xdr:cNvPr id="8" name="NUM. DE EJES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NUM. DE EJES 1"/>
            </a:graphicData>
          </a:graphic>
        </xdr:graphicFrame>
      </mc:Choice>
      <mc:Fallback xmlns="">
        <xdr:sp macro="" textlink="">
          <xdr:nvSpPr>
            <xdr:cNvPr id="0" name=""/>
            <xdr:cNvSpPr>
              <a:spLocks noTextEdit="1"/>
            </xdr:cNvSpPr>
          </xdr:nvSpPr>
          <xdr:spPr>
            <a:xfrm>
              <a:off x="11385022" y="2604821"/>
              <a:ext cx="1737518" cy="1377950"/>
            </a:xfrm>
            <a:prstGeom prst="rect">
              <a:avLst/>
            </a:prstGeom>
            <a:solidFill>
              <a:prstClr val="white"/>
            </a:solidFill>
            <a:ln w="1">
              <a:solidFill>
                <a:prstClr val="green"/>
              </a:solidFill>
            </a:ln>
          </xdr:spPr>
          <xdr:txBody>
            <a:bodyPr vertOverflow="clip" horzOverflow="clip"/>
            <a:lstStyle/>
            <a:p>
              <a:r>
                <a:rPr lang="es-MX"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12</xdr:col>
      <xdr:colOff>465667</xdr:colOff>
      <xdr:row>0</xdr:row>
      <xdr:rowOff>0</xdr:rowOff>
    </xdr:from>
    <xdr:to>
      <xdr:col>15</xdr:col>
      <xdr:colOff>127000</xdr:colOff>
      <xdr:row>20</xdr:row>
      <xdr:rowOff>101877</xdr:rowOff>
    </xdr:to>
    <xdr:grpSp>
      <xdr:nvGrpSpPr>
        <xdr:cNvPr id="30" name="Grupo 29">
          <a:extLst>
            <a:ext uri="{FF2B5EF4-FFF2-40B4-BE49-F238E27FC236}">
              <a16:creationId xmlns:a16="http://schemas.microsoft.com/office/drawing/2014/main" id="{00000000-0008-0000-0000-00001E000000}"/>
            </a:ext>
          </a:extLst>
        </xdr:cNvPr>
        <xdr:cNvGrpSpPr>
          <a:grpSpLocks noChangeAspect="1"/>
        </xdr:cNvGrpSpPr>
      </xdr:nvGrpSpPr>
      <xdr:grpSpPr>
        <a:xfrm>
          <a:off x="9457267" y="0"/>
          <a:ext cx="1975908" cy="3778527"/>
          <a:chOff x="0" y="0"/>
          <a:chExt cx="1704977" cy="3922460"/>
        </a:xfrm>
      </xdr:grpSpPr>
      <xdr:sp macro="" textlink="">
        <xdr:nvSpPr>
          <xdr:cNvPr id="31" name="Diagrama de flujo: documento 30">
            <a:extLst>
              <a:ext uri="{FF2B5EF4-FFF2-40B4-BE49-F238E27FC236}">
                <a16:creationId xmlns:a16="http://schemas.microsoft.com/office/drawing/2014/main" id="{00000000-0008-0000-0000-00001F000000}"/>
              </a:ext>
            </a:extLst>
          </xdr:cNvPr>
          <xdr:cNvSpPr/>
        </xdr:nvSpPr>
        <xdr:spPr>
          <a:xfrm rot="16200000">
            <a:off x="-973930" y="1188242"/>
            <a:ext cx="3867149" cy="1490665"/>
          </a:xfrm>
          <a:prstGeom prst="flowChartDocument">
            <a:avLst/>
          </a:prstGeom>
          <a:gradFill flip="none" rotWithShape="1">
            <a:gsLst>
              <a:gs pos="0">
                <a:srgbClr val="006666">
                  <a:alpha val="0"/>
                </a:srgbClr>
              </a:gs>
              <a:gs pos="63000">
                <a:srgbClr val="046C7A">
                  <a:alpha val="76000"/>
                </a:srgbClr>
              </a:gs>
              <a:gs pos="100000">
                <a:srgbClr val="046C7A">
                  <a:alpha val="65000"/>
                </a:srgbClr>
              </a:gs>
            </a:gsLst>
            <a:path path="circle">
              <a:fillToRect l="100000" t="100000"/>
            </a:path>
            <a:tileRect r="-100000" b="-100000"/>
          </a:gradFill>
          <a:ln>
            <a:solidFill>
              <a:srgbClr val="00666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32" name="Diagrama de flujo: documento 31">
            <a:extLst>
              <a:ext uri="{FF2B5EF4-FFF2-40B4-BE49-F238E27FC236}">
                <a16:creationId xmlns:a16="http://schemas.microsoft.com/office/drawing/2014/main" id="{00000000-0008-0000-0000-000020000000}"/>
              </a:ext>
            </a:extLst>
          </xdr:cNvPr>
          <xdr:cNvSpPr/>
        </xdr:nvSpPr>
        <xdr:spPr>
          <a:xfrm rot="16200000">
            <a:off x="-1236021" y="1236021"/>
            <a:ext cx="3922460" cy="1450418"/>
          </a:xfrm>
          <a:prstGeom prst="flowChartDocument">
            <a:avLst/>
          </a:prstGeom>
          <a:gradFill>
            <a:gsLst>
              <a:gs pos="0">
                <a:schemeClr val="accent1">
                  <a:lumMod val="50000"/>
                  <a:shade val="30000"/>
                  <a:satMod val="115000"/>
                  <a:alpha val="97000"/>
                </a:schemeClr>
              </a:gs>
              <a:gs pos="50000">
                <a:schemeClr val="accent1">
                  <a:lumMod val="50000"/>
                  <a:shade val="67500"/>
                  <a:satMod val="115000"/>
                  <a:alpha val="39000"/>
                </a:schemeClr>
              </a:gs>
              <a:gs pos="100000">
                <a:schemeClr val="accent1">
                  <a:lumMod val="50000"/>
                  <a:shade val="100000"/>
                  <a:satMod val="115000"/>
                  <a:alpha val="39000"/>
                </a:schemeClr>
              </a:gs>
            </a:gsLst>
            <a:path path="circle">
              <a:fillToRect l="100000" t="100000"/>
            </a:path>
          </a:gradFill>
          <a:ln>
            <a:gradFill>
              <a:gsLst>
                <a:gs pos="0">
                  <a:schemeClr val="accent1">
                    <a:lumMod val="5000"/>
                    <a:lumOff val="95000"/>
                  </a:schemeClr>
                </a:gs>
                <a:gs pos="63000">
                  <a:schemeClr val="accent1">
                    <a:lumMod val="45000"/>
                    <a:lumOff val="55000"/>
                    <a:alpha val="0"/>
                  </a:schemeClr>
                </a:gs>
                <a:gs pos="83000">
                  <a:schemeClr val="accent1">
                    <a:lumMod val="45000"/>
                    <a:lumOff val="55000"/>
                  </a:schemeClr>
                </a:gs>
                <a:gs pos="100000">
                  <a:schemeClr val="accent1">
                    <a:lumMod val="30000"/>
                    <a:lumOff val="70000"/>
                    <a:alpha val="29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editAs="absolute">
    <xdr:from>
      <xdr:col>12</xdr:col>
      <xdr:colOff>465666</xdr:colOff>
      <xdr:row>0</xdr:row>
      <xdr:rowOff>0</xdr:rowOff>
    </xdr:from>
    <xdr:to>
      <xdr:col>15</xdr:col>
      <xdr:colOff>264582</xdr:colOff>
      <xdr:row>18</xdr:row>
      <xdr:rowOff>31753</xdr:rowOff>
    </xdr:to>
    <xdr:grpSp>
      <xdr:nvGrpSpPr>
        <xdr:cNvPr id="33" name="Grupo 32">
          <a:extLst>
            <a:ext uri="{FF2B5EF4-FFF2-40B4-BE49-F238E27FC236}">
              <a16:creationId xmlns:a16="http://schemas.microsoft.com/office/drawing/2014/main" id="{00000000-0008-0000-0000-000021000000}"/>
            </a:ext>
          </a:extLst>
        </xdr:cNvPr>
        <xdr:cNvGrpSpPr>
          <a:grpSpLocks noChangeAspect="1"/>
        </xdr:cNvGrpSpPr>
      </xdr:nvGrpSpPr>
      <xdr:grpSpPr>
        <a:xfrm>
          <a:off x="9457266" y="0"/>
          <a:ext cx="2113491" cy="3346453"/>
          <a:chOff x="-1" y="66675"/>
          <a:chExt cx="2042583" cy="3471336"/>
        </a:xfrm>
      </xdr:grpSpPr>
      <xdr:sp macro="" textlink="">
        <xdr:nvSpPr>
          <xdr:cNvPr id="34" name="CuadroTexto 33" descr="menu">
            <a:extLst>
              <a:ext uri="{FF2B5EF4-FFF2-40B4-BE49-F238E27FC236}">
                <a16:creationId xmlns:a16="http://schemas.microsoft.com/office/drawing/2014/main" id="{00000000-0008-0000-0000-000022000000}"/>
              </a:ext>
            </a:extLst>
          </xdr:cNvPr>
          <xdr:cNvSpPr txBox="1"/>
        </xdr:nvSpPr>
        <xdr:spPr>
          <a:xfrm>
            <a:off x="0" y="66675"/>
            <a:ext cx="1524000" cy="495300"/>
          </a:xfrm>
          <a:prstGeom prst="rect">
            <a:avLst/>
          </a:prstGeom>
          <a:solidFill>
            <a:srgbClr val="FF0000">
              <a:alpha val="80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3200">
                <a:solidFill>
                  <a:schemeClr val="bg1"/>
                </a:solidFill>
              </a:rPr>
              <a:t>MENU</a:t>
            </a:r>
          </a:p>
        </xdr:txBody>
      </xdr:sp>
      <xdr:sp macro="" textlink="">
        <xdr:nvSpPr>
          <xdr:cNvPr id="35" name="Rectángulo: esquinas diagonales cortadas 34">
            <a:hlinkClick xmlns:r="http://schemas.openxmlformats.org/officeDocument/2006/relationships" r:id="rId1"/>
            <a:extLst>
              <a:ext uri="{FF2B5EF4-FFF2-40B4-BE49-F238E27FC236}">
                <a16:creationId xmlns:a16="http://schemas.microsoft.com/office/drawing/2014/main" id="{00000000-0008-0000-0000-000023000000}"/>
              </a:ext>
            </a:extLst>
          </xdr:cNvPr>
          <xdr:cNvSpPr/>
        </xdr:nvSpPr>
        <xdr:spPr>
          <a:xfrm>
            <a:off x="0" y="762000"/>
            <a:ext cx="1548000" cy="288000"/>
          </a:xfrm>
          <a:prstGeom prst="snip2DiagRect">
            <a:avLst/>
          </a:prstGeom>
          <a:gradFill>
            <a:gsLst>
              <a:gs pos="0">
                <a:schemeClr val="dk1">
                  <a:satMod val="103000"/>
                  <a:lumMod val="102000"/>
                  <a:tint val="94000"/>
                </a:schemeClr>
              </a:gs>
              <a:gs pos="50000">
                <a:schemeClr val="dk1">
                  <a:satMod val="110000"/>
                  <a:lumMod val="100000"/>
                  <a:shade val="100000"/>
                  <a:alpha val="37000"/>
                </a:schemeClr>
              </a:gs>
              <a:gs pos="100000">
                <a:schemeClr val="dk1">
                  <a:lumMod val="99000"/>
                  <a:satMod val="120000"/>
                  <a:shade val="78000"/>
                  <a:alpha val="57000"/>
                </a:schemeClr>
              </a:gs>
            </a:gsLst>
          </a:gra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l"/>
            <a:r>
              <a:rPr lang="es-MX" sz="1200"/>
              <a:t>CAPT.</a:t>
            </a:r>
            <a:r>
              <a:rPr lang="es-MX" sz="1200" baseline="0"/>
              <a:t> </a:t>
            </a:r>
            <a:r>
              <a:rPr lang="es-MX" sz="1200"/>
              <a:t>CLIENTES</a:t>
            </a:r>
          </a:p>
        </xdr:txBody>
      </xdr:sp>
      <xdr:sp macro="" textlink="">
        <xdr:nvSpPr>
          <xdr:cNvPr id="36" name="Rectángulo: esquinas diagonales cortadas 35">
            <a:hlinkClick xmlns:r="http://schemas.openxmlformats.org/officeDocument/2006/relationships" r:id="rId2"/>
            <a:extLst>
              <a:ext uri="{FF2B5EF4-FFF2-40B4-BE49-F238E27FC236}">
                <a16:creationId xmlns:a16="http://schemas.microsoft.com/office/drawing/2014/main" id="{00000000-0008-0000-0000-000024000000}"/>
              </a:ext>
            </a:extLst>
          </xdr:cNvPr>
          <xdr:cNvSpPr/>
        </xdr:nvSpPr>
        <xdr:spPr>
          <a:xfrm>
            <a:off x="0" y="1047750"/>
            <a:ext cx="1548000" cy="288000"/>
          </a:xfrm>
          <a:prstGeom prst="snip2DiagRect">
            <a:avLst/>
          </a:prstGeom>
          <a:gradFill>
            <a:gsLst>
              <a:gs pos="0">
                <a:schemeClr val="dk1">
                  <a:satMod val="103000"/>
                  <a:lumMod val="102000"/>
                  <a:tint val="94000"/>
                </a:schemeClr>
              </a:gs>
              <a:gs pos="50000">
                <a:schemeClr val="dk1">
                  <a:satMod val="110000"/>
                  <a:lumMod val="100000"/>
                  <a:shade val="100000"/>
                  <a:alpha val="37000"/>
                </a:schemeClr>
              </a:gs>
              <a:gs pos="100000">
                <a:schemeClr val="dk1">
                  <a:lumMod val="99000"/>
                  <a:satMod val="120000"/>
                  <a:shade val="78000"/>
                  <a:alpha val="57000"/>
                </a:schemeClr>
              </a:gs>
            </a:gsLst>
          </a:gra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l"/>
            <a:r>
              <a:rPr lang="es-MX" sz="1200" baseline="0"/>
              <a:t>LIST CLIENTES</a:t>
            </a:r>
            <a:endParaRPr lang="es-MX" sz="1200"/>
          </a:p>
        </xdr:txBody>
      </xdr:sp>
      <xdr:sp macro="" textlink="">
        <xdr:nvSpPr>
          <xdr:cNvPr id="37" name="Rectángulo: esquinas diagonales cortadas 36">
            <a:hlinkClick xmlns:r="http://schemas.openxmlformats.org/officeDocument/2006/relationships" r:id="rId3"/>
            <a:extLst>
              <a:ext uri="{FF2B5EF4-FFF2-40B4-BE49-F238E27FC236}">
                <a16:creationId xmlns:a16="http://schemas.microsoft.com/office/drawing/2014/main" id="{00000000-0008-0000-0000-000025000000}"/>
              </a:ext>
            </a:extLst>
          </xdr:cNvPr>
          <xdr:cNvSpPr/>
        </xdr:nvSpPr>
        <xdr:spPr>
          <a:xfrm>
            <a:off x="0" y="1349375"/>
            <a:ext cx="1548000" cy="288000"/>
          </a:xfrm>
          <a:prstGeom prst="snip2DiagRect">
            <a:avLst/>
          </a:prstGeom>
          <a:gradFill>
            <a:gsLst>
              <a:gs pos="0">
                <a:schemeClr val="dk1">
                  <a:satMod val="103000"/>
                  <a:lumMod val="102000"/>
                  <a:tint val="94000"/>
                </a:schemeClr>
              </a:gs>
              <a:gs pos="50000">
                <a:schemeClr val="dk1">
                  <a:satMod val="110000"/>
                  <a:lumMod val="100000"/>
                  <a:shade val="100000"/>
                  <a:alpha val="37000"/>
                </a:schemeClr>
              </a:gs>
              <a:gs pos="100000">
                <a:schemeClr val="dk1">
                  <a:lumMod val="99000"/>
                  <a:satMod val="120000"/>
                  <a:shade val="78000"/>
                  <a:alpha val="57000"/>
                </a:schemeClr>
              </a:gs>
            </a:gsLst>
          </a:gra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l"/>
            <a:r>
              <a:rPr lang="es-MX" sz="1200"/>
              <a:t>CAPT</a:t>
            </a:r>
            <a:r>
              <a:rPr lang="es-MX" sz="1200" baseline="0"/>
              <a:t> VENTA</a:t>
            </a:r>
            <a:endParaRPr lang="es-MX" sz="1200"/>
          </a:p>
        </xdr:txBody>
      </xdr:sp>
      <xdr:sp macro="" textlink="">
        <xdr:nvSpPr>
          <xdr:cNvPr id="38" name="Rectángulo: esquinas diagonales cortadas 37">
            <a:hlinkClick xmlns:r="http://schemas.openxmlformats.org/officeDocument/2006/relationships" r:id="rId4"/>
            <a:extLst>
              <a:ext uri="{FF2B5EF4-FFF2-40B4-BE49-F238E27FC236}">
                <a16:creationId xmlns:a16="http://schemas.microsoft.com/office/drawing/2014/main" id="{00000000-0008-0000-0000-000026000000}"/>
              </a:ext>
            </a:extLst>
          </xdr:cNvPr>
          <xdr:cNvSpPr/>
        </xdr:nvSpPr>
        <xdr:spPr>
          <a:xfrm>
            <a:off x="0" y="1651000"/>
            <a:ext cx="1548000" cy="288000"/>
          </a:xfrm>
          <a:prstGeom prst="snip2DiagRect">
            <a:avLst/>
          </a:prstGeom>
          <a:gradFill>
            <a:gsLst>
              <a:gs pos="0">
                <a:schemeClr val="dk1">
                  <a:satMod val="103000"/>
                  <a:lumMod val="102000"/>
                  <a:tint val="94000"/>
                </a:schemeClr>
              </a:gs>
              <a:gs pos="50000">
                <a:schemeClr val="dk1">
                  <a:satMod val="110000"/>
                  <a:lumMod val="100000"/>
                  <a:shade val="100000"/>
                  <a:alpha val="37000"/>
                </a:schemeClr>
              </a:gs>
              <a:gs pos="100000">
                <a:schemeClr val="dk1">
                  <a:lumMod val="99000"/>
                  <a:satMod val="120000"/>
                  <a:shade val="78000"/>
                  <a:alpha val="57000"/>
                </a:schemeClr>
              </a:gs>
            </a:gsLst>
          </a:gra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l"/>
            <a:r>
              <a:rPr lang="es-MX" sz="1200"/>
              <a:t>REG</a:t>
            </a:r>
            <a:r>
              <a:rPr lang="es-MX" sz="1200" baseline="0"/>
              <a:t> DE VENTAS</a:t>
            </a:r>
            <a:endParaRPr lang="es-MX" sz="1200"/>
          </a:p>
        </xdr:txBody>
      </xdr:sp>
      <xdr:sp macro="" textlink="">
        <xdr:nvSpPr>
          <xdr:cNvPr id="39" name="Rectángulo: esquinas diagonales cortadas 38">
            <a:hlinkClick xmlns:r="http://schemas.openxmlformats.org/officeDocument/2006/relationships" r:id="rId5"/>
            <a:extLst>
              <a:ext uri="{FF2B5EF4-FFF2-40B4-BE49-F238E27FC236}">
                <a16:creationId xmlns:a16="http://schemas.microsoft.com/office/drawing/2014/main" id="{00000000-0008-0000-0000-000027000000}"/>
              </a:ext>
            </a:extLst>
          </xdr:cNvPr>
          <xdr:cNvSpPr/>
        </xdr:nvSpPr>
        <xdr:spPr>
          <a:xfrm>
            <a:off x="0" y="1962150"/>
            <a:ext cx="1548000" cy="288000"/>
          </a:xfrm>
          <a:prstGeom prst="snip2DiagRect">
            <a:avLst/>
          </a:prstGeom>
          <a:gradFill>
            <a:gsLst>
              <a:gs pos="0">
                <a:schemeClr val="dk1">
                  <a:satMod val="103000"/>
                  <a:lumMod val="102000"/>
                  <a:tint val="94000"/>
                </a:schemeClr>
              </a:gs>
              <a:gs pos="50000">
                <a:schemeClr val="dk1">
                  <a:satMod val="110000"/>
                  <a:lumMod val="100000"/>
                  <a:shade val="100000"/>
                  <a:alpha val="37000"/>
                </a:schemeClr>
              </a:gs>
              <a:gs pos="100000">
                <a:schemeClr val="dk1">
                  <a:lumMod val="99000"/>
                  <a:satMod val="120000"/>
                  <a:shade val="78000"/>
                  <a:alpha val="57000"/>
                </a:schemeClr>
              </a:gs>
            </a:gsLst>
          </a:gra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l"/>
            <a:r>
              <a:rPr lang="es-MX" sz="1200"/>
              <a:t>PAGOS RECIBIDOS</a:t>
            </a:r>
          </a:p>
        </xdr:txBody>
      </xdr:sp>
      <xdr:sp macro="" textlink="">
        <xdr:nvSpPr>
          <xdr:cNvPr id="40" name="Rectángulo: esquinas diagonales cortadas 39">
            <a:hlinkClick xmlns:r="http://schemas.openxmlformats.org/officeDocument/2006/relationships" r:id="rId6"/>
            <a:extLst>
              <a:ext uri="{FF2B5EF4-FFF2-40B4-BE49-F238E27FC236}">
                <a16:creationId xmlns:a16="http://schemas.microsoft.com/office/drawing/2014/main" id="{00000000-0008-0000-0000-000028000000}"/>
              </a:ext>
            </a:extLst>
          </xdr:cNvPr>
          <xdr:cNvSpPr/>
        </xdr:nvSpPr>
        <xdr:spPr>
          <a:xfrm>
            <a:off x="0" y="2551645"/>
            <a:ext cx="1548000" cy="288000"/>
          </a:xfrm>
          <a:prstGeom prst="snip2DiagRect">
            <a:avLst/>
          </a:prstGeom>
          <a:gradFill>
            <a:gsLst>
              <a:gs pos="0">
                <a:schemeClr val="dk1">
                  <a:satMod val="103000"/>
                  <a:lumMod val="102000"/>
                  <a:tint val="94000"/>
                </a:schemeClr>
              </a:gs>
              <a:gs pos="50000">
                <a:schemeClr val="dk1">
                  <a:satMod val="110000"/>
                  <a:lumMod val="100000"/>
                  <a:shade val="100000"/>
                  <a:alpha val="37000"/>
                </a:schemeClr>
              </a:gs>
              <a:gs pos="100000">
                <a:schemeClr val="dk1">
                  <a:lumMod val="99000"/>
                  <a:satMod val="120000"/>
                  <a:shade val="78000"/>
                  <a:alpha val="57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l"/>
            <a:r>
              <a:rPr lang="es-MX" sz="1200"/>
              <a:t>PRODUCTOS</a:t>
            </a:r>
          </a:p>
        </xdr:txBody>
      </xdr:sp>
      <xdr:sp macro="" textlink="">
        <xdr:nvSpPr>
          <xdr:cNvPr id="41" name="Rectángulo: esquinas diagonales cortadas 40">
            <a:hlinkClick xmlns:r="http://schemas.openxmlformats.org/officeDocument/2006/relationships" r:id="rId7"/>
            <a:extLst>
              <a:ext uri="{FF2B5EF4-FFF2-40B4-BE49-F238E27FC236}">
                <a16:creationId xmlns:a16="http://schemas.microsoft.com/office/drawing/2014/main" id="{00000000-0008-0000-0000-000029000000}"/>
              </a:ext>
            </a:extLst>
          </xdr:cNvPr>
          <xdr:cNvSpPr/>
        </xdr:nvSpPr>
        <xdr:spPr>
          <a:xfrm>
            <a:off x="0" y="2256367"/>
            <a:ext cx="1548000" cy="288000"/>
          </a:xfrm>
          <a:prstGeom prst="snip2DiagRect">
            <a:avLst/>
          </a:prstGeom>
          <a:solidFill>
            <a:schemeClr val="tx1">
              <a:alpha val="62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r"/>
            <a:r>
              <a:rPr lang="es-MX" sz="1050"/>
              <a:t>REG</a:t>
            </a:r>
            <a:r>
              <a:rPr lang="es-MX" sz="1050" baseline="0"/>
              <a:t>. </a:t>
            </a:r>
            <a:r>
              <a:rPr lang="es-MX" sz="1050"/>
              <a:t>PAGOS RECIBIDOS</a:t>
            </a:r>
          </a:p>
        </xdr:txBody>
      </xdr:sp>
      <xdr:sp macro="" textlink="">
        <xdr:nvSpPr>
          <xdr:cNvPr id="42" name="Rectángulo: esquinas diagonales cortadas 41">
            <a:hlinkClick xmlns:r="http://schemas.openxmlformats.org/officeDocument/2006/relationships" r:id="rId8"/>
            <a:extLst>
              <a:ext uri="{FF2B5EF4-FFF2-40B4-BE49-F238E27FC236}">
                <a16:creationId xmlns:a16="http://schemas.microsoft.com/office/drawing/2014/main" id="{00000000-0008-0000-0000-00002A000000}"/>
              </a:ext>
            </a:extLst>
          </xdr:cNvPr>
          <xdr:cNvSpPr/>
        </xdr:nvSpPr>
        <xdr:spPr>
          <a:xfrm>
            <a:off x="0" y="2846920"/>
            <a:ext cx="1548000" cy="288000"/>
          </a:xfrm>
          <a:prstGeom prst="snip2DiagRect">
            <a:avLst/>
          </a:prstGeom>
          <a:gradFill>
            <a:gsLst>
              <a:gs pos="0">
                <a:schemeClr val="dk1">
                  <a:satMod val="103000"/>
                  <a:lumMod val="102000"/>
                  <a:tint val="94000"/>
                </a:schemeClr>
              </a:gs>
              <a:gs pos="50000">
                <a:schemeClr val="dk1">
                  <a:satMod val="110000"/>
                  <a:lumMod val="100000"/>
                  <a:shade val="100000"/>
                  <a:alpha val="37000"/>
                </a:schemeClr>
              </a:gs>
              <a:gs pos="100000">
                <a:schemeClr val="dk1">
                  <a:lumMod val="99000"/>
                  <a:satMod val="120000"/>
                  <a:shade val="78000"/>
                  <a:alpha val="57000"/>
                </a:schemeClr>
              </a:gs>
            </a:gsLst>
          </a:gra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l"/>
            <a:r>
              <a:rPr lang="es-MX" sz="1200"/>
              <a:t>LOVI</a:t>
            </a:r>
          </a:p>
        </xdr:txBody>
      </xdr:sp>
      <xdr:sp macro="" textlink="">
        <xdr:nvSpPr>
          <xdr:cNvPr id="43" name="Flecha: pentágono 42">
            <a:hlinkClick xmlns:r="http://schemas.openxmlformats.org/officeDocument/2006/relationships" r:id="rId9"/>
            <a:extLst>
              <a:ext uri="{FF2B5EF4-FFF2-40B4-BE49-F238E27FC236}">
                <a16:creationId xmlns:a16="http://schemas.microsoft.com/office/drawing/2014/main" id="{00000000-0008-0000-0000-00002B000000}"/>
              </a:ext>
            </a:extLst>
          </xdr:cNvPr>
          <xdr:cNvSpPr/>
        </xdr:nvSpPr>
        <xdr:spPr>
          <a:xfrm>
            <a:off x="-1" y="3142194"/>
            <a:ext cx="2042583" cy="395817"/>
          </a:xfrm>
          <a:prstGeom prst="homePlate">
            <a:avLst/>
          </a:prstGeom>
          <a:solidFill>
            <a:srgbClr val="006666">
              <a:alpha val="42000"/>
            </a:srgbClr>
          </a:solidFill>
          <a:ln w="25400">
            <a:solidFill>
              <a:schemeClr val="bg1"/>
            </a:soli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r"/>
            <a:r>
              <a:rPr lang="es-MX" sz="1600"/>
              <a:t>PRESUPUESTOS</a:t>
            </a:r>
          </a:p>
        </xdr:txBody>
      </xdr:sp>
    </xdr:grpSp>
    <xdr:clientData/>
  </xdr:twoCellAnchor>
  <xdr:twoCellAnchor editAs="oneCell">
    <xdr:from>
      <xdr:col>16</xdr:col>
      <xdr:colOff>23812</xdr:colOff>
      <xdr:row>0</xdr:row>
      <xdr:rowOff>38100</xdr:rowOff>
    </xdr:from>
    <xdr:to>
      <xdr:col>17</xdr:col>
      <xdr:colOff>102394</xdr:colOff>
      <xdr:row>13</xdr:row>
      <xdr:rowOff>73819</xdr:rowOff>
    </xdr:to>
    <mc:AlternateContent xmlns:mc="http://schemas.openxmlformats.org/markup-compatibility/2006" xmlns:a14="http://schemas.microsoft.com/office/drawing/2010/main">
      <mc:Choice Requires="a14">
        <xdr:graphicFrame macro="">
          <xdr:nvGraphicFramePr>
            <xdr:cNvPr id="10" name="NOMBRE">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MBRE"/>
            </a:graphicData>
          </a:graphic>
        </xdr:graphicFrame>
      </mc:Choice>
      <mc:Fallback xmlns="">
        <xdr:sp macro="" textlink="">
          <xdr:nvSpPr>
            <xdr:cNvPr id="0" name=""/>
            <xdr:cNvSpPr>
              <a:spLocks noTextEdit="1"/>
            </xdr:cNvSpPr>
          </xdr:nvSpPr>
          <xdr:spPr>
            <a:xfrm>
              <a:off x="13144500" y="38100"/>
              <a:ext cx="1828800" cy="2524125"/>
            </a:xfrm>
            <a:prstGeom prst="rect">
              <a:avLst/>
            </a:prstGeom>
            <a:solidFill>
              <a:prstClr val="white"/>
            </a:solidFill>
            <a:ln w="1">
              <a:solidFill>
                <a:prstClr val="green"/>
              </a:solidFill>
            </a:ln>
          </xdr:spPr>
          <xdr:txBody>
            <a:bodyPr vertOverflow="clip" horzOverflow="clip"/>
            <a:lstStyle/>
            <a:p>
              <a:r>
                <a:rPr lang="es-MX"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mc:AlternateContent xmlns:mc="http://schemas.openxmlformats.org/markup-compatibility/2006">
    <mc:Choice xmlns:a14="http://schemas.microsoft.com/office/drawing/2010/main" Requires="a14">
      <xdr:twoCellAnchor>
        <xdr:from>
          <xdr:col>3</xdr:col>
          <xdr:colOff>166498</xdr:colOff>
          <xdr:row>19</xdr:row>
          <xdr:rowOff>63639</xdr:rowOff>
        </xdr:from>
        <xdr:to>
          <xdr:col>11</xdr:col>
          <xdr:colOff>414116</xdr:colOff>
          <xdr:row>30</xdr:row>
          <xdr:rowOff>178594</xdr:rowOff>
        </xdr:to>
        <xdr:pic>
          <xdr:nvPicPr>
            <xdr:cNvPr id="12" name="Imagen 11">
              <a:extLst>
                <a:ext uri="{FF2B5EF4-FFF2-40B4-BE49-F238E27FC236}">
                  <a16:creationId xmlns:a16="http://schemas.microsoft.com/office/drawing/2014/main" id="{00000000-0008-0000-0000-00000C000000}"/>
                </a:ext>
              </a:extLst>
            </xdr:cNvPr>
            <xdr:cNvPicPr>
              <a:picLocks noChangeAspect="1"/>
              <a:extLst>
                <a:ext uri="{84589F7E-364E-4C9E-8A38-B11213B215E9}">
                  <a14:cameraTool cellRange="FOTO_PRODUCT1" spid="_x0000_s1784399"/>
                </a:ext>
              </a:extLst>
            </xdr:cNvPicPr>
          </xdr:nvPicPr>
          <xdr:blipFill>
            <a:blip xmlns:r="http://schemas.openxmlformats.org/officeDocument/2006/relationships" r:embed="rId10"/>
            <a:stretch>
              <a:fillRect/>
            </a:stretch>
          </xdr:blipFill>
          <xdr:spPr>
            <a:xfrm>
              <a:off x="3797904" y="3695045"/>
              <a:ext cx="4831525" cy="2210455"/>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xdr:from>
          <xdr:col>3</xdr:col>
          <xdr:colOff>174025</xdr:colOff>
          <xdr:row>35</xdr:row>
          <xdr:rowOff>83343</xdr:rowOff>
        </xdr:from>
        <xdr:to>
          <xdr:col>11</xdr:col>
          <xdr:colOff>363435</xdr:colOff>
          <xdr:row>48</xdr:row>
          <xdr:rowOff>62296</xdr:rowOff>
        </xdr:to>
        <xdr:pic>
          <xdr:nvPicPr>
            <xdr:cNvPr id="15" name="Imagen 14">
              <a:extLst>
                <a:ext uri="{FF2B5EF4-FFF2-40B4-BE49-F238E27FC236}">
                  <a16:creationId xmlns:a16="http://schemas.microsoft.com/office/drawing/2014/main" id="{00000000-0008-0000-0000-00000F000000}"/>
                </a:ext>
              </a:extLst>
            </xdr:cNvPr>
            <xdr:cNvPicPr>
              <a:picLocks noChangeAspect="1"/>
              <a:extLst>
                <a:ext uri="{84589F7E-364E-4C9E-8A38-B11213B215E9}">
                  <a14:cameraTool cellRange="FOTO_2" spid="_x0000_s1784400"/>
                </a:ext>
              </a:extLst>
            </xdr:cNvPicPr>
          </xdr:nvPicPr>
          <xdr:blipFill>
            <a:blip xmlns:r="http://schemas.openxmlformats.org/officeDocument/2006/relationships" r:embed="rId11"/>
            <a:srcRect t="10005" b="10005"/>
            <a:stretch>
              <a:fillRect/>
            </a:stretch>
          </xdr:blipFill>
          <xdr:spPr>
            <a:xfrm>
              <a:off x="3805431" y="6762749"/>
              <a:ext cx="4773317" cy="2455453"/>
            </a:xfrm>
            <a:prstGeom prst="rect">
              <a:avLst/>
            </a:prstGeom>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1247774</xdr:colOff>
      <xdr:row>0</xdr:row>
      <xdr:rowOff>0</xdr:rowOff>
    </xdr:from>
    <xdr:to>
      <xdr:col>2</xdr:col>
      <xdr:colOff>619124</xdr:colOff>
      <xdr:row>2</xdr:row>
      <xdr:rowOff>4789</xdr:rowOff>
    </xdr:to>
    <xdr:grpSp>
      <xdr:nvGrpSpPr>
        <xdr:cNvPr id="8" name="Grupo 7">
          <a:hlinkClick xmlns:r="http://schemas.openxmlformats.org/officeDocument/2006/relationships" r:id="rId1"/>
          <a:extLst>
            <a:ext uri="{FF2B5EF4-FFF2-40B4-BE49-F238E27FC236}">
              <a16:creationId xmlns:a16="http://schemas.microsoft.com/office/drawing/2014/main" id="{00000000-0008-0000-0100-000008000000}"/>
            </a:ext>
          </a:extLst>
        </xdr:cNvPr>
        <xdr:cNvGrpSpPr>
          <a:grpSpLocks noChangeAspect="1"/>
        </xdr:cNvGrpSpPr>
      </xdr:nvGrpSpPr>
      <xdr:grpSpPr>
        <a:xfrm>
          <a:off x="1762124" y="0"/>
          <a:ext cx="1971675" cy="366739"/>
          <a:chOff x="1466849" y="0"/>
          <a:chExt cx="1762126" cy="385789"/>
        </a:xfrm>
      </xdr:grpSpPr>
      <xdr:pic>
        <xdr:nvPicPr>
          <xdr:cNvPr id="6" name="Imagen 5">
            <a:extLst>
              <a:ext uri="{FF2B5EF4-FFF2-40B4-BE49-F238E27FC236}">
                <a16:creationId xmlns:a16="http://schemas.microsoft.com/office/drawing/2014/main" id="{00000000-0008-0000-01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043" t="22024" r="10057" b="22918"/>
          <a:stretch/>
        </xdr:blipFill>
        <xdr:spPr>
          <a:xfrm>
            <a:off x="1466849" y="0"/>
            <a:ext cx="1762126" cy="385789"/>
          </a:xfrm>
          <a:prstGeom prst="rect">
            <a:avLst/>
          </a:prstGeom>
        </xdr:spPr>
      </xdr:pic>
      <xdr:sp macro="" textlink="">
        <xdr:nvSpPr>
          <xdr:cNvPr id="7" name="CuadroTexto 6">
            <a:extLst>
              <a:ext uri="{FF2B5EF4-FFF2-40B4-BE49-F238E27FC236}">
                <a16:creationId xmlns:a16="http://schemas.microsoft.com/office/drawing/2014/main" id="{00000000-0008-0000-0100-000007000000}"/>
              </a:ext>
            </a:extLst>
          </xdr:cNvPr>
          <xdr:cNvSpPr txBox="1"/>
        </xdr:nvSpPr>
        <xdr:spPr>
          <a:xfrm>
            <a:off x="1676400" y="47625"/>
            <a:ext cx="13620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200">
                <a:solidFill>
                  <a:schemeClr val="bg1"/>
                </a:solidFill>
              </a:rPr>
              <a:t>IR</a:t>
            </a:r>
            <a:r>
              <a:rPr lang="es-MX" sz="1200" baseline="0">
                <a:solidFill>
                  <a:schemeClr val="bg1"/>
                </a:solidFill>
              </a:rPr>
              <a:t> A COTIZACION</a:t>
            </a:r>
            <a:endParaRPr lang="es-MX" sz="1200">
              <a:solidFill>
                <a:schemeClr val="bg1"/>
              </a:solidFill>
            </a:endParaRPr>
          </a:p>
        </xdr:txBody>
      </xdr:sp>
    </xdr:grpSp>
    <xdr:clientData/>
  </xdr:twoCellAnchor>
  <xdr:twoCellAnchor editAs="absolute">
    <xdr:from>
      <xdr:col>10</xdr:col>
      <xdr:colOff>100002</xdr:colOff>
      <xdr:row>0</xdr:row>
      <xdr:rowOff>0</xdr:rowOff>
    </xdr:from>
    <xdr:to>
      <xdr:col>12</xdr:col>
      <xdr:colOff>523865</xdr:colOff>
      <xdr:row>2</xdr:row>
      <xdr:rowOff>4789</xdr:rowOff>
    </xdr:to>
    <xdr:grpSp>
      <xdr:nvGrpSpPr>
        <xdr:cNvPr id="14" name="Grupo 13">
          <a:extLst>
            <a:ext uri="{FF2B5EF4-FFF2-40B4-BE49-F238E27FC236}">
              <a16:creationId xmlns:a16="http://schemas.microsoft.com/office/drawing/2014/main" id="{00000000-0008-0000-0100-00000E000000}"/>
            </a:ext>
          </a:extLst>
        </xdr:cNvPr>
        <xdr:cNvGrpSpPr>
          <a:grpSpLocks noChangeAspect="1"/>
        </xdr:cNvGrpSpPr>
      </xdr:nvGrpSpPr>
      <xdr:grpSpPr>
        <a:xfrm>
          <a:off x="12120552" y="0"/>
          <a:ext cx="2005013" cy="366739"/>
          <a:chOff x="1466849" y="0"/>
          <a:chExt cx="1762126" cy="385789"/>
        </a:xfrm>
      </xdr:grpSpPr>
      <xdr:pic macro="[0]!GUAR_PRESUP_PDF">
        <xdr:nvPicPr>
          <xdr:cNvPr id="15" name="Imagen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043" t="22024" r="10057" b="22918"/>
          <a:stretch/>
        </xdr:blipFill>
        <xdr:spPr>
          <a:xfrm>
            <a:off x="1466849" y="0"/>
            <a:ext cx="1762126" cy="385789"/>
          </a:xfrm>
          <a:prstGeom prst="rect">
            <a:avLst/>
          </a:prstGeom>
        </xdr:spPr>
      </xdr:pic>
      <xdr:sp macro="[0]!GUAR_PRESUP_PDF" textlink="">
        <xdr:nvSpPr>
          <xdr:cNvPr id="16" name="CuadroTexto 15">
            <a:extLst>
              <a:ext uri="{FF2B5EF4-FFF2-40B4-BE49-F238E27FC236}">
                <a16:creationId xmlns:a16="http://schemas.microsoft.com/office/drawing/2014/main" id="{00000000-0008-0000-0100-000010000000}"/>
              </a:ext>
            </a:extLst>
          </xdr:cNvPr>
          <xdr:cNvSpPr txBox="1"/>
        </xdr:nvSpPr>
        <xdr:spPr>
          <a:xfrm>
            <a:off x="1676400" y="47625"/>
            <a:ext cx="13620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200">
                <a:solidFill>
                  <a:schemeClr val="bg1"/>
                </a:solidFill>
              </a:rPr>
              <a:t>GUARDAR PDF</a:t>
            </a:r>
          </a:p>
        </xdr:txBody>
      </xdr:sp>
    </xdr:grpSp>
    <xdr:clientData/>
  </xdr:twoCellAnchor>
  <xdr:twoCellAnchor editAs="absolute">
    <xdr:from>
      <xdr:col>0</xdr:col>
      <xdr:colOff>0</xdr:colOff>
      <xdr:row>0</xdr:row>
      <xdr:rowOff>0</xdr:rowOff>
    </xdr:from>
    <xdr:to>
      <xdr:col>1</xdr:col>
      <xdr:colOff>1266826</xdr:colOff>
      <xdr:row>2</xdr:row>
      <xdr:rowOff>4789</xdr:rowOff>
    </xdr:to>
    <xdr:grpSp>
      <xdr:nvGrpSpPr>
        <xdr:cNvPr id="17" name="Grupo 16">
          <a:extLst>
            <a:ext uri="{FF2B5EF4-FFF2-40B4-BE49-F238E27FC236}">
              <a16:creationId xmlns:a16="http://schemas.microsoft.com/office/drawing/2014/main" id="{00000000-0008-0000-0100-000011000000}"/>
            </a:ext>
          </a:extLst>
        </xdr:cNvPr>
        <xdr:cNvGrpSpPr>
          <a:grpSpLocks noChangeAspect="1"/>
        </xdr:cNvGrpSpPr>
      </xdr:nvGrpSpPr>
      <xdr:grpSpPr>
        <a:xfrm>
          <a:off x="0" y="0"/>
          <a:ext cx="1781176" cy="366739"/>
          <a:chOff x="1466849" y="0"/>
          <a:chExt cx="1762126" cy="385789"/>
        </a:xfrm>
      </xdr:grpSpPr>
      <xdr:pic macro="[0]!ACTUALIZAR_T">
        <xdr:nvPicPr>
          <xdr:cNvPr id="18" name="Imagen 17">
            <a:extLst>
              <a:ext uri="{FF2B5EF4-FFF2-40B4-BE49-F238E27FC236}">
                <a16:creationId xmlns:a16="http://schemas.microsoft.com/office/drawing/2014/main" id="{00000000-0008-0000-0100-000012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043" t="22024" r="10057" b="22918"/>
          <a:stretch/>
        </xdr:blipFill>
        <xdr:spPr>
          <a:xfrm>
            <a:off x="1466849" y="0"/>
            <a:ext cx="1762126" cy="385789"/>
          </a:xfrm>
          <a:prstGeom prst="rect">
            <a:avLst/>
          </a:prstGeom>
        </xdr:spPr>
      </xdr:pic>
      <xdr:sp macro="[0]!ACTUALIZAR_T" textlink="">
        <xdr:nvSpPr>
          <xdr:cNvPr id="19" name="CuadroTexto 18">
            <a:extLst>
              <a:ext uri="{FF2B5EF4-FFF2-40B4-BE49-F238E27FC236}">
                <a16:creationId xmlns:a16="http://schemas.microsoft.com/office/drawing/2014/main" id="{00000000-0008-0000-0100-000013000000}"/>
              </a:ext>
            </a:extLst>
          </xdr:cNvPr>
          <xdr:cNvSpPr txBox="1"/>
        </xdr:nvSpPr>
        <xdr:spPr>
          <a:xfrm>
            <a:off x="1676400" y="47625"/>
            <a:ext cx="13620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200">
                <a:solidFill>
                  <a:schemeClr val="bg1"/>
                </a:solidFill>
              </a:rPr>
              <a:t>ACTUALIZAR</a:t>
            </a:r>
          </a:p>
        </xdr:txBody>
      </xdr:sp>
    </xdr:grpSp>
    <xdr:clientData/>
  </xdr:twoCellAnchor>
  <xdr:twoCellAnchor editAs="absolute">
    <xdr:from>
      <xdr:col>2</xdr:col>
      <xdr:colOff>633411</xdr:colOff>
      <xdr:row>0</xdr:row>
      <xdr:rowOff>0</xdr:rowOff>
    </xdr:from>
    <xdr:to>
      <xdr:col>4</xdr:col>
      <xdr:colOff>383381</xdr:colOff>
      <xdr:row>2</xdr:row>
      <xdr:rowOff>4789</xdr:rowOff>
    </xdr:to>
    <xdr:grpSp>
      <xdr:nvGrpSpPr>
        <xdr:cNvPr id="20" name="Grupo 19">
          <a:hlinkClick xmlns:r="http://schemas.openxmlformats.org/officeDocument/2006/relationships" r:id="rId3"/>
          <a:extLst>
            <a:ext uri="{FF2B5EF4-FFF2-40B4-BE49-F238E27FC236}">
              <a16:creationId xmlns:a16="http://schemas.microsoft.com/office/drawing/2014/main" id="{00000000-0008-0000-0100-000014000000}"/>
            </a:ext>
          </a:extLst>
        </xdr:cNvPr>
        <xdr:cNvGrpSpPr>
          <a:grpSpLocks noChangeAspect="1"/>
        </xdr:cNvGrpSpPr>
      </xdr:nvGrpSpPr>
      <xdr:grpSpPr>
        <a:xfrm>
          <a:off x="3748086" y="0"/>
          <a:ext cx="2055020" cy="366739"/>
          <a:chOff x="1466849" y="0"/>
          <a:chExt cx="1762126" cy="385789"/>
        </a:xfrm>
      </xdr:grpSpPr>
      <xdr:pic>
        <xdr:nvPicPr>
          <xdr:cNvPr id="21" name="Imagen 20">
            <a:extLst>
              <a:ext uri="{FF2B5EF4-FFF2-40B4-BE49-F238E27FC236}">
                <a16:creationId xmlns:a16="http://schemas.microsoft.com/office/drawing/2014/main" id="{00000000-0008-0000-0100-00001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043" t="22024" r="10057" b="22918"/>
          <a:stretch/>
        </xdr:blipFill>
        <xdr:spPr>
          <a:xfrm>
            <a:off x="1466849" y="0"/>
            <a:ext cx="1762126" cy="385789"/>
          </a:xfrm>
          <a:prstGeom prst="rect">
            <a:avLst/>
          </a:prstGeom>
        </xdr:spPr>
      </xdr:pic>
      <xdr:sp macro="" textlink="">
        <xdr:nvSpPr>
          <xdr:cNvPr id="22" name="CuadroTexto 21">
            <a:extLst>
              <a:ext uri="{FF2B5EF4-FFF2-40B4-BE49-F238E27FC236}">
                <a16:creationId xmlns:a16="http://schemas.microsoft.com/office/drawing/2014/main" id="{00000000-0008-0000-0100-000016000000}"/>
              </a:ext>
            </a:extLst>
          </xdr:cNvPr>
          <xdr:cNvSpPr txBox="1"/>
        </xdr:nvSpPr>
        <xdr:spPr>
          <a:xfrm>
            <a:off x="1676400" y="47625"/>
            <a:ext cx="13620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200">
                <a:solidFill>
                  <a:schemeClr val="bg1"/>
                </a:solidFill>
              </a:rPr>
              <a:t>IR</a:t>
            </a:r>
            <a:r>
              <a:rPr lang="es-MX" sz="1200" baseline="0">
                <a:solidFill>
                  <a:schemeClr val="bg1"/>
                </a:solidFill>
              </a:rPr>
              <a:t> A CLIENTES</a:t>
            </a:r>
            <a:endParaRPr lang="es-MX" sz="1200">
              <a:solidFill>
                <a:schemeClr val="bg1"/>
              </a:solidFill>
            </a:endParaRPr>
          </a:p>
        </xdr:txBody>
      </xdr:sp>
    </xdr:grpSp>
    <xdr:clientData/>
  </xdr:twoCellAnchor>
  <xdr:twoCellAnchor editAs="absolute">
    <xdr:from>
      <xdr:col>4</xdr:col>
      <xdr:colOff>407193</xdr:colOff>
      <xdr:row>0</xdr:row>
      <xdr:rowOff>0</xdr:rowOff>
    </xdr:from>
    <xdr:to>
      <xdr:col>5</xdr:col>
      <xdr:colOff>2015559</xdr:colOff>
      <xdr:row>2</xdr:row>
      <xdr:rowOff>1017</xdr:rowOff>
    </xdr:to>
    <xdr:grpSp>
      <xdr:nvGrpSpPr>
        <xdr:cNvPr id="9" name="Grupo 8">
          <a:hlinkClick xmlns:r="http://schemas.openxmlformats.org/officeDocument/2006/relationships" r:id="rId4"/>
          <a:extLst>
            <a:ext uri="{FF2B5EF4-FFF2-40B4-BE49-F238E27FC236}">
              <a16:creationId xmlns:a16="http://schemas.microsoft.com/office/drawing/2014/main" id="{00000000-0008-0000-0100-000009000000}"/>
            </a:ext>
          </a:extLst>
        </xdr:cNvPr>
        <xdr:cNvGrpSpPr>
          <a:grpSpLocks noChangeAspect="1"/>
        </xdr:cNvGrpSpPr>
      </xdr:nvGrpSpPr>
      <xdr:grpSpPr>
        <a:xfrm>
          <a:off x="5826918" y="0"/>
          <a:ext cx="2084616" cy="362967"/>
          <a:chOff x="1466849" y="0"/>
          <a:chExt cx="1762126" cy="385789"/>
        </a:xfrm>
      </xdr:grpSpPr>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043" t="22024" r="10057" b="22918"/>
          <a:stretch/>
        </xdr:blipFill>
        <xdr:spPr>
          <a:xfrm>
            <a:off x="1466849" y="0"/>
            <a:ext cx="1762126" cy="385789"/>
          </a:xfrm>
          <a:prstGeom prst="rect">
            <a:avLst/>
          </a:prstGeom>
        </xdr:spPr>
      </xdr:pic>
      <xdr:sp macro="" textlink="">
        <xdr:nvSpPr>
          <xdr:cNvPr id="13" name="CuadroTexto 12">
            <a:extLst>
              <a:ext uri="{FF2B5EF4-FFF2-40B4-BE49-F238E27FC236}">
                <a16:creationId xmlns:a16="http://schemas.microsoft.com/office/drawing/2014/main" id="{00000000-0008-0000-0100-00000D000000}"/>
              </a:ext>
            </a:extLst>
          </xdr:cNvPr>
          <xdr:cNvSpPr txBox="1"/>
        </xdr:nvSpPr>
        <xdr:spPr>
          <a:xfrm>
            <a:off x="1676400" y="47625"/>
            <a:ext cx="13620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200">
                <a:solidFill>
                  <a:schemeClr val="bg1"/>
                </a:solidFill>
              </a:rPr>
              <a:t>B PRESUPUESTO</a:t>
            </a:r>
          </a:p>
        </xdr:txBody>
      </xdr:sp>
    </xdr:grpSp>
    <xdr:clientData/>
  </xdr:twoCellAnchor>
  <xdr:twoCellAnchor editAs="absolute">
    <xdr:from>
      <xdr:col>5</xdr:col>
      <xdr:colOff>2071692</xdr:colOff>
      <xdr:row>0</xdr:row>
      <xdr:rowOff>11906</xdr:rowOff>
    </xdr:from>
    <xdr:to>
      <xdr:col>6</xdr:col>
      <xdr:colOff>1567782</xdr:colOff>
      <xdr:row>1</xdr:row>
      <xdr:rowOff>170342</xdr:rowOff>
    </xdr:to>
    <xdr:grpSp>
      <xdr:nvGrpSpPr>
        <xdr:cNvPr id="23" name="Grupo 22">
          <a:hlinkClick xmlns:r="http://schemas.openxmlformats.org/officeDocument/2006/relationships" r:id="rId5"/>
          <a:extLst>
            <a:ext uri="{FF2B5EF4-FFF2-40B4-BE49-F238E27FC236}">
              <a16:creationId xmlns:a16="http://schemas.microsoft.com/office/drawing/2014/main" id="{00000000-0008-0000-0100-000017000000}"/>
            </a:ext>
          </a:extLst>
        </xdr:cNvPr>
        <xdr:cNvGrpSpPr>
          <a:grpSpLocks noChangeAspect="1"/>
        </xdr:cNvGrpSpPr>
      </xdr:nvGrpSpPr>
      <xdr:grpSpPr>
        <a:xfrm>
          <a:off x="7967667" y="11906"/>
          <a:ext cx="1867815" cy="339411"/>
          <a:chOff x="1466849" y="0"/>
          <a:chExt cx="1762126" cy="385789"/>
        </a:xfrm>
      </xdr:grpSpPr>
      <xdr:pic>
        <xdr:nvPicPr>
          <xdr:cNvPr id="24" name="Imagen 23">
            <a:extLst>
              <a:ext uri="{FF2B5EF4-FFF2-40B4-BE49-F238E27FC236}">
                <a16:creationId xmlns:a16="http://schemas.microsoft.com/office/drawing/2014/main" id="{00000000-0008-0000-0100-000018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043" t="22024" r="10057" b="22918"/>
          <a:stretch/>
        </xdr:blipFill>
        <xdr:spPr>
          <a:xfrm>
            <a:off x="1466849" y="0"/>
            <a:ext cx="1762126" cy="385789"/>
          </a:xfrm>
          <a:prstGeom prst="rect">
            <a:avLst/>
          </a:prstGeom>
        </xdr:spPr>
      </xdr:pic>
      <xdr:sp macro="" textlink="">
        <xdr:nvSpPr>
          <xdr:cNvPr id="25" name="CuadroTexto 24">
            <a:extLst>
              <a:ext uri="{FF2B5EF4-FFF2-40B4-BE49-F238E27FC236}">
                <a16:creationId xmlns:a16="http://schemas.microsoft.com/office/drawing/2014/main" id="{00000000-0008-0000-0100-000019000000}"/>
              </a:ext>
            </a:extLst>
          </xdr:cNvPr>
          <xdr:cNvSpPr txBox="1"/>
        </xdr:nvSpPr>
        <xdr:spPr>
          <a:xfrm>
            <a:off x="1676400" y="47625"/>
            <a:ext cx="13620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200">
                <a:solidFill>
                  <a:schemeClr val="bg1"/>
                </a:solidFill>
              </a:rPr>
              <a:t>Carta</a:t>
            </a:r>
            <a:r>
              <a:rPr lang="es-MX" sz="1200" baseline="0">
                <a:solidFill>
                  <a:schemeClr val="bg1"/>
                </a:solidFill>
              </a:rPr>
              <a:t> Factura</a:t>
            </a:r>
            <a:endParaRPr lang="es-MX" sz="1200">
              <a:solidFill>
                <a:schemeClr val="bg1"/>
              </a:solidFill>
            </a:endParaRPr>
          </a:p>
        </xdr:txBody>
      </xdr:sp>
    </xdr:grpSp>
    <xdr:clientData/>
  </xdr:twoCellAnchor>
  <xdr:twoCellAnchor editAs="absolute">
    <xdr:from>
      <xdr:col>12</xdr:col>
      <xdr:colOff>692167</xdr:colOff>
      <xdr:row>0</xdr:row>
      <xdr:rowOff>0</xdr:rowOff>
    </xdr:from>
    <xdr:to>
      <xdr:col>14</xdr:col>
      <xdr:colOff>757804</xdr:colOff>
      <xdr:row>1</xdr:row>
      <xdr:rowOff>119061</xdr:rowOff>
    </xdr:to>
    <xdr:grpSp>
      <xdr:nvGrpSpPr>
        <xdr:cNvPr id="26" name="Grupo 25">
          <a:hlinkClick xmlns:r="http://schemas.openxmlformats.org/officeDocument/2006/relationships" r:id="rId6"/>
          <a:extLst>
            <a:ext uri="{FF2B5EF4-FFF2-40B4-BE49-F238E27FC236}">
              <a16:creationId xmlns:a16="http://schemas.microsoft.com/office/drawing/2014/main" id="{00000000-0008-0000-0100-00001A000000}"/>
            </a:ext>
          </a:extLst>
        </xdr:cNvPr>
        <xdr:cNvGrpSpPr>
          <a:grpSpLocks noChangeAspect="1"/>
        </xdr:cNvGrpSpPr>
      </xdr:nvGrpSpPr>
      <xdr:grpSpPr>
        <a:xfrm>
          <a:off x="14293867" y="0"/>
          <a:ext cx="1646787" cy="300036"/>
          <a:chOff x="1466849" y="0"/>
          <a:chExt cx="1762126" cy="385789"/>
        </a:xfrm>
      </xdr:grpSpPr>
      <xdr:pic>
        <xdr:nvPicPr>
          <xdr:cNvPr id="27" name="Imagen 26">
            <a:extLst>
              <a:ext uri="{FF2B5EF4-FFF2-40B4-BE49-F238E27FC236}">
                <a16:creationId xmlns:a16="http://schemas.microsoft.com/office/drawing/2014/main" id="{00000000-0008-0000-0100-00001B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043" t="22024" r="10057" b="22918"/>
          <a:stretch/>
        </xdr:blipFill>
        <xdr:spPr>
          <a:xfrm>
            <a:off x="1466849" y="0"/>
            <a:ext cx="1762126" cy="385789"/>
          </a:xfrm>
          <a:prstGeom prst="rect">
            <a:avLst/>
          </a:prstGeom>
        </xdr:spPr>
      </xdr:pic>
      <xdr:sp macro="" textlink="">
        <xdr:nvSpPr>
          <xdr:cNvPr id="28" name="CuadroTexto 27">
            <a:extLst>
              <a:ext uri="{FF2B5EF4-FFF2-40B4-BE49-F238E27FC236}">
                <a16:creationId xmlns:a16="http://schemas.microsoft.com/office/drawing/2014/main" id="{00000000-0008-0000-0100-00001C000000}"/>
              </a:ext>
            </a:extLst>
          </xdr:cNvPr>
          <xdr:cNvSpPr txBox="1"/>
        </xdr:nvSpPr>
        <xdr:spPr>
          <a:xfrm>
            <a:off x="1676400" y="47625"/>
            <a:ext cx="13620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200">
                <a:solidFill>
                  <a:schemeClr val="bg1"/>
                </a:solidFill>
              </a:rPr>
              <a:t>IR</a:t>
            </a:r>
            <a:r>
              <a:rPr lang="es-MX" sz="1200" baseline="0">
                <a:solidFill>
                  <a:schemeClr val="bg1"/>
                </a:solidFill>
              </a:rPr>
              <a:t> A LOBBY</a:t>
            </a:r>
            <a:endParaRPr lang="es-MX" sz="1200">
              <a:solidFill>
                <a:schemeClr val="bg1"/>
              </a:solidFill>
            </a:endParaRPr>
          </a:p>
        </xdr:txBody>
      </xdr:sp>
    </xdr:grpSp>
    <xdr:clientData/>
  </xdr:twoCellAnchor>
  <xdr:twoCellAnchor>
    <xdr:from>
      <xdr:col>1</xdr:col>
      <xdr:colOff>309564</xdr:colOff>
      <xdr:row>3</xdr:row>
      <xdr:rowOff>47624</xdr:rowOff>
    </xdr:from>
    <xdr:to>
      <xdr:col>5</xdr:col>
      <xdr:colOff>2095501</xdr:colOff>
      <xdr:row>11</xdr:row>
      <xdr:rowOff>24919</xdr:rowOff>
    </xdr:to>
    <xdr:grpSp>
      <xdr:nvGrpSpPr>
        <xdr:cNvPr id="29" name="Group 2749">
          <a:extLst>
            <a:ext uri="{FF2B5EF4-FFF2-40B4-BE49-F238E27FC236}">
              <a16:creationId xmlns:a16="http://schemas.microsoft.com/office/drawing/2014/main" id="{00000000-0008-0000-0100-00001D000000}"/>
            </a:ext>
          </a:extLst>
        </xdr:cNvPr>
        <xdr:cNvGrpSpPr/>
      </xdr:nvGrpSpPr>
      <xdr:grpSpPr>
        <a:xfrm>
          <a:off x="823914" y="590549"/>
          <a:ext cx="7167562" cy="1482245"/>
          <a:chOff x="0" y="-1"/>
          <a:chExt cx="6749755" cy="1343026"/>
        </a:xfrm>
      </xdr:grpSpPr>
      <xdr:sp macro="" textlink="">
        <xdr:nvSpPr>
          <xdr:cNvPr id="30" name="Rectangle 7">
            <a:extLst>
              <a:ext uri="{FF2B5EF4-FFF2-40B4-BE49-F238E27FC236}">
                <a16:creationId xmlns:a16="http://schemas.microsoft.com/office/drawing/2014/main" id="{00000000-0008-0000-0100-00001E000000}"/>
              </a:ext>
            </a:extLst>
          </xdr:cNvPr>
          <xdr:cNvSpPr/>
        </xdr:nvSpPr>
        <xdr:spPr>
          <a:xfrm>
            <a:off x="36195" y="561722"/>
            <a:ext cx="41991" cy="189248"/>
          </a:xfrm>
          <a:prstGeom prst="rect">
            <a:avLst/>
          </a:prstGeom>
          <a:ln>
            <a:noFill/>
          </a:ln>
        </xdr:spPr>
        <xdr:txBody>
          <a:bodyPr vert="horz" wrap="square" lIns="0" tIns="0" rIns="0" bIns="0" rtlCol="0">
            <a:noAutofit/>
          </a:bodyPr>
          <a:lstStyle/>
          <a:p>
            <a:pPr>
              <a:lnSpc>
                <a:spcPct val="107000"/>
              </a:lnSpc>
              <a:spcAft>
                <a:spcPts val="800"/>
              </a:spcAft>
            </a:pPr>
            <a:r>
              <a:rPr lang="es-MX" sz="1100">
                <a:solidFill>
                  <a:srgbClr val="000000"/>
                </a:solidFill>
                <a:effectLst/>
                <a:latin typeface="Calibri" panose="020F0502020204030204" pitchFamily="34" charset="0"/>
                <a:ea typeface="Calibri" panose="020F0502020204030204" pitchFamily="34" charset="0"/>
              </a:rPr>
              <a:t> </a:t>
            </a:r>
          </a:p>
        </xdr:txBody>
      </xdr:sp>
      <xdr:pic>
        <xdr:nvPicPr>
          <xdr:cNvPr id="31" name="Picture 9">
            <a:extLst>
              <a:ext uri="{FF2B5EF4-FFF2-40B4-BE49-F238E27FC236}">
                <a16:creationId xmlns:a16="http://schemas.microsoft.com/office/drawing/2014/main" id="{00000000-0008-0000-0100-00001F000000}"/>
              </a:ext>
            </a:extLst>
          </xdr:cNvPr>
          <xdr:cNvPicPr/>
        </xdr:nvPicPr>
        <xdr:blipFill>
          <a:blip xmlns:r="http://schemas.openxmlformats.org/officeDocument/2006/relationships" r:embed="rId7"/>
          <a:stretch>
            <a:fillRect/>
          </a:stretch>
        </xdr:blipFill>
        <xdr:spPr>
          <a:xfrm>
            <a:off x="0" y="-1"/>
            <a:ext cx="6749755" cy="1343026"/>
          </a:xfrm>
          <a:prstGeom prst="rect">
            <a:avLst/>
          </a:prstGeom>
        </xdr:spPr>
      </xdr:pic>
    </xdr:grpSp>
    <xdr:clientData/>
  </xdr:twoCellAnchor>
  <xdr:twoCellAnchor editAs="absolute">
    <xdr:from>
      <xdr:col>6</xdr:col>
      <xdr:colOff>1612928</xdr:colOff>
      <xdr:row>0</xdr:row>
      <xdr:rowOff>1</xdr:rowOff>
    </xdr:from>
    <xdr:to>
      <xdr:col>9</xdr:col>
      <xdr:colOff>666750</xdr:colOff>
      <xdr:row>2</xdr:row>
      <xdr:rowOff>1</xdr:rowOff>
    </xdr:to>
    <xdr:grpSp>
      <xdr:nvGrpSpPr>
        <xdr:cNvPr id="35" name="Grupo 34">
          <a:hlinkClick xmlns:r="http://schemas.openxmlformats.org/officeDocument/2006/relationships" r:id="rId8"/>
          <a:extLst>
            <a:ext uri="{FF2B5EF4-FFF2-40B4-BE49-F238E27FC236}">
              <a16:creationId xmlns:a16="http://schemas.microsoft.com/office/drawing/2014/main" id="{00000000-0008-0000-0100-000023000000}"/>
            </a:ext>
          </a:extLst>
        </xdr:cNvPr>
        <xdr:cNvGrpSpPr>
          <a:grpSpLocks noChangeAspect="1"/>
        </xdr:cNvGrpSpPr>
      </xdr:nvGrpSpPr>
      <xdr:grpSpPr>
        <a:xfrm>
          <a:off x="9880628" y="1"/>
          <a:ext cx="2016097" cy="361950"/>
          <a:chOff x="1466849" y="0"/>
          <a:chExt cx="1762126" cy="385789"/>
        </a:xfrm>
      </xdr:grpSpPr>
      <xdr:pic>
        <xdr:nvPicPr>
          <xdr:cNvPr id="36" name="Imagen 35">
            <a:extLst>
              <a:ext uri="{FF2B5EF4-FFF2-40B4-BE49-F238E27FC236}">
                <a16:creationId xmlns:a16="http://schemas.microsoft.com/office/drawing/2014/main" id="{00000000-0008-0000-0100-00002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043" t="22024" r="10057" b="22918"/>
          <a:stretch/>
        </xdr:blipFill>
        <xdr:spPr>
          <a:xfrm>
            <a:off x="1466849" y="0"/>
            <a:ext cx="1762126" cy="385789"/>
          </a:xfrm>
          <a:prstGeom prst="rect">
            <a:avLst/>
          </a:prstGeom>
        </xdr:spPr>
      </xdr:pic>
      <xdr:sp macro="" textlink="">
        <xdr:nvSpPr>
          <xdr:cNvPr id="37" name="CuadroTexto 36">
            <a:extLst>
              <a:ext uri="{FF2B5EF4-FFF2-40B4-BE49-F238E27FC236}">
                <a16:creationId xmlns:a16="http://schemas.microsoft.com/office/drawing/2014/main" id="{00000000-0008-0000-0100-000025000000}"/>
              </a:ext>
            </a:extLst>
          </xdr:cNvPr>
          <xdr:cNvSpPr txBox="1"/>
        </xdr:nvSpPr>
        <xdr:spPr>
          <a:xfrm>
            <a:off x="1676400" y="47625"/>
            <a:ext cx="13620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200">
                <a:solidFill>
                  <a:schemeClr val="bg1"/>
                </a:solidFill>
              </a:rPr>
              <a:t>IR</a:t>
            </a:r>
            <a:r>
              <a:rPr lang="es-MX" sz="1200" baseline="0">
                <a:solidFill>
                  <a:schemeClr val="bg1"/>
                </a:solidFill>
              </a:rPr>
              <a:t> A EQUIPAMIENTO</a:t>
            </a:r>
            <a:endParaRPr lang="es-MX" sz="1200">
              <a:solidFill>
                <a:schemeClr val="bg1"/>
              </a:solidFill>
            </a:endParaRPr>
          </a:p>
        </xdr:txBody>
      </xdr:sp>
    </xdr:grpSp>
    <xdr:clientData/>
  </xdr:twoCellAnchor>
  <xdr:twoCellAnchor>
    <xdr:from>
      <xdr:col>5</xdr:col>
      <xdr:colOff>2107406</xdr:colOff>
      <xdr:row>7</xdr:row>
      <xdr:rowOff>130969</xdr:rowOff>
    </xdr:from>
    <xdr:to>
      <xdr:col>7</xdr:col>
      <xdr:colOff>95249</xdr:colOff>
      <xdr:row>11</xdr:row>
      <xdr:rowOff>47625</xdr:rowOff>
    </xdr:to>
    <xdr:grpSp>
      <xdr:nvGrpSpPr>
        <xdr:cNvPr id="4" name="Grupo 3">
          <a:extLst>
            <a:ext uri="{FF2B5EF4-FFF2-40B4-BE49-F238E27FC236}">
              <a16:creationId xmlns:a16="http://schemas.microsoft.com/office/drawing/2014/main" id="{00000000-0008-0000-0100-000004000000}"/>
            </a:ext>
          </a:extLst>
        </xdr:cNvPr>
        <xdr:cNvGrpSpPr/>
      </xdr:nvGrpSpPr>
      <xdr:grpSpPr>
        <a:xfrm>
          <a:off x="8003381" y="1454944"/>
          <a:ext cx="2112168" cy="640556"/>
          <a:chOff x="8260556" y="2083594"/>
          <a:chExt cx="1633538" cy="678656"/>
        </a:xfrm>
        <a:noFill/>
      </xdr:grpSpPr>
      <xdr:sp macro="" textlink="eQUIPAMIENTO!M1">
        <xdr:nvSpPr>
          <xdr:cNvPr id="2" name="Rectángulo 1">
            <a:extLst>
              <a:ext uri="{FF2B5EF4-FFF2-40B4-BE49-F238E27FC236}">
                <a16:creationId xmlns:a16="http://schemas.microsoft.com/office/drawing/2014/main" id="{00000000-0008-0000-0100-000002000000}"/>
              </a:ext>
            </a:extLst>
          </xdr:cNvPr>
          <xdr:cNvSpPr>
            <a:spLocks noChangeAspect="1"/>
          </xdr:cNvSpPr>
        </xdr:nvSpPr>
        <xdr:spPr>
          <a:xfrm>
            <a:off x="8262938" y="2083594"/>
            <a:ext cx="1631156" cy="53578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fld id="{7ED66A52-AE49-4E5F-AD6D-59214B511497}" type="TxLink">
              <a:rPr lang="en-US" sz="1600" b="0" i="0" u="none" strike="noStrike">
                <a:solidFill>
                  <a:srgbClr val="000000"/>
                </a:solidFill>
                <a:latin typeface="Calibri"/>
                <a:ea typeface="Calibri"/>
                <a:cs typeface="Calibri"/>
              </a:rPr>
              <a:pPr algn="ctr"/>
              <a:t>FOLIO</a:t>
            </a:fld>
            <a:endParaRPr lang="es-MX" sz="1600"/>
          </a:p>
        </xdr:txBody>
      </xdr:sp>
      <xdr:sp macro="" textlink="eQUIPAMIENTO!M2">
        <xdr:nvSpPr>
          <xdr:cNvPr id="3" name="Rectángulo 2">
            <a:extLst>
              <a:ext uri="{FF2B5EF4-FFF2-40B4-BE49-F238E27FC236}">
                <a16:creationId xmlns:a16="http://schemas.microsoft.com/office/drawing/2014/main" id="{00000000-0008-0000-0100-000003000000}"/>
              </a:ext>
            </a:extLst>
          </xdr:cNvPr>
          <xdr:cNvSpPr>
            <a:spLocks noChangeAspect="1"/>
          </xdr:cNvSpPr>
        </xdr:nvSpPr>
        <xdr:spPr>
          <a:xfrm>
            <a:off x="8260556" y="2381249"/>
            <a:ext cx="1631156" cy="381001"/>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fld id="{2C0F77CA-4F25-42B7-BD19-4E6EBA230A6A}" type="TxLink">
              <a:rPr lang="en-US" sz="1600" b="0" i="0" u="none" strike="noStrike">
                <a:solidFill>
                  <a:srgbClr val="000000"/>
                </a:solidFill>
                <a:latin typeface="Calibri"/>
                <a:ea typeface="Calibri"/>
                <a:cs typeface="Calibri"/>
              </a:rPr>
              <a:pPr algn="ctr"/>
              <a:t>FOL-22-09-26-2</a:t>
            </a:fld>
            <a:endParaRPr lang="es-MX" sz="16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85724</xdr:colOff>
      <xdr:row>0</xdr:row>
      <xdr:rowOff>47625</xdr:rowOff>
    </xdr:from>
    <xdr:to>
      <xdr:col>1</xdr:col>
      <xdr:colOff>485775</xdr:colOff>
      <xdr:row>1</xdr:row>
      <xdr:rowOff>161925</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0200-000002000000}"/>
            </a:ext>
          </a:extLst>
        </xdr:cNvPr>
        <xdr:cNvSpPr>
          <a:spLocks noChangeAspect="1"/>
        </xdr:cNvSpPr>
      </xdr:nvSpPr>
      <xdr:spPr>
        <a:xfrm>
          <a:off x="85724" y="47625"/>
          <a:ext cx="1200151" cy="304800"/>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US" sz="1100">
              <a:solidFill>
                <a:srgbClr val="FF6600"/>
              </a:solidFill>
            </a:rPr>
            <a:t>ACERO PIRÁMIDE</a:t>
          </a:r>
        </a:p>
      </xdr:txBody>
    </xdr:sp>
    <xdr:clientData/>
  </xdr:twoCellAnchor>
  <xdr:twoCellAnchor editAs="absolute">
    <xdr:from>
      <xdr:col>1</xdr:col>
      <xdr:colOff>523874</xdr:colOff>
      <xdr:row>0</xdr:row>
      <xdr:rowOff>38100</xdr:rowOff>
    </xdr:from>
    <xdr:to>
      <xdr:col>1</xdr:col>
      <xdr:colOff>1533525</xdr:colOff>
      <xdr:row>1</xdr:row>
      <xdr:rowOff>152400</xdr:rowOff>
    </xdr:to>
    <xdr:sp macro="" textlink="$A$62">
      <xdr:nvSpPr>
        <xdr:cNvPr id="4" name="Rectángulo 3">
          <a:hlinkClick xmlns:r="http://schemas.openxmlformats.org/officeDocument/2006/relationships" r:id="rId2"/>
          <a:extLst>
            <a:ext uri="{FF2B5EF4-FFF2-40B4-BE49-F238E27FC236}">
              <a16:creationId xmlns:a16="http://schemas.microsoft.com/office/drawing/2014/main" id="{00000000-0008-0000-0200-000004000000}"/>
            </a:ext>
          </a:extLst>
        </xdr:cNvPr>
        <xdr:cNvSpPr>
          <a:spLocks noChangeAspect="1"/>
        </xdr:cNvSpPr>
      </xdr:nvSpPr>
      <xdr:spPr>
        <a:xfrm>
          <a:off x="1323974" y="38100"/>
          <a:ext cx="1009651" cy="304800"/>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fld id="{88B2C480-DEBE-4C00-99E1-499B2D999053}" type="TxLink">
            <a:rPr lang="en-US" sz="1200" b="0" i="0" u="none" strike="noStrike">
              <a:solidFill>
                <a:srgbClr val="FF6600"/>
              </a:solidFill>
              <a:latin typeface="Calibri"/>
              <a:ea typeface="Calibri"/>
              <a:cs typeface="Calibri"/>
            </a:rPr>
            <a:pPr algn="l"/>
            <a:t>TRUCKZONE</a:t>
          </a:fld>
          <a:endParaRPr lang="en-US" sz="1600">
            <a:solidFill>
              <a:srgbClr val="FF6600"/>
            </a:solidFill>
          </a:endParaRPr>
        </a:p>
      </xdr:txBody>
    </xdr:sp>
    <xdr:clientData/>
  </xdr:twoCellAnchor>
  <xdr:twoCellAnchor editAs="absolute">
    <xdr:from>
      <xdr:col>1</xdr:col>
      <xdr:colOff>1571624</xdr:colOff>
      <xdr:row>0</xdr:row>
      <xdr:rowOff>47625</xdr:rowOff>
    </xdr:from>
    <xdr:to>
      <xdr:col>2</xdr:col>
      <xdr:colOff>371475</xdr:colOff>
      <xdr:row>1</xdr:row>
      <xdr:rowOff>161925</xdr:rowOff>
    </xdr:to>
    <xdr:sp macro="" textlink="$A$73">
      <xdr:nvSpPr>
        <xdr:cNvPr id="5" name="Rectángulo 4">
          <a:hlinkClick xmlns:r="http://schemas.openxmlformats.org/officeDocument/2006/relationships" r:id="rId3"/>
          <a:extLst>
            <a:ext uri="{FF2B5EF4-FFF2-40B4-BE49-F238E27FC236}">
              <a16:creationId xmlns:a16="http://schemas.microsoft.com/office/drawing/2014/main" id="{00000000-0008-0000-0200-000005000000}"/>
            </a:ext>
          </a:extLst>
        </xdr:cNvPr>
        <xdr:cNvSpPr>
          <a:spLocks noChangeAspect="1"/>
        </xdr:cNvSpPr>
      </xdr:nvSpPr>
      <xdr:spPr>
        <a:xfrm>
          <a:off x="2371724" y="47625"/>
          <a:ext cx="1009651" cy="304800"/>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fld id="{2A251E7C-7215-43D9-B8F4-3CFF1254BC9D}" type="TxLink">
            <a:rPr lang="en-US" sz="1100" b="0" i="0" u="none" strike="noStrike">
              <a:solidFill>
                <a:srgbClr val="FF6600"/>
              </a:solidFill>
              <a:latin typeface="Calibri"/>
              <a:ea typeface="Calibri"/>
              <a:cs typeface="Calibri"/>
            </a:rPr>
            <a:pPr algn="ctr"/>
            <a:t>ABS</a:t>
          </a:fld>
          <a:endParaRPr lang="en-US" sz="1600">
            <a:solidFill>
              <a:srgbClr val="FF6600"/>
            </a:solidFill>
          </a:endParaRPr>
        </a:p>
      </xdr:txBody>
    </xdr:sp>
    <xdr:clientData/>
  </xdr:twoCellAnchor>
  <xdr:twoCellAnchor editAs="absolute">
    <xdr:from>
      <xdr:col>2</xdr:col>
      <xdr:colOff>409574</xdr:colOff>
      <xdr:row>0</xdr:row>
      <xdr:rowOff>57150</xdr:rowOff>
    </xdr:from>
    <xdr:to>
      <xdr:col>3</xdr:col>
      <xdr:colOff>619125</xdr:colOff>
      <xdr:row>1</xdr:row>
      <xdr:rowOff>171450</xdr:rowOff>
    </xdr:to>
    <xdr:sp macro="" textlink="$A$78">
      <xdr:nvSpPr>
        <xdr:cNvPr id="6" name="Rectángulo 5">
          <a:hlinkClick xmlns:r="http://schemas.openxmlformats.org/officeDocument/2006/relationships" r:id="rId4"/>
          <a:extLst>
            <a:ext uri="{FF2B5EF4-FFF2-40B4-BE49-F238E27FC236}">
              <a16:creationId xmlns:a16="http://schemas.microsoft.com/office/drawing/2014/main" id="{00000000-0008-0000-0200-000006000000}"/>
            </a:ext>
          </a:extLst>
        </xdr:cNvPr>
        <xdr:cNvSpPr>
          <a:spLocks noChangeAspect="1"/>
        </xdr:cNvSpPr>
      </xdr:nvSpPr>
      <xdr:spPr>
        <a:xfrm>
          <a:off x="3419474" y="57150"/>
          <a:ext cx="1009651" cy="304800"/>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fld id="{BC91E0CF-22F4-4F2E-B6D4-66C45299ACB2}" type="TxLink">
            <a:rPr lang="en-US" sz="1100" b="0" i="0" u="none" strike="noStrike">
              <a:solidFill>
                <a:srgbClr val="FF6600"/>
              </a:solidFill>
              <a:latin typeface="Calibri"/>
              <a:ea typeface="Calibri"/>
              <a:cs typeface="Calibri"/>
            </a:rPr>
            <a:pPr algn="ctr"/>
            <a:t>SUSPENSIÓN</a:t>
          </a:fld>
          <a:endParaRPr lang="en-US" sz="1600">
            <a:solidFill>
              <a:srgbClr val="FF6600"/>
            </a:solidFill>
          </a:endParaRPr>
        </a:p>
      </xdr:txBody>
    </xdr:sp>
    <xdr:clientData/>
  </xdr:twoCellAnchor>
  <xdr:twoCellAnchor editAs="absolute">
    <xdr:from>
      <xdr:col>3</xdr:col>
      <xdr:colOff>657224</xdr:colOff>
      <xdr:row>0</xdr:row>
      <xdr:rowOff>47625</xdr:rowOff>
    </xdr:from>
    <xdr:to>
      <xdr:col>5</xdr:col>
      <xdr:colOff>142875</xdr:colOff>
      <xdr:row>1</xdr:row>
      <xdr:rowOff>161925</xdr:rowOff>
    </xdr:to>
    <xdr:sp macro="" textlink="$A$87">
      <xdr:nvSpPr>
        <xdr:cNvPr id="7" name="Rectángulo 6">
          <a:hlinkClick xmlns:r="http://schemas.openxmlformats.org/officeDocument/2006/relationships" r:id="rId5"/>
          <a:extLst>
            <a:ext uri="{FF2B5EF4-FFF2-40B4-BE49-F238E27FC236}">
              <a16:creationId xmlns:a16="http://schemas.microsoft.com/office/drawing/2014/main" id="{00000000-0008-0000-0200-000007000000}"/>
            </a:ext>
          </a:extLst>
        </xdr:cNvPr>
        <xdr:cNvSpPr>
          <a:spLocks noChangeAspect="1"/>
        </xdr:cNvSpPr>
      </xdr:nvSpPr>
      <xdr:spPr>
        <a:xfrm>
          <a:off x="4467224" y="47625"/>
          <a:ext cx="1009651" cy="304800"/>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fld id="{0F1A5E4C-082F-4C19-860A-38C050F645FD}" type="TxLink">
            <a:rPr lang="en-US" sz="1100" b="0" i="0" u="none" strike="noStrike">
              <a:solidFill>
                <a:srgbClr val="FF6600"/>
              </a:solidFill>
              <a:latin typeface="Calibri"/>
              <a:ea typeface="Calibri"/>
              <a:cs typeface="Calibri"/>
            </a:rPr>
            <a:pPr algn="ctr"/>
            <a:t>EJES</a:t>
          </a:fld>
          <a:endParaRPr lang="en-US" sz="1600">
            <a:solidFill>
              <a:srgbClr val="FF6600"/>
            </a:solidFill>
          </a:endParaRPr>
        </a:p>
      </xdr:txBody>
    </xdr:sp>
    <xdr:clientData/>
  </xdr:twoCellAnchor>
  <xdr:twoCellAnchor editAs="absolute">
    <xdr:from>
      <xdr:col>5</xdr:col>
      <xdr:colOff>209549</xdr:colOff>
      <xdr:row>0</xdr:row>
      <xdr:rowOff>47625</xdr:rowOff>
    </xdr:from>
    <xdr:to>
      <xdr:col>6</xdr:col>
      <xdr:colOff>504825</xdr:colOff>
      <xdr:row>1</xdr:row>
      <xdr:rowOff>161925</xdr:rowOff>
    </xdr:to>
    <xdr:sp macro="" textlink="$A$92">
      <xdr:nvSpPr>
        <xdr:cNvPr id="8" name="Rectángulo 7">
          <a:hlinkClick xmlns:r="http://schemas.openxmlformats.org/officeDocument/2006/relationships" r:id="rId6"/>
          <a:extLst>
            <a:ext uri="{FF2B5EF4-FFF2-40B4-BE49-F238E27FC236}">
              <a16:creationId xmlns:a16="http://schemas.microsoft.com/office/drawing/2014/main" id="{00000000-0008-0000-0200-000008000000}"/>
            </a:ext>
          </a:extLst>
        </xdr:cNvPr>
        <xdr:cNvSpPr>
          <a:spLocks noChangeAspect="1"/>
        </xdr:cNvSpPr>
      </xdr:nvSpPr>
      <xdr:spPr>
        <a:xfrm>
          <a:off x="5543549" y="47625"/>
          <a:ext cx="1057276" cy="304800"/>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fld id="{216627D2-3181-4780-94C3-4694BDF2C60C}" type="TxLink">
            <a:rPr lang="en-US" sz="1100" b="0" i="0" u="none" strike="noStrike">
              <a:solidFill>
                <a:srgbClr val="FF6600"/>
              </a:solidFill>
              <a:latin typeface="Calibri"/>
              <a:ea typeface="Calibri"/>
              <a:cs typeface="Calibri"/>
            </a:rPr>
            <a:pPr algn="ctr"/>
            <a:t>PATINES</a:t>
          </a:fld>
          <a:endParaRPr lang="en-US" sz="1600">
            <a:solidFill>
              <a:srgbClr val="FF6600"/>
            </a:solidFill>
          </a:endParaRPr>
        </a:p>
      </xdr:txBody>
    </xdr:sp>
    <xdr:clientData/>
  </xdr:twoCellAnchor>
  <mc:AlternateContent xmlns:mc="http://schemas.openxmlformats.org/markup-compatibility/2006">
    <mc:Choice xmlns:a14="http://schemas.microsoft.com/office/drawing/2010/main" Requires="a14">
      <xdr:twoCellAnchor editAs="oneCell">
        <xdr:from>
          <xdr:col>8</xdr:col>
          <xdr:colOff>30480</xdr:colOff>
          <xdr:row>0</xdr:row>
          <xdr:rowOff>60960</xdr:rowOff>
        </xdr:from>
        <xdr:to>
          <xdr:col>9</xdr:col>
          <xdr:colOff>236220</xdr:colOff>
          <xdr:row>2</xdr:row>
          <xdr:rowOff>91440</xdr:rowOff>
        </xdr:to>
        <xdr:sp macro="" textlink="">
          <xdr:nvSpPr>
            <xdr:cNvPr id="32769" name="TARIFBTON" hidden="1">
              <a:extLst>
                <a:ext uri="{63B3BB69-23CF-44E3-9099-C40C66FF867C}">
                  <a14:compatExt spid="_x0000_s32769"/>
                </a:ext>
                <a:ext uri="{FF2B5EF4-FFF2-40B4-BE49-F238E27FC236}">
                  <a16:creationId xmlns:a16="http://schemas.microsoft.com/office/drawing/2014/main" id="{00000000-0008-0000-02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6</xdr:col>
      <xdr:colOff>571499</xdr:colOff>
      <xdr:row>0</xdr:row>
      <xdr:rowOff>57150</xdr:rowOff>
    </xdr:from>
    <xdr:to>
      <xdr:col>7</xdr:col>
      <xdr:colOff>1533525</xdr:colOff>
      <xdr:row>1</xdr:row>
      <xdr:rowOff>171450</xdr:rowOff>
    </xdr:to>
    <xdr:sp macro="" textlink="">
      <xdr:nvSpPr>
        <xdr:cNvPr id="9" name="Rectángulo 8">
          <a:hlinkClick xmlns:r="http://schemas.openxmlformats.org/officeDocument/2006/relationships" r:id="rId7"/>
          <a:extLst>
            <a:ext uri="{FF2B5EF4-FFF2-40B4-BE49-F238E27FC236}">
              <a16:creationId xmlns:a16="http://schemas.microsoft.com/office/drawing/2014/main" id="{00000000-0008-0000-0200-000009000000}"/>
            </a:ext>
          </a:extLst>
        </xdr:cNvPr>
        <xdr:cNvSpPr>
          <a:spLocks noChangeAspect="1"/>
        </xdr:cNvSpPr>
      </xdr:nvSpPr>
      <xdr:spPr>
        <a:xfrm>
          <a:off x="6667499" y="57150"/>
          <a:ext cx="1762126" cy="304800"/>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b="0" i="0" u="none" strike="noStrike">
              <a:solidFill>
                <a:srgbClr val="FF6600"/>
              </a:solidFill>
              <a:latin typeface="Calibri"/>
              <a:ea typeface="Calibri"/>
              <a:cs typeface="Calibri"/>
            </a:rPr>
            <a:t>MAT COMPLEMENTARIO</a:t>
          </a:r>
        </a:p>
      </xdr:txBody>
    </xdr:sp>
    <xdr:clientData/>
  </xdr:twoCellAnchor>
  <xdr:twoCellAnchor editAs="absolute">
    <xdr:from>
      <xdr:col>0</xdr:col>
      <xdr:colOff>104775</xdr:colOff>
      <xdr:row>2</xdr:row>
      <xdr:rowOff>19050</xdr:rowOff>
    </xdr:from>
    <xdr:to>
      <xdr:col>1</xdr:col>
      <xdr:colOff>361951</xdr:colOff>
      <xdr:row>3</xdr:row>
      <xdr:rowOff>133350</xdr:rowOff>
    </xdr:to>
    <xdr:sp macro="" textlink="">
      <xdr:nvSpPr>
        <xdr:cNvPr id="10" name="Rectángulo 9">
          <a:hlinkClick xmlns:r="http://schemas.openxmlformats.org/officeDocument/2006/relationships" r:id="rId8"/>
          <a:extLst>
            <a:ext uri="{FF2B5EF4-FFF2-40B4-BE49-F238E27FC236}">
              <a16:creationId xmlns:a16="http://schemas.microsoft.com/office/drawing/2014/main" id="{00000000-0008-0000-0200-00000A000000}"/>
            </a:ext>
          </a:extLst>
        </xdr:cNvPr>
        <xdr:cNvSpPr>
          <a:spLocks noChangeAspect="1"/>
        </xdr:cNvSpPr>
      </xdr:nvSpPr>
      <xdr:spPr>
        <a:xfrm>
          <a:off x="104775" y="400050"/>
          <a:ext cx="1057276" cy="304800"/>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b="0" i="0" u="none" strike="noStrike">
              <a:solidFill>
                <a:srgbClr val="FF6600"/>
              </a:solidFill>
              <a:latin typeface="Calibri"/>
              <a:ea typeface="Calibri"/>
              <a:cs typeface="Calibri"/>
            </a:rPr>
            <a:t>PISO</a:t>
          </a:r>
        </a:p>
      </xdr:txBody>
    </xdr:sp>
    <xdr:clientData/>
  </xdr:twoCellAnchor>
  <xdr:twoCellAnchor editAs="absolute">
    <xdr:from>
      <xdr:col>1</xdr:col>
      <xdr:colOff>762000</xdr:colOff>
      <xdr:row>2</xdr:row>
      <xdr:rowOff>19050</xdr:rowOff>
    </xdr:from>
    <xdr:to>
      <xdr:col>1</xdr:col>
      <xdr:colOff>1819276</xdr:colOff>
      <xdr:row>3</xdr:row>
      <xdr:rowOff>133350</xdr:rowOff>
    </xdr:to>
    <xdr:sp macro="" textlink="">
      <xdr:nvSpPr>
        <xdr:cNvPr id="11" name="Rectángulo 10">
          <a:hlinkClick xmlns:r="http://schemas.openxmlformats.org/officeDocument/2006/relationships" r:id="rId9"/>
          <a:extLst>
            <a:ext uri="{FF2B5EF4-FFF2-40B4-BE49-F238E27FC236}">
              <a16:creationId xmlns:a16="http://schemas.microsoft.com/office/drawing/2014/main" id="{00000000-0008-0000-0200-00000B000000}"/>
            </a:ext>
          </a:extLst>
        </xdr:cNvPr>
        <xdr:cNvSpPr>
          <a:spLocks noChangeAspect="1"/>
        </xdr:cNvSpPr>
      </xdr:nvSpPr>
      <xdr:spPr>
        <a:xfrm>
          <a:off x="1562100" y="400050"/>
          <a:ext cx="1057276" cy="304800"/>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b="0" i="0" u="none" strike="noStrike">
              <a:solidFill>
                <a:srgbClr val="FF6600"/>
              </a:solidFill>
              <a:latin typeface="Calibri"/>
              <a:ea typeface="Calibri"/>
              <a:cs typeface="Calibri"/>
            </a:rPr>
            <a:t>GANCHO</a:t>
          </a:r>
        </a:p>
      </xdr:txBody>
    </xdr:sp>
    <xdr:clientData/>
  </xdr:twoCellAnchor>
  <xdr:twoCellAnchor editAs="absolute">
    <xdr:from>
      <xdr:col>1</xdr:col>
      <xdr:colOff>2143125</xdr:colOff>
      <xdr:row>2</xdr:row>
      <xdr:rowOff>28575</xdr:rowOff>
    </xdr:from>
    <xdr:to>
      <xdr:col>3</xdr:col>
      <xdr:colOff>190501</xdr:colOff>
      <xdr:row>3</xdr:row>
      <xdr:rowOff>142875</xdr:rowOff>
    </xdr:to>
    <xdr:sp macro="" textlink="">
      <xdr:nvSpPr>
        <xdr:cNvPr id="12" name="Rectángulo 11">
          <a:hlinkClick xmlns:r="http://schemas.openxmlformats.org/officeDocument/2006/relationships" r:id="rId10"/>
          <a:extLst>
            <a:ext uri="{FF2B5EF4-FFF2-40B4-BE49-F238E27FC236}">
              <a16:creationId xmlns:a16="http://schemas.microsoft.com/office/drawing/2014/main" id="{00000000-0008-0000-0200-00000C000000}"/>
            </a:ext>
          </a:extLst>
        </xdr:cNvPr>
        <xdr:cNvSpPr>
          <a:spLocks noChangeAspect="1"/>
        </xdr:cNvSpPr>
      </xdr:nvSpPr>
      <xdr:spPr>
        <a:xfrm>
          <a:off x="2943225" y="409575"/>
          <a:ext cx="1057276" cy="304800"/>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b="0" i="0" u="none" strike="noStrike">
              <a:solidFill>
                <a:srgbClr val="FF6600"/>
              </a:solidFill>
              <a:latin typeface="Calibri"/>
              <a:ea typeface="Calibri"/>
              <a:cs typeface="Calibri"/>
            </a:rPr>
            <a:t>EXTRAS</a:t>
          </a:r>
        </a:p>
      </xdr:txBody>
    </xdr:sp>
    <xdr:clientData/>
  </xdr:twoCellAnchor>
  <xdr:twoCellAnchor editAs="absolute">
    <xdr:from>
      <xdr:col>3</xdr:col>
      <xdr:colOff>333375</xdr:colOff>
      <xdr:row>2</xdr:row>
      <xdr:rowOff>28575</xdr:rowOff>
    </xdr:from>
    <xdr:to>
      <xdr:col>4</xdr:col>
      <xdr:colOff>628651</xdr:colOff>
      <xdr:row>3</xdr:row>
      <xdr:rowOff>142875</xdr:rowOff>
    </xdr:to>
    <xdr:sp macro="" textlink="">
      <xdr:nvSpPr>
        <xdr:cNvPr id="13" name="Rectángulo 12">
          <a:hlinkClick xmlns:r="http://schemas.openxmlformats.org/officeDocument/2006/relationships" r:id="rId11"/>
          <a:extLst>
            <a:ext uri="{FF2B5EF4-FFF2-40B4-BE49-F238E27FC236}">
              <a16:creationId xmlns:a16="http://schemas.microsoft.com/office/drawing/2014/main" id="{00000000-0008-0000-0200-00000D000000}"/>
            </a:ext>
          </a:extLst>
        </xdr:cNvPr>
        <xdr:cNvSpPr>
          <a:spLocks noChangeAspect="1"/>
        </xdr:cNvSpPr>
      </xdr:nvSpPr>
      <xdr:spPr>
        <a:xfrm>
          <a:off x="4143375" y="409575"/>
          <a:ext cx="1057276" cy="304800"/>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b="0" i="0" u="none" strike="noStrike">
              <a:solidFill>
                <a:srgbClr val="FF6600"/>
              </a:solidFill>
              <a:latin typeface="Calibri"/>
              <a:ea typeface="Calibri"/>
              <a:cs typeface="Calibri"/>
            </a:rPr>
            <a:t>REDILAS</a:t>
          </a:r>
        </a:p>
      </xdr:txBody>
    </xdr:sp>
    <xdr:clientData/>
  </xdr:twoCellAnchor>
  <xdr:twoCellAnchor editAs="absolute">
    <xdr:from>
      <xdr:col>4</xdr:col>
      <xdr:colOff>723900</xdr:colOff>
      <xdr:row>2</xdr:row>
      <xdr:rowOff>19050</xdr:rowOff>
    </xdr:from>
    <xdr:to>
      <xdr:col>6</xdr:col>
      <xdr:colOff>257176</xdr:colOff>
      <xdr:row>3</xdr:row>
      <xdr:rowOff>133350</xdr:rowOff>
    </xdr:to>
    <xdr:sp macro="" textlink="">
      <xdr:nvSpPr>
        <xdr:cNvPr id="14" name="Rectángulo 13">
          <a:extLst>
            <a:ext uri="{FF2B5EF4-FFF2-40B4-BE49-F238E27FC236}">
              <a16:creationId xmlns:a16="http://schemas.microsoft.com/office/drawing/2014/main" id="{00000000-0008-0000-0200-00000E000000}"/>
            </a:ext>
          </a:extLst>
        </xdr:cNvPr>
        <xdr:cNvSpPr>
          <a:spLocks noChangeAspect="1"/>
        </xdr:cNvSpPr>
      </xdr:nvSpPr>
      <xdr:spPr>
        <a:xfrm>
          <a:off x="5295900" y="400050"/>
          <a:ext cx="1057276" cy="304800"/>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b="0" i="0" u="none" strike="noStrike">
              <a:solidFill>
                <a:srgbClr val="FF6600"/>
              </a:solidFill>
              <a:latin typeface="Calibri"/>
              <a:ea typeface="Calibri"/>
              <a:cs typeface="Calibri"/>
            </a:rPr>
            <a:t>RINES</a:t>
          </a:r>
        </a:p>
      </xdr:txBody>
    </xdr:sp>
    <xdr:clientData/>
  </xdr:twoCellAnchor>
  <xdr:twoCellAnchor editAs="absolute">
    <xdr:from>
      <xdr:col>6</xdr:col>
      <xdr:colOff>400050</xdr:colOff>
      <xdr:row>2</xdr:row>
      <xdr:rowOff>19050</xdr:rowOff>
    </xdr:from>
    <xdr:to>
      <xdr:col>7</xdr:col>
      <xdr:colOff>657226</xdr:colOff>
      <xdr:row>3</xdr:row>
      <xdr:rowOff>133350</xdr:rowOff>
    </xdr:to>
    <xdr:sp macro="" textlink="">
      <xdr:nvSpPr>
        <xdr:cNvPr id="15" name="Rectángulo 14">
          <a:extLst>
            <a:ext uri="{FF2B5EF4-FFF2-40B4-BE49-F238E27FC236}">
              <a16:creationId xmlns:a16="http://schemas.microsoft.com/office/drawing/2014/main" id="{00000000-0008-0000-0200-00000F000000}"/>
            </a:ext>
          </a:extLst>
        </xdr:cNvPr>
        <xdr:cNvSpPr>
          <a:spLocks noChangeAspect="1"/>
        </xdr:cNvSpPr>
      </xdr:nvSpPr>
      <xdr:spPr>
        <a:xfrm>
          <a:off x="6496050" y="400050"/>
          <a:ext cx="1057276" cy="304800"/>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endParaRPr lang="en-US" sz="1100" b="0" i="0" u="none" strike="noStrike">
            <a:solidFill>
              <a:srgbClr val="FF6600"/>
            </a:solidFill>
            <a:latin typeface="Calibri"/>
            <a:ea typeface="Calibri"/>
            <a:cs typeface="Calibri"/>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60</xdr:col>
      <xdr:colOff>447675</xdr:colOff>
      <xdr:row>0</xdr:row>
      <xdr:rowOff>66676</xdr:rowOff>
    </xdr:from>
    <xdr:to>
      <xdr:col>65</xdr:col>
      <xdr:colOff>704850</xdr:colOff>
      <xdr:row>6</xdr:row>
      <xdr:rowOff>104776</xdr:rowOff>
    </xdr:to>
    <mc:AlternateContent xmlns:mc="http://schemas.openxmlformats.org/markup-compatibility/2006" xmlns:sle15="http://schemas.microsoft.com/office/drawing/2012/slicer">
      <mc:Choice Requires="sle15">
        <xdr:graphicFrame macro="">
          <xdr:nvGraphicFramePr>
            <xdr:cNvPr id="38" name="NOMBRE 7">
              <a:extLst>
                <a:ext uri="{FF2B5EF4-FFF2-40B4-BE49-F238E27FC236}">
                  <a16:creationId xmlns:a16="http://schemas.microsoft.com/office/drawing/2014/main" id="{00000000-0008-0000-0300-000026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NOMBRE 7"/>
            </a:graphicData>
          </a:graphic>
        </xdr:graphicFrame>
      </mc:Choice>
      <mc:Fallback xmlns="">
        <xdr:sp macro="" textlink="">
          <xdr:nvSpPr>
            <xdr:cNvPr id="0" name=""/>
            <xdr:cNvSpPr>
              <a:spLocks noTextEdit="1"/>
            </xdr:cNvSpPr>
          </xdr:nvSpPr>
          <xdr:spPr>
            <a:xfrm>
              <a:off x="3705225" y="66676"/>
              <a:ext cx="3267075" cy="1181100"/>
            </a:xfrm>
            <a:prstGeom prst="rect">
              <a:avLst/>
            </a:prstGeom>
            <a:solidFill>
              <a:prstClr val="white"/>
            </a:solidFill>
            <a:ln w="1">
              <a:solidFill>
                <a:prstClr val="green"/>
              </a:solidFill>
            </a:ln>
          </xdr:spPr>
          <xdr:txBody>
            <a:bodyPr vertOverflow="clip" horzOverflow="clip"/>
            <a:lstStyle/>
            <a:p>
              <a:r>
                <a:rPr lang="es-MX"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66</xdr:col>
          <xdr:colOff>525780</xdr:colOff>
          <xdr:row>0</xdr:row>
          <xdr:rowOff>175260</xdr:rowOff>
        </xdr:from>
        <xdr:to>
          <xdr:col>68</xdr:col>
          <xdr:colOff>144780</xdr:colOff>
          <xdr:row>3</xdr:row>
          <xdr:rowOff>53340</xdr:rowOff>
        </xdr:to>
        <xdr:sp macro="" textlink="">
          <xdr:nvSpPr>
            <xdr:cNvPr id="56321" name="PRODUCTBTON" hidden="1">
              <a:extLst>
                <a:ext uri="{63B3BB69-23CF-44E3-9099-C40C66FF867C}">
                  <a14:compatExt spid="_x0000_s56321"/>
                </a:ext>
                <a:ext uri="{FF2B5EF4-FFF2-40B4-BE49-F238E27FC236}">
                  <a16:creationId xmlns:a16="http://schemas.microsoft.com/office/drawing/2014/main" id="{00000000-0008-0000-03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0</xdr:colOff>
          <xdr:row>1</xdr:row>
          <xdr:rowOff>7620</xdr:rowOff>
        </xdr:from>
        <xdr:to>
          <xdr:col>12</xdr:col>
          <xdr:colOff>769620</xdr:colOff>
          <xdr:row>3</xdr:row>
          <xdr:rowOff>45720</xdr:rowOff>
        </xdr:to>
        <xdr:sp macro="" textlink="">
          <xdr:nvSpPr>
            <xdr:cNvPr id="55298" name="PRESPLANAS" hidden="1">
              <a:extLst>
                <a:ext uri="{63B3BB69-23CF-44E3-9099-C40C66FF867C}">
                  <a14:compatExt spid="_x0000_s55298"/>
                </a:ext>
                <a:ext uri="{FF2B5EF4-FFF2-40B4-BE49-F238E27FC236}">
                  <a16:creationId xmlns:a16="http://schemas.microsoft.com/office/drawing/2014/main" id="{00000000-0008-0000-05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4</xdr:row>
          <xdr:rowOff>83820</xdr:rowOff>
        </xdr:from>
        <xdr:to>
          <xdr:col>12</xdr:col>
          <xdr:colOff>533400</xdr:colOff>
          <xdr:row>6</xdr:row>
          <xdr:rowOff>68580</xdr:rowOff>
        </xdr:to>
        <xdr:sp macro="" textlink="">
          <xdr:nvSpPr>
            <xdr:cNvPr id="55299" name="BOTNPDFPRESUPUESTOPLANAS" hidden="1">
              <a:extLst>
                <a:ext uri="{63B3BB69-23CF-44E3-9099-C40C66FF867C}">
                  <a14:compatExt spid="_x0000_s55299"/>
                </a:ext>
                <a:ext uri="{FF2B5EF4-FFF2-40B4-BE49-F238E27FC236}">
                  <a16:creationId xmlns:a16="http://schemas.microsoft.com/office/drawing/2014/main" id="{00000000-0008-0000-05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647700</xdr:colOff>
          <xdr:row>2</xdr:row>
          <xdr:rowOff>121920</xdr:rowOff>
        </xdr:from>
        <xdr:to>
          <xdr:col>13</xdr:col>
          <xdr:colOff>624840</xdr:colOff>
          <xdr:row>4</xdr:row>
          <xdr:rowOff>175260</xdr:rowOff>
        </xdr:to>
        <xdr:sp macro="" textlink="">
          <xdr:nvSpPr>
            <xdr:cNvPr id="91331" name="BT_EN_COTIZACION" hidden="1">
              <a:extLst>
                <a:ext uri="{63B3BB69-23CF-44E3-9099-C40C66FF867C}">
                  <a14:compatExt spid="_x0000_s91331"/>
                </a:ext>
                <a:ext uri="{FF2B5EF4-FFF2-40B4-BE49-F238E27FC236}">
                  <a16:creationId xmlns:a16="http://schemas.microsoft.com/office/drawing/2014/main" id="{00000000-0008-0000-0600-0000C3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5</xdr:row>
          <xdr:rowOff>99060</xdr:rowOff>
        </xdr:from>
        <xdr:to>
          <xdr:col>13</xdr:col>
          <xdr:colOff>426720</xdr:colOff>
          <xdr:row>7</xdr:row>
          <xdr:rowOff>83820</xdr:rowOff>
        </xdr:to>
        <xdr:sp macro="" textlink="">
          <xdr:nvSpPr>
            <xdr:cNvPr id="91433" name="bt_GUAR_PDF_COTIZ_PLATAF" hidden="1">
              <a:extLst>
                <a:ext uri="{63B3BB69-23CF-44E3-9099-C40C66FF867C}">
                  <a14:compatExt spid="_x0000_s91433"/>
                </a:ext>
                <a:ext uri="{FF2B5EF4-FFF2-40B4-BE49-F238E27FC236}">
                  <a16:creationId xmlns:a16="http://schemas.microsoft.com/office/drawing/2014/main" id="{00000000-0008-0000-0600-00002965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33</xdr:row>
          <xdr:rowOff>123825</xdr:rowOff>
        </xdr:from>
        <xdr:to>
          <xdr:col>8</xdr:col>
          <xdr:colOff>285750</xdr:colOff>
          <xdr:row>36</xdr:row>
          <xdr:rowOff>28575</xdr:rowOff>
        </xdr:to>
        <xdr:pic>
          <xdr:nvPicPr>
            <xdr:cNvPr id="1829330" name="Imagen 21">
              <a:extLst>
                <a:ext uri="{FF2B5EF4-FFF2-40B4-BE49-F238E27FC236}">
                  <a16:creationId xmlns:a16="http://schemas.microsoft.com/office/drawing/2014/main" id="{9426BAD2-D809-512D-9EB0-9C81EBB963AE}"/>
                </a:ext>
              </a:extLst>
            </xdr:cNvPr>
            <xdr:cNvPicPr>
              <a:picLocks noChangeAspect="1" noChangeArrowheads="1"/>
              <a:extLst>
                <a:ext uri="{84589F7E-364E-4C9E-8A38-B11213B215E9}">
                  <a14:cameraTool cellRange="Foto_color1" spid="_x0000_s1855514"/>
                </a:ext>
              </a:extLst>
            </xdr:cNvPicPr>
          </xdr:nvPicPr>
          <xdr:blipFill>
            <a:blip xmlns:r="http://schemas.openxmlformats.org/officeDocument/2006/relationships" r:embed="rId1">
              <a:extLst>
                <a:ext uri="{28A0092B-C50C-407E-A947-70E740481C1C}">
                  <a14:useLocalDpi val="0"/>
                </a:ext>
              </a:extLst>
            </a:blip>
            <a:srcRect/>
            <a:stretch>
              <a:fillRect/>
            </a:stretch>
          </xdr:blipFill>
          <xdr:spPr bwMode="auto">
            <a:xfrm>
              <a:off x="4143375" y="6619875"/>
              <a:ext cx="1219200" cy="5048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0</xdr:row>
          <xdr:rowOff>0</xdr:rowOff>
        </xdr:from>
        <xdr:to>
          <xdr:col>0</xdr:col>
          <xdr:colOff>371475</xdr:colOff>
          <xdr:row>1</xdr:row>
          <xdr:rowOff>171450</xdr:rowOff>
        </xdr:to>
        <xdr:pic>
          <xdr:nvPicPr>
            <xdr:cNvPr id="1829331" name="Imagen 30">
              <a:extLst>
                <a:ext uri="{FF2B5EF4-FFF2-40B4-BE49-F238E27FC236}">
                  <a16:creationId xmlns:a16="http://schemas.microsoft.com/office/drawing/2014/main" id="{177F98A3-1434-CC12-AE53-D75307D69BF1}"/>
                </a:ext>
              </a:extLst>
            </xdr:cNvPr>
            <xdr:cNvPicPr>
              <a:picLocks noChangeAspect="1" noChangeArrowheads="1"/>
              <a:extLst>
                <a:ext uri="{84589F7E-364E-4C9E-8A38-B11213B215E9}">
                  <a14:cameraTool cellRange="foto_color2" spid="_x0000_s1855515"/>
                </a:ext>
              </a:extLst>
            </xdr:cNvPicPr>
          </xdr:nvPicPr>
          <xdr:blipFill>
            <a:blip xmlns:r="http://schemas.openxmlformats.org/officeDocument/2006/relationships" r:embed="rId2">
              <a:extLst>
                <a:ext uri="{28A0092B-C50C-407E-A947-70E740481C1C}">
                  <a14:useLocalDpi val="0"/>
                </a:ext>
              </a:extLst>
            </a:blip>
            <a:srcRect/>
            <a:stretch>
              <a:fillRect/>
            </a:stretch>
          </xdr:blipFill>
          <xdr:spPr bwMode="auto">
            <a:xfrm>
              <a:off x="9525" y="0"/>
              <a:ext cx="361950" cy="3619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0</xdr:row>
          <xdr:rowOff>0</xdr:rowOff>
        </xdr:from>
        <xdr:to>
          <xdr:col>3</xdr:col>
          <xdr:colOff>76200</xdr:colOff>
          <xdr:row>5</xdr:row>
          <xdr:rowOff>76200</xdr:rowOff>
        </xdr:to>
        <xdr:pic>
          <xdr:nvPicPr>
            <xdr:cNvPr id="1829332" name="Imagen 16">
              <a:extLst>
                <a:ext uri="{FF2B5EF4-FFF2-40B4-BE49-F238E27FC236}">
                  <a16:creationId xmlns:a16="http://schemas.microsoft.com/office/drawing/2014/main" id="{7FB0CDD0-2311-D408-F2C2-2EAD6BAC4E48}"/>
                </a:ext>
              </a:extLst>
            </xdr:cNvPr>
            <xdr:cNvPicPr>
              <a:picLocks noChangeAspect="1" noChangeArrowheads="1"/>
              <a:extLst>
                <a:ext uri="{84589F7E-364E-4C9E-8A38-B11213B215E9}">
                  <a14:cameraTool cellRange="bUSCA_pLANA" spid="_x0000_s1855516"/>
                </a:ext>
              </a:extLst>
            </xdr:cNvPicPr>
          </xdr:nvPicPr>
          <xdr:blipFill>
            <a:blip xmlns:r="http://schemas.openxmlformats.org/officeDocument/2006/relationships" r:embed="rId3"/>
            <a:srcRect/>
            <a:stretch>
              <a:fillRect/>
            </a:stretch>
          </xdr:blipFill>
          <xdr:spPr bwMode="auto">
            <a:xfrm>
              <a:off x="9525" y="0"/>
              <a:ext cx="1704975" cy="10287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123825</xdr:colOff>
          <xdr:row>0</xdr:row>
          <xdr:rowOff>123825</xdr:rowOff>
        </xdr:to>
        <xdr:pic>
          <xdr:nvPicPr>
            <xdr:cNvPr id="1829333" name="Imagen 18">
              <a:extLst>
                <a:ext uri="{FF2B5EF4-FFF2-40B4-BE49-F238E27FC236}">
                  <a16:creationId xmlns:a16="http://schemas.microsoft.com/office/drawing/2014/main" id="{55E9E6BA-0561-1025-6A20-4286BB6C29B9}"/>
                </a:ext>
              </a:extLst>
            </xdr:cNvPr>
            <xdr:cNvPicPr>
              <a:picLocks noChangeAspect="1" noChangeArrowheads="1"/>
              <a:extLst>
                <a:ext uri="{84589F7E-364E-4C9E-8A38-B11213B215E9}">
                  <a14:cameraTool cellRange="Busc_Planatrasera" spid="_x0000_s1855517"/>
                </a:ext>
              </a:extLst>
            </xdr:cNvPicPr>
          </xdr:nvPicPr>
          <xdr:blipFill>
            <a:blip xmlns:r="http://schemas.openxmlformats.org/officeDocument/2006/relationships" r:embed="rId4">
              <a:extLst>
                <a:ext uri="{28A0092B-C50C-407E-A947-70E740481C1C}">
                  <a14:useLocalDpi val="0"/>
                </a:ext>
              </a:extLst>
            </a:blip>
            <a:srcRect/>
            <a:stretch>
              <a:fillRect/>
            </a:stretch>
          </xdr:blipFill>
          <xdr:spPr bwMode="auto">
            <a:xfrm>
              <a:off x="0" y="0"/>
              <a:ext cx="123825" cy="1238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0</xdr:row>
          <xdr:rowOff>0</xdr:rowOff>
        </xdr:from>
        <xdr:to>
          <xdr:col>0</xdr:col>
          <xdr:colOff>466725</xdr:colOff>
          <xdr:row>2</xdr:row>
          <xdr:rowOff>85725</xdr:rowOff>
        </xdr:to>
        <xdr:pic>
          <xdr:nvPicPr>
            <xdr:cNvPr id="1829334" name="Picture 25086">
              <a:extLst>
                <a:ext uri="{FF2B5EF4-FFF2-40B4-BE49-F238E27FC236}">
                  <a16:creationId xmlns:a16="http://schemas.microsoft.com/office/drawing/2014/main" id="{F3C357EE-2B68-4EEE-40FD-EDEA5BB2F3A6}"/>
                </a:ext>
              </a:extLst>
            </xdr:cNvPr>
            <xdr:cNvPicPr>
              <a:picLocks noChangeAspect="1" noChangeArrowheads="1"/>
              <a:extLst>
                <a:ext uri="{84589F7E-364E-4C9E-8A38-B11213B215E9}">
                  <a14:cameraTool cellRange="Foto_color1" spid="_x0000_s1855518"/>
                </a:ext>
              </a:extLst>
            </xdr:cNvPicPr>
          </xdr:nvPicPr>
          <xdr:blipFill>
            <a:blip xmlns:r="http://schemas.openxmlformats.org/officeDocument/2006/relationships" r:embed="rId5">
              <a:extLst>
                <a:ext uri="{28A0092B-C50C-407E-A947-70E740481C1C}">
                  <a14:useLocalDpi val="0"/>
                </a:ext>
              </a:extLst>
            </a:blip>
            <a:srcRect/>
            <a:stretch>
              <a:fillRect/>
            </a:stretch>
          </xdr:blipFill>
          <xdr:spPr bwMode="auto">
            <a:xfrm>
              <a:off x="9525" y="0"/>
              <a:ext cx="457200" cy="4667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0</xdr:row>
          <xdr:rowOff>0</xdr:rowOff>
        </xdr:from>
        <xdr:to>
          <xdr:col>0</xdr:col>
          <xdr:colOff>371475</xdr:colOff>
          <xdr:row>1</xdr:row>
          <xdr:rowOff>171450</xdr:rowOff>
        </xdr:to>
        <xdr:pic>
          <xdr:nvPicPr>
            <xdr:cNvPr id="1829335" name="Picture 25087">
              <a:extLst>
                <a:ext uri="{FF2B5EF4-FFF2-40B4-BE49-F238E27FC236}">
                  <a16:creationId xmlns:a16="http://schemas.microsoft.com/office/drawing/2014/main" id="{F533818E-4EC6-5018-99A6-BEBC54B2E4E2}"/>
                </a:ext>
              </a:extLst>
            </xdr:cNvPr>
            <xdr:cNvPicPr>
              <a:picLocks noChangeAspect="1" noChangeArrowheads="1"/>
              <a:extLst>
                <a:ext uri="{84589F7E-364E-4C9E-8A38-B11213B215E9}">
                  <a14:cameraTool cellRange="foto_color2" spid="_x0000_s1855519"/>
                </a:ext>
              </a:extLst>
            </xdr:cNvPicPr>
          </xdr:nvPicPr>
          <xdr:blipFill>
            <a:blip xmlns:r="http://schemas.openxmlformats.org/officeDocument/2006/relationships" r:embed="rId2">
              <a:extLst>
                <a:ext uri="{28A0092B-C50C-407E-A947-70E740481C1C}">
                  <a14:useLocalDpi val="0"/>
                </a:ext>
              </a:extLst>
            </a:blip>
            <a:srcRect/>
            <a:stretch>
              <a:fillRect/>
            </a:stretch>
          </xdr:blipFill>
          <xdr:spPr bwMode="auto">
            <a:xfrm>
              <a:off x="9525" y="0"/>
              <a:ext cx="361950" cy="3619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76200</xdr:rowOff>
        </xdr:from>
        <xdr:to>
          <xdr:col>6</xdr:col>
          <xdr:colOff>438150</xdr:colOff>
          <xdr:row>26</xdr:row>
          <xdr:rowOff>38100</xdr:rowOff>
        </xdr:to>
        <xdr:pic>
          <xdr:nvPicPr>
            <xdr:cNvPr id="1829336" name="Picture 25088">
              <a:extLst>
                <a:ext uri="{FF2B5EF4-FFF2-40B4-BE49-F238E27FC236}">
                  <a16:creationId xmlns:a16="http://schemas.microsoft.com/office/drawing/2014/main" id="{BD9FB981-B11A-69B1-D06C-EF3880062A68}"/>
                </a:ext>
              </a:extLst>
            </xdr:cNvPr>
            <xdr:cNvPicPr>
              <a:picLocks noChangeAspect="1" noChangeArrowheads="1"/>
              <a:extLst>
                <a:ext uri="{84589F7E-364E-4C9E-8A38-B11213B215E9}">
                  <a14:cameraTool cellRange="bUSCA_pLANA" spid="_x0000_s1855520"/>
                </a:ext>
              </a:extLst>
            </xdr:cNvPicPr>
          </xdr:nvPicPr>
          <xdr:blipFill>
            <a:blip xmlns:r="http://schemas.openxmlformats.org/officeDocument/2006/relationships" r:embed="rId6"/>
            <a:srcRect/>
            <a:stretch>
              <a:fillRect/>
            </a:stretch>
          </xdr:blipFill>
          <xdr:spPr bwMode="auto">
            <a:xfrm>
              <a:off x="571500" y="3571875"/>
              <a:ext cx="3438525" cy="1562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123825</xdr:colOff>
          <xdr:row>0</xdr:row>
          <xdr:rowOff>123825</xdr:rowOff>
        </xdr:to>
        <xdr:pic>
          <xdr:nvPicPr>
            <xdr:cNvPr id="1829337" name="Picture 25089">
              <a:extLst>
                <a:ext uri="{FF2B5EF4-FFF2-40B4-BE49-F238E27FC236}">
                  <a16:creationId xmlns:a16="http://schemas.microsoft.com/office/drawing/2014/main" id="{50FB66AF-DF61-249B-CB96-CC2FE05648CB}"/>
                </a:ext>
              </a:extLst>
            </xdr:cNvPr>
            <xdr:cNvPicPr>
              <a:picLocks noChangeAspect="1" noChangeArrowheads="1"/>
              <a:extLst>
                <a:ext uri="{84589F7E-364E-4C9E-8A38-B11213B215E9}">
                  <a14:cameraTool cellRange="Busc_Planatrasera" spid="_x0000_s1855521"/>
                </a:ext>
              </a:extLst>
            </xdr:cNvPicPr>
          </xdr:nvPicPr>
          <xdr:blipFill>
            <a:blip xmlns:r="http://schemas.openxmlformats.org/officeDocument/2006/relationships" r:embed="rId4">
              <a:extLst>
                <a:ext uri="{28A0092B-C50C-407E-A947-70E740481C1C}">
                  <a14:useLocalDpi val="0"/>
                </a:ext>
              </a:extLst>
            </a:blip>
            <a:srcRect/>
            <a:stretch>
              <a:fillRect/>
            </a:stretch>
          </xdr:blipFill>
          <xdr:spPr bwMode="auto">
            <a:xfrm>
              <a:off x="0" y="0"/>
              <a:ext cx="123825" cy="12382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47628</xdr:rowOff>
    </xdr:from>
    <xdr:to>
      <xdr:col>8</xdr:col>
      <xdr:colOff>424492</xdr:colOff>
      <xdr:row>4</xdr:row>
      <xdr:rowOff>123825</xdr:rowOff>
    </xdr:to>
    <xdr:grpSp>
      <xdr:nvGrpSpPr>
        <xdr:cNvPr id="2" name="Grupo 1">
          <a:extLst>
            <a:ext uri="{FF2B5EF4-FFF2-40B4-BE49-F238E27FC236}">
              <a16:creationId xmlns:a16="http://schemas.microsoft.com/office/drawing/2014/main" id="{00000000-0008-0000-0700-000002000000}"/>
            </a:ext>
          </a:extLst>
        </xdr:cNvPr>
        <xdr:cNvGrpSpPr>
          <a:grpSpLocks noChangeAspect="1"/>
        </xdr:cNvGrpSpPr>
      </xdr:nvGrpSpPr>
      <xdr:grpSpPr>
        <a:xfrm>
          <a:off x="0" y="47628"/>
          <a:ext cx="6644900" cy="822646"/>
          <a:chOff x="254735" y="9977561"/>
          <a:chExt cx="7229382" cy="896983"/>
        </a:xfrm>
      </xdr:grpSpPr>
      <xdr:pic>
        <xdr:nvPicPr>
          <xdr:cNvPr id="3" name="image1.png">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clrChange>
              <a:clrFrom>
                <a:srgbClr val="7F7F7F">
                  <a:alpha val="49804"/>
                </a:srgbClr>
              </a:clrFrom>
              <a:clrTo>
                <a:srgbClr val="7F7F7F">
                  <a:alpha val="0"/>
                </a:srgbClr>
              </a:clrTo>
            </a:clrChange>
            <a:biLevel thresh="50000"/>
            <a:extLst>
              <a:ext uri="{BEBA8EAE-BF5A-486C-A8C5-ECC9F3942E4B}">
                <a14:imgProps xmlns:a14="http://schemas.microsoft.com/office/drawing/2010/main">
                  <a14:imgLayer r:embed="rId2">
                    <a14:imgEffect>
                      <a14:sharpenSoften amount="50000"/>
                    </a14:imgEffect>
                    <a14:imgEffect>
                      <a14:colorTemperature colorTemp="8800"/>
                    </a14:imgEffect>
                    <a14:imgEffect>
                      <a14:saturation sat="66000"/>
                    </a14:imgEffect>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254735" y="9986691"/>
            <a:ext cx="4321697" cy="887853"/>
          </a:xfrm>
          <a:prstGeom prst="rect">
            <a:avLst/>
          </a:prstGeom>
        </xdr:spPr>
      </xdr:pic>
      <xdr:sp macro="" textlink="">
        <xdr:nvSpPr>
          <xdr:cNvPr id="4" name="CuadroTexto 3">
            <a:extLst>
              <a:ext uri="{FF2B5EF4-FFF2-40B4-BE49-F238E27FC236}">
                <a16:creationId xmlns:a16="http://schemas.microsoft.com/office/drawing/2014/main" id="{00000000-0008-0000-0700-000004000000}"/>
              </a:ext>
            </a:extLst>
          </xdr:cNvPr>
          <xdr:cNvSpPr txBox="1"/>
        </xdr:nvSpPr>
        <xdr:spPr>
          <a:xfrm>
            <a:off x="4277697" y="9977561"/>
            <a:ext cx="3206420" cy="877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a:t>FABRICACIÓN Y REPARACIÓN DE REMOLQUES Y SEMIRREMOLQUES</a:t>
            </a:r>
          </a:p>
          <a:p>
            <a:pPr algn="ctr"/>
            <a:r>
              <a:rPr lang="es-MX" sz="1100"/>
              <a:t>R.F.C. ALE1808225X5</a:t>
            </a:r>
            <a:r>
              <a:rPr lang="es-MX" sz="1100" baseline="0"/>
              <a:t> </a:t>
            </a:r>
            <a:r>
              <a:rPr lang="es-MX" sz="1100"/>
              <a:t>Col. San Miguel Ayotla           C.P. 73180, Ahuazotepec, Puebla.</a:t>
            </a:r>
          </a:p>
        </xdr:txBody>
      </xdr:sp>
    </xdr:grpSp>
    <xdr:clientData/>
  </xdr:twoCellAnchor>
  <xdr:twoCellAnchor>
    <xdr:from>
      <xdr:col>0</xdr:col>
      <xdr:colOff>3774</xdr:colOff>
      <xdr:row>6</xdr:row>
      <xdr:rowOff>161385</xdr:rowOff>
    </xdr:from>
    <xdr:to>
      <xdr:col>1</xdr:col>
      <xdr:colOff>0</xdr:colOff>
      <xdr:row>8</xdr:row>
      <xdr:rowOff>8986</xdr:rowOff>
    </xdr:to>
    <xdr:sp macro="" textlink="">
      <xdr:nvSpPr>
        <xdr:cNvPr id="5" name="CuadroTexto 4">
          <a:extLst>
            <a:ext uri="{FF2B5EF4-FFF2-40B4-BE49-F238E27FC236}">
              <a16:creationId xmlns:a16="http://schemas.microsoft.com/office/drawing/2014/main" id="{00000000-0008-0000-0700-000005000000}"/>
            </a:ext>
          </a:extLst>
        </xdr:cNvPr>
        <xdr:cNvSpPr txBox="1"/>
      </xdr:nvSpPr>
      <xdr:spPr>
        <a:xfrm>
          <a:off x="3774" y="1293602"/>
          <a:ext cx="849882" cy="207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MX" sz="1100"/>
            <a:t>Atencion a:</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44931</xdr:rowOff>
        </xdr:from>
        <xdr:to>
          <xdr:col>4</xdr:col>
          <xdr:colOff>490818</xdr:colOff>
          <xdr:row>50</xdr:row>
          <xdr:rowOff>161748</xdr:rowOff>
        </xdr:to>
        <xdr:pic>
          <xdr:nvPicPr>
            <xdr:cNvPr id="8" name="Imagen 7">
              <a:extLst>
                <a:ext uri="{FF2B5EF4-FFF2-40B4-BE49-F238E27FC236}">
                  <a16:creationId xmlns:a16="http://schemas.microsoft.com/office/drawing/2014/main" id="{00000000-0008-0000-0700-000008000000}"/>
                </a:ext>
              </a:extLst>
            </xdr:cNvPr>
            <xdr:cNvPicPr>
              <a:picLocks noChangeAspect="1"/>
              <a:extLst>
                <a:ext uri="{84589F7E-364E-4C9E-8A38-B11213B215E9}">
                  <a14:cameraTool cellRange="foto2_cotizacion2" spid="_x0000_s1698444"/>
                </a:ext>
              </a:extLst>
            </xdr:cNvPicPr>
          </xdr:nvPicPr>
          <xdr:blipFill rotWithShape="1">
            <a:blip xmlns:r="http://schemas.openxmlformats.org/officeDocument/2006/relationships" r:embed="rId3">
              <a:alphaModFix amt="20000"/>
            </a:blip>
            <a:srcRect t="22488" b="-1436"/>
            <a:stretch>
              <a:fillRect/>
            </a:stretch>
          </xdr:blipFill>
          <xdr:spPr>
            <a:xfrm>
              <a:off x="0" y="7404341"/>
              <a:ext cx="3231502" cy="1482666"/>
            </a:xfrm>
            <a:prstGeom prst="rect">
              <a:avLst/>
            </a:prstGeom>
          </xdr:spPr>
        </xdr:pic>
        <xdr:clientData/>
      </xdr:twoCellAnchor>
    </mc:Choice>
    <mc:Fallback/>
  </mc:AlternateContent>
  <xdr:twoCellAnchor editAs="oneCell">
    <xdr:from>
      <xdr:col>5</xdr:col>
      <xdr:colOff>620023</xdr:colOff>
      <xdr:row>40</xdr:row>
      <xdr:rowOff>144779</xdr:rowOff>
    </xdr:from>
    <xdr:to>
      <xdr:col>9</xdr:col>
      <xdr:colOff>53917</xdr:colOff>
      <xdr:row>52</xdr:row>
      <xdr:rowOff>129897</xdr:rowOff>
    </xdr:to>
    <xdr:pic>
      <xdr:nvPicPr>
        <xdr:cNvPr id="9" name="Imagen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4">
          <a:alphaModFix amt="20000"/>
          <a:extLst>
            <a:ext uri="{BEBA8EAE-BF5A-486C-A8C5-ECC9F3942E4B}">
              <a14:imgProps xmlns:a14="http://schemas.microsoft.com/office/drawing/2010/main">
                <a14:imgLayer r:embed="rId5">
                  <a14:imgEffect>
                    <a14:backgroundRemoval t="9825" b="93333" l="9709" r="90291">
                      <a14:foregroundMark x1="52104" y1="37895" x2="52104" y2="37895"/>
                      <a14:foregroundMark x1="49191" y1="37544" x2="54369" y2="37895"/>
                      <a14:foregroundMark x1="21359" y1="86667" x2="21359" y2="86667"/>
                      <a14:foregroundMark x1="22006" y1="89825" x2="20065" y2="84912"/>
                      <a14:foregroundMark x1="20065" y1="93684" x2="20065" y2="93684"/>
                      <a14:foregroundMark x1="77670" y1="92982" x2="78533" y2="90925"/>
                      <a14:foregroundMark x1="79935" y1="90526" x2="78964" y2="89825"/>
                      <a14:foregroundMark x1="72492" y1="90526" x2="70550" y2="90877"/>
                      <a14:foregroundMark x1="77023" y1="89825" x2="77023" y2="89825"/>
                      <a14:foregroundMark x1="77023" y1="90526" x2="77023" y2="90526"/>
                      <a14:foregroundMark x1="77023" y1="89123" x2="77023" y2="89123"/>
                      <a14:foregroundMark x1="77023" y1="90877" x2="77023" y2="90877"/>
                      <a14:foregroundMark x1="77023" y1="90877" x2="77023" y2="90877"/>
                      <a14:foregroundMark x1="77023" y1="90877" x2="77023" y2="90877"/>
                      <a14:foregroundMark x1="77023" y1="90877" x2="77023" y2="90877"/>
                      <a14:foregroundMark x1="76699" y1="90526" x2="76699" y2="90526"/>
                      <a14:foregroundMark x1="76699" y1="90526" x2="76699" y2="90526"/>
                      <a14:foregroundMark x1="73008" y1="90526" x2="72816" y2="90877"/>
                      <a14:foregroundMark x1="73583" y1="89474" x2="73008" y2="90526"/>
                      <a14:foregroundMark x1="75309" y1="86316" x2="73583" y2="89474"/>
                      <a14:foregroundMark x1="75501" y1="85965" x2="75309" y2="86316"/>
                      <a14:foregroundMark x1="75885" y1="85263" x2="75501" y2="85965"/>
                      <a14:foregroundMark x1="83172" y1="71930" x2="75885" y2="85263"/>
                      <a14:foregroundMark x1="72816" y1="90877" x2="77346" y2="90526"/>
                      <a14:foregroundMark x1="83172" y1="71579" x2="83172" y2="71579"/>
                      <a14:foregroundMark x1="82848" y1="71579" x2="81877" y2="70877"/>
                      <a14:foregroundMark x1="80259" y1="69123" x2="82848" y2="72632"/>
                      <a14:foregroundMark x1="90291" y1="68421" x2="90291" y2="68421"/>
                      <a14:backgroundMark x1="15858" y1="20702" x2="15858" y2="20702"/>
                      <a14:backgroundMark x1="15534" y1="20000" x2="15534" y2="20000"/>
                      <a14:backgroundMark x1="15210" y1="20000" x2="15210" y2="20000"/>
                      <a14:backgroundMark x1="75728" y1="94035" x2="75754" y2="93361"/>
                      <a14:backgroundMark x1="76375" y1="85965" x2="76375" y2="85965"/>
                      <a14:backgroundMark x1="76375" y1="85263" x2="76375" y2="85263"/>
                      <a14:backgroundMark x1="76375" y1="89474" x2="76375" y2="89474"/>
                      <a14:backgroundMark x1="76375" y1="90526" x2="76375" y2="90526"/>
                      <a14:backgroundMark x1="75728" y1="86316" x2="75728" y2="86316"/>
                      <a14:backgroundMark x1="44660" y1="20702" x2="74110" y2="21404"/>
                      <a14:backgroundMark x1="32039" y1="16842" x2="14239" y2="20702"/>
                    </a14:backgroundRemoval>
                  </a14:imgEffect>
                </a14:imgLayer>
              </a14:imgProps>
            </a:ext>
          </a:extLst>
        </a:blip>
        <a:stretch>
          <a:fillRect/>
        </a:stretch>
      </xdr:blipFill>
      <xdr:spPr>
        <a:xfrm>
          <a:off x="4474952" y="7135770"/>
          <a:ext cx="2884460" cy="207882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388620</xdr:colOff>
          <xdr:row>0</xdr:row>
          <xdr:rowOff>60960</xdr:rowOff>
        </xdr:from>
        <xdr:to>
          <xdr:col>12</xdr:col>
          <xdr:colOff>0</xdr:colOff>
          <xdr:row>2</xdr:row>
          <xdr:rowOff>99060</xdr:rowOff>
        </xdr:to>
        <xdr:sp macro="" textlink="">
          <xdr:nvSpPr>
            <xdr:cNvPr id="92233" name="bt_LOBBY_COTIZ2_PLANAS" hidden="1">
              <a:extLst>
                <a:ext uri="{63B3BB69-23CF-44E3-9099-C40C66FF867C}">
                  <a14:compatExt spid="_x0000_s92233"/>
                </a:ext>
                <a:ext uri="{FF2B5EF4-FFF2-40B4-BE49-F238E27FC236}">
                  <a16:creationId xmlns:a16="http://schemas.microsoft.com/office/drawing/2014/main" id="{00000000-0008-0000-0700-0000496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0</xdr:row>
          <xdr:rowOff>83820</xdr:rowOff>
        </xdr:from>
        <xdr:to>
          <xdr:col>10</xdr:col>
          <xdr:colOff>807720</xdr:colOff>
          <xdr:row>2</xdr:row>
          <xdr:rowOff>68580</xdr:rowOff>
        </xdr:to>
        <xdr:sp macro="" textlink="">
          <xdr:nvSpPr>
            <xdr:cNvPr id="92234" name="Bt_cotiz2_planas_GUAR_PDF" hidden="1">
              <a:extLst>
                <a:ext uri="{63B3BB69-23CF-44E3-9099-C40C66FF867C}">
                  <a14:compatExt spid="_x0000_s92234"/>
                </a:ext>
                <a:ext uri="{FF2B5EF4-FFF2-40B4-BE49-F238E27FC236}">
                  <a16:creationId xmlns:a16="http://schemas.microsoft.com/office/drawing/2014/main" id="{00000000-0008-0000-0700-00004A6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absolute">
    <xdr:from>
      <xdr:col>17</xdr:col>
      <xdr:colOff>1133475</xdr:colOff>
      <xdr:row>0</xdr:row>
      <xdr:rowOff>180975</xdr:rowOff>
    </xdr:from>
    <xdr:to>
      <xdr:col>18</xdr:col>
      <xdr:colOff>419100</xdr:colOff>
      <xdr:row>2</xdr:row>
      <xdr:rowOff>114300</xdr:rowOff>
    </xdr:to>
    <xdr:sp macro="[0]!GUARDAR_CLEITE_eQUIPAMIENTO" textlink="">
      <xdr:nvSpPr>
        <xdr:cNvPr id="40" name="Rectángulo: esquinas diagonales cortadas 39">
          <a:extLst>
            <a:ext uri="{FF2B5EF4-FFF2-40B4-BE49-F238E27FC236}">
              <a16:creationId xmlns:a16="http://schemas.microsoft.com/office/drawing/2014/main" id="{00000000-0008-0000-0800-000028000000}"/>
            </a:ext>
          </a:extLst>
        </xdr:cNvPr>
        <xdr:cNvSpPr>
          <a:spLocks noChangeAspect="1"/>
        </xdr:cNvSpPr>
      </xdr:nvSpPr>
      <xdr:spPr>
        <a:xfrm>
          <a:off x="12763500" y="180975"/>
          <a:ext cx="1314450" cy="314325"/>
        </a:xfrm>
        <a:prstGeom prst="snip2Diag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100"/>
            <a:t>Guardar Cliente</a:t>
          </a:r>
        </a:p>
      </xdr:txBody>
    </xdr:sp>
    <xdr:clientData/>
  </xdr:twoCellAnchor>
  <xdr:twoCellAnchor editAs="absolute">
    <xdr:from>
      <xdr:col>0</xdr:col>
      <xdr:colOff>333375</xdr:colOff>
      <xdr:row>8</xdr:row>
      <xdr:rowOff>58696</xdr:rowOff>
    </xdr:from>
    <xdr:to>
      <xdr:col>1</xdr:col>
      <xdr:colOff>1806740</xdr:colOff>
      <xdr:row>9</xdr:row>
      <xdr:rowOff>111508</xdr:rowOff>
    </xdr:to>
    <xdr:grpSp>
      <xdr:nvGrpSpPr>
        <xdr:cNvPr id="29" name="Grupo 28">
          <a:extLst>
            <a:ext uri="{FF2B5EF4-FFF2-40B4-BE49-F238E27FC236}">
              <a16:creationId xmlns:a16="http://schemas.microsoft.com/office/drawing/2014/main" id="{00000000-0008-0000-0800-00001D000000}"/>
            </a:ext>
          </a:extLst>
        </xdr:cNvPr>
        <xdr:cNvGrpSpPr>
          <a:grpSpLocks noChangeAspect="1"/>
        </xdr:cNvGrpSpPr>
      </xdr:nvGrpSpPr>
      <xdr:grpSpPr>
        <a:xfrm>
          <a:off x="333375" y="1521736"/>
          <a:ext cx="2265845" cy="235692"/>
          <a:chOff x="2323831" y="2085971"/>
          <a:chExt cx="2219607" cy="238129"/>
        </a:xfrm>
      </xdr:grpSpPr>
      <xdr:sp macro="" textlink="">
        <xdr:nvSpPr>
          <xdr:cNvPr id="2" name="Rectángulo 1">
            <a:extLst>
              <a:ext uri="{FF2B5EF4-FFF2-40B4-BE49-F238E27FC236}">
                <a16:creationId xmlns:a16="http://schemas.microsoft.com/office/drawing/2014/main" id="{00000000-0008-0000-0800-000002000000}"/>
              </a:ext>
            </a:extLst>
          </xdr:cNvPr>
          <xdr:cNvSpPr/>
        </xdr:nvSpPr>
        <xdr:spPr>
          <a:xfrm>
            <a:off x="2323831" y="2105025"/>
            <a:ext cx="752475" cy="219075"/>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r"/>
            <a:r>
              <a:rPr lang="es-MX" sz="1100"/>
              <a:t>EJES</a:t>
            </a:r>
          </a:p>
        </xdr:txBody>
      </xdr:sp>
      <mc:AlternateContent xmlns:mc="http://schemas.openxmlformats.org/markup-compatibility/2006">
        <mc:Choice xmlns:a14="http://schemas.microsoft.com/office/drawing/2010/main" Requires="a14">
          <xdr:sp macro="" textlink="">
            <xdr:nvSpPr>
              <xdr:cNvPr id="11267" name="Drop Down 3" hidden="1">
                <a:extLst>
                  <a:ext uri="{63B3BB69-23CF-44E3-9099-C40C66FF867C}">
                    <a14:compatExt spid="_x0000_s11267"/>
                  </a:ext>
                  <a:ext uri="{FF2B5EF4-FFF2-40B4-BE49-F238E27FC236}">
                    <a16:creationId xmlns:a16="http://schemas.microsoft.com/office/drawing/2014/main" id="{00000000-0008-0000-0800-0000032C0000}"/>
                  </a:ext>
                </a:extLst>
              </xdr:cNvPr>
              <xdr:cNvSpPr/>
            </xdr:nvSpPr>
            <xdr:spPr bwMode="auto">
              <a:xfrm>
                <a:off x="3086122" y="2085971"/>
                <a:ext cx="1457316" cy="228600"/>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editAs="absolute">
    <xdr:from>
      <xdr:col>0</xdr:col>
      <xdr:colOff>333375</xdr:colOff>
      <xdr:row>10</xdr:row>
      <xdr:rowOff>75901</xdr:rowOff>
    </xdr:from>
    <xdr:to>
      <xdr:col>2</xdr:col>
      <xdr:colOff>390524</xdr:colOff>
      <xdr:row>11</xdr:row>
      <xdr:rowOff>133352</xdr:rowOff>
    </xdr:to>
    <xdr:grpSp>
      <xdr:nvGrpSpPr>
        <xdr:cNvPr id="30" name="Grupo 29">
          <a:extLst>
            <a:ext uri="{FF2B5EF4-FFF2-40B4-BE49-F238E27FC236}">
              <a16:creationId xmlns:a16="http://schemas.microsoft.com/office/drawing/2014/main" id="{00000000-0008-0000-0800-00001E000000}"/>
            </a:ext>
          </a:extLst>
        </xdr:cNvPr>
        <xdr:cNvGrpSpPr/>
      </xdr:nvGrpSpPr>
      <xdr:grpSpPr>
        <a:xfrm>
          <a:off x="333375" y="1904701"/>
          <a:ext cx="2884169" cy="240331"/>
          <a:chOff x="2295524" y="2409409"/>
          <a:chExt cx="2780603" cy="242675"/>
        </a:xfrm>
      </xdr:grpSpPr>
      <mc:AlternateContent xmlns:mc="http://schemas.openxmlformats.org/markup-compatibility/2006">
        <mc:Choice xmlns:a14="http://schemas.microsoft.com/office/drawing/2010/main" Requires="a14">
          <xdr:sp macro="" textlink="">
            <xdr:nvSpPr>
              <xdr:cNvPr id="11280" name="Drop Down 16" hidden="1">
                <a:extLst>
                  <a:ext uri="{63B3BB69-23CF-44E3-9099-C40C66FF867C}">
                    <a14:compatExt spid="_x0000_s11280"/>
                  </a:ext>
                  <a:ext uri="{FF2B5EF4-FFF2-40B4-BE49-F238E27FC236}">
                    <a16:creationId xmlns:a16="http://schemas.microsoft.com/office/drawing/2014/main" id="{00000000-0008-0000-0800-0000102C0000}"/>
                  </a:ext>
                </a:extLst>
              </xdr:cNvPr>
              <xdr:cNvSpPr/>
            </xdr:nvSpPr>
            <xdr:spPr bwMode="auto">
              <a:xfrm>
                <a:off x="3295680" y="2409409"/>
                <a:ext cx="1780447" cy="228599"/>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9" name="Rectángulo 8">
            <a:extLst>
              <a:ext uri="{FF2B5EF4-FFF2-40B4-BE49-F238E27FC236}">
                <a16:creationId xmlns:a16="http://schemas.microsoft.com/office/drawing/2014/main" id="{00000000-0008-0000-0800-000009000000}"/>
              </a:ext>
            </a:extLst>
          </xdr:cNvPr>
          <xdr:cNvSpPr/>
        </xdr:nvSpPr>
        <xdr:spPr>
          <a:xfrm>
            <a:off x="2295524" y="2419350"/>
            <a:ext cx="981075" cy="232734"/>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r"/>
            <a:r>
              <a:rPr lang="en-US" sz="1100"/>
              <a:t>SUSPENSION </a:t>
            </a:r>
          </a:p>
        </xdr:txBody>
      </xdr:sp>
    </xdr:grpSp>
    <xdr:clientData/>
  </xdr:twoCellAnchor>
  <xdr:twoCellAnchor editAs="absolute">
    <xdr:from>
      <xdr:col>0</xdr:col>
      <xdr:colOff>238125</xdr:colOff>
      <xdr:row>17</xdr:row>
      <xdr:rowOff>130200</xdr:rowOff>
    </xdr:from>
    <xdr:to>
      <xdr:col>2</xdr:col>
      <xdr:colOff>542924</xdr:colOff>
      <xdr:row>18</xdr:row>
      <xdr:rowOff>183012</xdr:rowOff>
    </xdr:to>
    <xdr:grpSp>
      <xdr:nvGrpSpPr>
        <xdr:cNvPr id="25" name="Grupo 24">
          <a:extLst>
            <a:ext uri="{FF2B5EF4-FFF2-40B4-BE49-F238E27FC236}">
              <a16:creationId xmlns:a16="http://schemas.microsoft.com/office/drawing/2014/main" id="{00000000-0008-0000-0800-000019000000}"/>
            </a:ext>
          </a:extLst>
        </xdr:cNvPr>
        <xdr:cNvGrpSpPr/>
      </xdr:nvGrpSpPr>
      <xdr:grpSpPr>
        <a:xfrm>
          <a:off x="238125" y="3239160"/>
          <a:ext cx="3131819" cy="235692"/>
          <a:chOff x="2295525" y="3086096"/>
          <a:chExt cx="3139362" cy="238129"/>
        </a:xfrm>
      </xdr:grpSpPr>
      <xdr:sp macro="" textlink="">
        <xdr:nvSpPr>
          <xdr:cNvPr id="24" name="Rectángulo 23">
            <a:extLst>
              <a:ext uri="{FF2B5EF4-FFF2-40B4-BE49-F238E27FC236}">
                <a16:creationId xmlns:a16="http://schemas.microsoft.com/office/drawing/2014/main" id="{00000000-0008-0000-0800-000018000000}"/>
              </a:ext>
            </a:extLst>
          </xdr:cNvPr>
          <xdr:cNvSpPr/>
        </xdr:nvSpPr>
        <xdr:spPr>
          <a:xfrm>
            <a:off x="2295525" y="3105150"/>
            <a:ext cx="752475" cy="219075"/>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r"/>
            <a:r>
              <a:rPr lang="en-US" sz="1100"/>
              <a:t>PISO </a:t>
            </a:r>
          </a:p>
        </xdr:txBody>
      </xdr:sp>
      <mc:AlternateContent xmlns:mc="http://schemas.openxmlformats.org/markup-compatibility/2006">
        <mc:Choice xmlns:a14="http://schemas.microsoft.com/office/drawing/2010/main" Requires="a14">
          <xdr:sp macro="" textlink="">
            <xdr:nvSpPr>
              <xdr:cNvPr id="11299" name="Drop Down 35" hidden="1">
                <a:extLst>
                  <a:ext uri="{63B3BB69-23CF-44E3-9099-C40C66FF867C}">
                    <a14:compatExt spid="_x0000_s11299"/>
                  </a:ext>
                  <a:ext uri="{FF2B5EF4-FFF2-40B4-BE49-F238E27FC236}">
                    <a16:creationId xmlns:a16="http://schemas.microsoft.com/office/drawing/2014/main" id="{00000000-0008-0000-0800-0000232C0000}"/>
                  </a:ext>
                </a:extLst>
              </xdr:cNvPr>
              <xdr:cNvSpPr/>
            </xdr:nvSpPr>
            <xdr:spPr bwMode="auto">
              <a:xfrm>
                <a:off x="3076579" y="3086096"/>
                <a:ext cx="2358308" cy="228601"/>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editAs="absolute">
    <xdr:from>
      <xdr:col>0</xdr:col>
      <xdr:colOff>333375</xdr:colOff>
      <xdr:row>12</xdr:row>
      <xdr:rowOff>152452</xdr:rowOff>
    </xdr:from>
    <xdr:to>
      <xdr:col>3</xdr:col>
      <xdr:colOff>100739</xdr:colOff>
      <xdr:row>14</xdr:row>
      <xdr:rowOff>52962</xdr:rowOff>
    </xdr:to>
    <xdr:grpSp>
      <xdr:nvGrpSpPr>
        <xdr:cNvPr id="11" name="Grupo 10">
          <a:extLst>
            <a:ext uri="{FF2B5EF4-FFF2-40B4-BE49-F238E27FC236}">
              <a16:creationId xmlns:a16="http://schemas.microsoft.com/office/drawing/2014/main" id="{00000000-0008-0000-0800-00000B000000}"/>
            </a:ext>
          </a:extLst>
        </xdr:cNvPr>
        <xdr:cNvGrpSpPr/>
      </xdr:nvGrpSpPr>
      <xdr:grpSpPr>
        <a:xfrm>
          <a:off x="333375" y="2347012"/>
          <a:ext cx="3386864" cy="266270"/>
          <a:chOff x="3184495" y="2739767"/>
          <a:chExt cx="3310247" cy="260608"/>
        </a:xfrm>
      </xdr:grpSpPr>
      <xdr:grpSp>
        <xdr:nvGrpSpPr>
          <xdr:cNvPr id="10" name="Grupo 9">
            <a:extLst>
              <a:ext uri="{FF2B5EF4-FFF2-40B4-BE49-F238E27FC236}">
                <a16:creationId xmlns:a16="http://schemas.microsoft.com/office/drawing/2014/main" id="{00000000-0008-0000-0800-00000A000000}"/>
              </a:ext>
            </a:extLst>
          </xdr:cNvPr>
          <xdr:cNvGrpSpPr/>
        </xdr:nvGrpSpPr>
        <xdr:grpSpPr>
          <a:xfrm>
            <a:off x="3184495" y="2739767"/>
            <a:ext cx="2748224" cy="260608"/>
            <a:chOff x="3184495" y="2673092"/>
            <a:chExt cx="2748224" cy="260608"/>
          </a:xfrm>
        </xdr:grpSpPr>
        <mc:AlternateContent xmlns:mc="http://schemas.openxmlformats.org/markup-compatibility/2006">
          <mc:Choice xmlns:a14="http://schemas.microsoft.com/office/drawing/2010/main" Requires="a14">
            <xdr:sp macro="" textlink="">
              <xdr:nvSpPr>
                <xdr:cNvPr id="11281" name="Drop Down 17" hidden="1">
                  <a:extLst>
                    <a:ext uri="{63B3BB69-23CF-44E3-9099-C40C66FF867C}">
                      <a14:compatExt spid="_x0000_s11281"/>
                    </a:ext>
                    <a:ext uri="{FF2B5EF4-FFF2-40B4-BE49-F238E27FC236}">
                      <a16:creationId xmlns:a16="http://schemas.microsoft.com/office/drawing/2014/main" id="{00000000-0008-0000-0800-0000112C0000}"/>
                    </a:ext>
                  </a:extLst>
                </xdr:cNvPr>
                <xdr:cNvSpPr/>
              </xdr:nvSpPr>
              <xdr:spPr bwMode="auto">
                <a:xfrm>
                  <a:off x="3946572" y="2682601"/>
                  <a:ext cx="1129490" cy="238125"/>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18" name="Rectángulo 17">
              <a:extLst>
                <a:ext uri="{FF2B5EF4-FFF2-40B4-BE49-F238E27FC236}">
                  <a16:creationId xmlns:a16="http://schemas.microsoft.com/office/drawing/2014/main" id="{00000000-0008-0000-0800-000012000000}"/>
                </a:ext>
              </a:extLst>
            </xdr:cNvPr>
            <xdr:cNvSpPr/>
          </xdr:nvSpPr>
          <xdr:spPr>
            <a:xfrm>
              <a:off x="3184495" y="2673092"/>
              <a:ext cx="752475" cy="257230"/>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r"/>
              <a:r>
                <a:rPr lang="en-US" sz="1100"/>
                <a:t>PATINES </a:t>
              </a:r>
            </a:p>
          </xdr:txBody>
        </xdr:sp>
        <xdr:sp macro="" textlink="">
          <xdr:nvSpPr>
            <xdr:cNvPr id="8" name="Rectángulo 7">
              <a:extLst>
                <a:ext uri="{FF2B5EF4-FFF2-40B4-BE49-F238E27FC236}">
                  <a16:creationId xmlns:a16="http://schemas.microsoft.com/office/drawing/2014/main" id="{00000000-0008-0000-0800-000008000000}"/>
                </a:ext>
              </a:extLst>
            </xdr:cNvPr>
            <xdr:cNvSpPr/>
          </xdr:nvSpPr>
          <xdr:spPr>
            <a:xfrm>
              <a:off x="5099154" y="2676525"/>
              <a:ext cx="833565" cy="257175"/>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100">
                  <a:solidFill>
                    <a:schemeClr val="bg1"/>
                  </a:solidFill>
                </a:rPr>
                <a:t> CANTIDAD</a:t>
              </a:r>
            </a:p>
          </xdr:txBody>
        </xdr:sp>
      </xdr:grpSp>
      <mc:AlternateContent xmlns:mc="http://schemas.openxmlformats.org/markup-compatibility/2006">
        <mc:Choice xmlns:a14="http://schemas.microsoft.com/office/drawing/2010/main" Requires="a14">
          <xdr:sp macro="" textlink="">
            <xdr:nvSpPr>
              <xdr:cNvPr id="11305" name="Drop Down 41" hidden="1">
                <a:extLst>
                  <a:ext uri="{63B3BB69-23CF-44E3-9099-C40C66FF867C}">
                    <a14:compatExt spid="_x0000_s11305"/>
                  </a:ext>
                  <a:ext uri="{FF2B5EF4-FFF2-40B4-BE49-F238E27FC236}">
                    <a16:creationId xmlns:a16="http://schemas.microsoft.com/office/drawing/2014/main" id="{00000000-0008-0000-0800-0000292C0000}"/>
                  </a:ext>
                </a:extLst>
              </xdr:cNvPr>
              <xdr:cNvSpPr/>
            </xdr:nvSpPr>
            <xdr:spPr bwMode="auto">
              <a:xfrm>
                <a:off x="5912734" y="2749710"/>
                <a:ext cx="582008" cy="228602"/>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editAs="absolute">
    <xdr:from>
      <xdr:col>0</xdr:col>
      <xdr:colOff>256915</xdr:colOff>
      <xdr:row>23</xdr:row>
      <xdr:rowOff>156322</xdr:rowOff>
    </xdr:from>
    <xdr:to>
      <xdr:col>1</xdr:col>
      <xdr:colOff>1809750</xdr:colOff>
      <xdr:row>25</xdr:row>
      <xdr:rowOff>38100</xdr:rowOff>
    </xdr:to>
    <xdr:grpSp>
      <xdr:nvGrpSpPr>
        <xdr:cNvPr id="27" name="Grupo 26">
          <a:extLst>
            <a:ext uri="{FF2B5EF4-FFF2-40B4-BE49-F238E27FC236}">
              <a16:creationId xmlns:a16="http://schemas.microsoft.com/office/drawing/2014/main" id="{00000000-0008-0000-0800-00001B000000}"/>
            </a:ext>
          </a:extLst>
        </xdr:cNvPr>
        <xdr:cNvGrpSpPr/>
      </xdr:nvGrpSpPr>
      <xdr:grpSpPr>
        <a:xfrm>
          <a:off x="256915" y="4362562"/>
          <a:ext cx="2345315" cy="247538"/>
          <a:chOff x="2324100" y="3762347"/>
          <a:chExt cx="2188975" cy="257203"/>
        </a:xfrm>
      </xdr:grpSpPr>
      <xdr:sp macro="" textlink="$W$13">
        <xdr:nvSpPr>
          <xdr:cNvPr id="13" name="Rectángulo 12">
            <a:extLst>
              <a:ext uri="{FF2B5EF4-FFF2-40B4-BE49-F238E27FC236}">
                <a16:creationId xmlns:a16="http://schemas.microsoft.com/office/drawing/2014/main" id="{00000000-0008-0000-0800-00000D000000}"/>
              </a:ext>
            </a:extLst>
          </xdr:cNvPr>
          <xdr:cNvSpPr/>
        </xdr:nvSpPr>
        <xdr:spPr>
          <a:xfrm>
            <a:off x="2324100" y="3771900"/>
            <a:ext cx="752475" cy="247650"/>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r"/>
            <a:fld id="{14FF9F5F-B3BF-45F1-945C-8BCACB6F98E6}" type="TxLink">
              <a:rPr lang="en-US" sz="1100" b="1" i="0" u="none" strike="noStrike">
                <a:solidFill>
                  <a:srgbClr val="FFFFFF"/>
                </a:solidFill>
                <a:latin typeface="Calibri"/>
                <a:ea typeface="Calibri"/>
                <a:cs typeface="Calibri"/>
              </a:rPr>
              <a:pPr algn="r"/>
              <a:t>GANCHO</a:t>
            </a:fld>
            <a:endParaRPr lang="es-MX" sz="1100"/>
          </a:p>
        </xdr:txBody>
      </xdr:sp>
      <mc:AlternateContent xmlns:mc="http://schemas.openxmlformats.org/markup-compatibility/2006">
        <mc:Choice xmlns:a14="http://schemas.microsoft.com/office/drawing/2010/main" Requires="a14">
          <xdr:sp macro="" textlink="">
            <xdr:nvSpPr>
              <xdr:cNvPr id="11308" name="Drop Down 44" hidden="1">
                <a:extLst>
                  <a:ext uri="{63B3BB69-23CF-44E3-9099-C40C66FF867C}">
                    <a14:compatExt spid="_x0000_s11308"/>
                  </a:ext>
                  <a:ext uri="{FF2B5EF4-FFF2-40B4-BE49-F238E27FC236}">
                    <a16:creationId xmlns:a16="http://schemas.microsoft.com/office/drawing/2014/main" id="{00000000-0008-0000-0800-00002C2C0000}"/>
                  </a:ext>
                </a:extLst>
              </xdr:cNvPr>
              <xdr:cNvSpPr/>
            </xdr:nvSpPr>
            <xdr:spPr bwMode="auto">
              <a:xfrm>
                <a:off x="3114680" y="3762347"/>
                <a:ext cx="1398395" cy="257176"/>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editAs="absolute">
    <xdr:from>
      <xdr:col>4</xdr:col>
      <xdr:colOff>220055</xdr:colOff>
      <xdr:row>12</xdr:row>
      <xdr:rowOff>22425</xdr:rowOff>
    </xdr:from>
    <xdr:to>
      <xdr:col>7</xdr:col>
      <xdr:colOff>190500</xdr:colOff>
      <xdr:row>13</xdr:row>
      <xdr:rowOff>106548</xdr:rowOff>
    </xdr:to>
    <xdr:grpSp>
      <xdr:nvGrpSpPr>
        <xdr:cNvPr id="31" name="Grupo 30">
          <a:extLst>
            <a:ext uri="{FF2B5EF4-FFF2-40B4-BE49-F238E27FC236}">
              <a16:creationId xmlns:a16="http://schemas.microsoft.com/office/drawing/2014/main" id="{00000000-0008-0000-0800-00001F000000}"/>
            </a:ext>
          </a:extLst>
        </xdr:cNvPr>
        <xdr:cNvGrpSpPr/>
      </xdr:nvGrpSpPr>
      <xdr:grpSpPr>
        <a:xfrm>
          <a:off x="4632035" y="2216985"/>
          <a:ext cx="2408845" cy="267003"/>
          <a:chOff x="2247900" y="4429155"/>
          <a:chExt cx="2228849" cy="276195"/>
        </a:xfrm>
      </xdr:grpSpPr>
      <xdr:sp macro="" textlink="$W$17">
        <xdr:nvSpPr>
          <xdr:cNvPr id="16" name="Rectángulo 15">
            <a:extLst>
              <a:ext uri="{FF2B5EF4-FFF2-40B4-BE49-F238E27FC236}">
                <a16:creationId xmlns:a16="http://schemas.microsoft.com/office/drawing/2014/main" id="{00000000-0008-0000-0800-000010000000}"/>
              </a:ext>
            </a:extLst>
          </xdr:cNvPr>
          <xdr:cNvSpPr/>
        </xdr:nvSpPr>
        <xdr:spPr>
          <a:xfrm>
            <a:off x="2247900" y="4438650"/>
            <a:ext cx="752475" cy="266700"/>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r"/>
            <a:fld id="{D8A7FB1B-31EE-40E9-8EDB-D36C0E514F74}" type="TxLink">
              <a:rPr lang="en-US" sz="1100" b="1" i="0" u="none" strike="noStrike">
                <a:solidFill>
                  <a:srgbClr val="FFFFFF"/>
                </a:solidFill>
                <a:latin typeface="Calibri"/>
                <a:ea typeface="Calibri"/>
                <a:cs typeface="Calibri"/>
              </a:rPr>
              <a:pPr algn="r"/>
              <a:t>REDILAS</a:t>
            </a:fld>
            <a:endParaRPr lang="es-MX" sz="1100"/>
          </a:p>
        </xdr:txBody>
      </xdr:sp>
      <mc:AlternateContent xmlns:mc="http://schemas.openxmlformats.org/markup-compatibility/2006">
        <mc:Choice xmlns:a14="http://schemas.microsoft.com/office/drawing/2010/main" Requires="a14">
          <xdr:sp macro="" textlink="">
            <xdr:nvSpPr>
              <xdr:cNvPr id="11312" name="Drop Down 48" hidden="1">
                <a:extLst>
                  <a:ext uri="{63B3BB69-23CF-44E3-9099-C40C66FF867C}">
                    <a14:compatExt spid="_x0000_s11312"/>
                  </a:ext>
                  <a:ext uri="{FF2B5EF4-FFF2-40B4-BE49-F238E27FC236}">
                    <a16:creationId xmlns:a16="http://schemas.microsoft.com/office/drawing/2014/main" id="{00000000-0008-0000-0800-0000302C0000}"/>
                  </a:ext>
                </a:extLst>
              </xdr:cNvPr>
              <xdr:cNvSpPr/>
            </xdr:nvSpPr>
            <xdr:spPr bwMode="auto">
              <a:xfrm>
                <a:off x="3038486" y="4429155"/>
                <a:ext cx="1438263" cy="257177"/>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editAs="absolute">
    <xdr:from>
      <xdr:col>4</xdr:col>
      <xdr:colOff>190500</xdr:colOff>
      <xdr:row>13</xdr:row>
      <xdr:rowOff>160811</xdr:rowOff>
    </xdr:from>
    <xdr:to>
      <xdr:col>8</xdr:col>
      <xdr:colOff>409575</xdr:colOff>
      <xdr:row>15</xdr:row>
      <xdr:rowOff>71369</xdr:rowOff>
    </xdr:to>
    <xdr:grpSp>
      <xdr:nvGrpSpPr>
        <xdr:cNvPr id="32" name="Grupo 31">
          <a:extLst>
            <a:ext uri="{FF2B5EF4-FFF2-40B4-BE49-F238E27FC236}">
              <a16:creationId xmlns:a16="http://schemas.microsoft.com/office/drawing/2014/main" id="{00000000-0008-0000-0800-000020000000}"/>
            </a:ext>
          </a:extLst>
        </xdr:cNvPr>
        <xdr:cNvGrpSpPr/>
      </xdr:nvGrpSpPr>
      <xdr:grpSpPr>
        <a:xfrm>
          <a:off x="4602480" y="2538251"/>
          <a:ext cx="3983355" cy="276318"/>
          <a:chOff x="1244966" y="4810125"/>
          <a:chExt cx="3830426" cy="285343"/>
        </a:xfrm>
      </xdr:grpSpPr>
      <xdr:sp macro="" textlink="$W$18">
        <xdr:nvSpPr>
          <xdr:cNvPr id="17" name="Rectángulo 16">
            <a:extLst>
              <a:ext uri="{FF2B5EF4-FFF2-40B4-BE49-F238E27FC236}">
                <a16:creationId xmlns:a16="http://schemas.microsoft.com/office/drawing/2014/main" id="{00000000-0008-0000-0800-000011000000}"/>
              </a:ext>
            </a:extLst>
          </xdr:cNvPr>
          <xdr:cNvSpPr/>
        </xdr:nvSpPr>
        <xdr:spPr>
          <a:xfrm>
            <a:off x="1244966" y="4838293"/>
            <a:ext cx="828675" cy="257175"/>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r"/>
            <a:fld id="{DA98BDDC-73B6-43F9-B418-566F4CF1BB97}" type="TxLink">
              <a:rPr lang="en-US" sz="1100" b="1" i="0" u="none" strike="noStrike">
                <a:solidFill>
                  <a:srgbClr val="FFFFFF"/>
                </a:solidFill>
                <a:latin typeface="Calibri"/>
                <a:ea typeface="Calibri"/>
                <a:cs typeface="Calibri"/>
              </a:rPr>
              <a:pPr algn="r"/>
              <a:t>RETRACTIL</a:t>
            </a:fld>
            <a:endParaRPr lang="es-MX" sz="1100"/>
          </a:p>
        </xdr:txBody>
      </xdr:sp>
      <xdr:sp macro="" textlink="">
        <xdr:nvSpPr>
          <xdr:cNvPr id="19" name="Rectángulo 18">
            <a:extLst>
              <a:ext uri="{FF2B5EF4-FFF2-40B4-BE49-F238E27FC236}">
                <a16:creationId xmlns:a16="http://schemas.microsoft.com/office/drawing/2014/main" id="{00000000-0008-0000-0800-000013000000}"/>
              </a:ext>
            </a:extLst>
          </xdr:cNvPr>
          <xdr:cNvSpPr/>
        </xdr:nvSpPr>
        <xdr:spPr>
          <a:xfrm>
            <a:off x="3676649" y="4810125"/>
            <a:ext cx="859645" cy="257175"/>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100">
                <a:solidFill>
                  <a:schemeClr val="bg1"/>
                </a:solidFill>
              </a:rPr>
              <a:t> CANTIDAD</a:t>
            </a:r>
          </a:p>
        </xdr:txBody>
      </xdr:sp>
      <mc:AlternateContent xmlns:mc="http://schemas.openxmlformats.org/markup-compatibility/2006">
        <mc:Choice xmlns:a14="http://schemas.microsoft.com/office/drawing/2010/main" Requires="a14">
          <xdr:sp macro="" textlink="">
            <xdr:nvSpPr>
              <xdr:cNvPr id="11314" name="Drop Down 50" hidden="1">
                <a:extLst>
                  <a:ext uri="{63B3BB69-23CF-44E3-9099-C40C66FF867C}">
                    <a14:compatExt spid="_x0000_s11314"/>
                  </a:ext>
                  <a:ext uri="{FF2B5EF4-FFF2-40B4-BE49-F238E27FC236}">
                    <a16:creationId xmlns:a16="http://schemas.microsoft.com/office/drawing/2014/main" id="{00000000-0008-0000-0800-0000322C0000}"/>
                  </a:ext>
                </a:extLst>
              </xdr:cNvPr>
              <xdr:cNvSpPr/>
            </xdr:nvSpPr>
            <xdr:spPr bwMode="auto">
              <a:xfrm>
                <a:off x="4533899" y="4810125"/>
                <a:ext cx="541493" cy="23812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1313" name="Drop Down 49" hidden="1">
                <a:extLst>
                  <a:ext uri="{63B3BB69-23CF-44E3-9099-C40C66FF867C}">
                    <a14:compatExt spid="_x0000_s11313"/>
                  </a:ext>
                  <a:ext uri="{FF2B5EF4-FFF2-40B4-BE49-F238E27FC236}">
                    <a16:creationId xmlns:a16="http://schemas.microsoft.com/office/drawing/2014/main" id="{00000000-0008-0000-0800-0000312C0000}"/>
                  </a:ext>
                </a:extLst>
              </xdr:cNvPr>
              <xdr:cNvSpPr/>
            </xdr:nvSpPr>
            <xdr:spPr bwMode="auto">
              <a:xfrm>
                <a:off x="2095064" y="4819649"/>
                <a:ext cx="1524436" cy="257175"/>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fLocksWithSheet="0"/>
  </xdr:twoCellAnchor>
  <xdr:twoCellAnchor editAs="absolute">
    <xdr:from>
      <xdr:col>1</xdr:col>
      <xdr:colOff>1081408</xdr:colOff>
      <xdr:row>0</xdr:row>
      <xdr:rowOff>57150</xdr:rowOff>
    </xdr:from>
    <xdr:to>
      <xdr:col>6</xdr:col>
      <xdr:colOff>579932</xdr:colOff>
      <xdr:row>2</xdr:row>
      <xdr:rowOff>162774</xdr:rowOff>
    </xdr:to>
    <xdr:sp macro="" textlink="">
      <xdr:nvSpPr>
        <xdr:cNvPr id="38" name="CuadroTexto 37">
          <a:extLst>
            <a:ext uri="{FF2B5EF4-FFF2-40B4-BE49-F238E27FC236}">
              <a16:creationId xmlns:a16="http://schemas.microsoft.com/office/drawing/2014/main" id="{00000000-0008-0000-0800-000026000000}"/>
            </a:ext>
          </a:extLst>
        </xdr:cNvPr>
        <xdr:cNvSpPr txBox="1">
          <a:spLocks noChangeAspect="1"/>
        </xdr:cNvSpPr>
      </xdr:nvSpPr>
      <xdr:spPr>
        <a:xfrm>
          <a:off x="1843408" y="57150"/>
          <a:ext cx="4527724" cy="486624"/>
        </a:xfrm>
        <a:prstGeom prst="rect">
          <a:avLst/>
        </a:prstGeom>
        <a:noFill/>
        <a:ln w="9525" cmpd="sng">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800">
              <a:solidFill>
                <a:schemeClr val="bg1"/>
              </a:solidFill>
            </a:rPr>
            <a:t>EQUIPAMIENTO REQUERIDO POR EL CLIENTE</a:t>
          </a:r>
        </a:p>
      </xdr:txBody>
    </xdr:sp>
    <xdr:clientData/>
  </xdr:twoCellAnchor>
  <xdr:twoCellAnchor editAs="absolute">
    <xdr:from>
      <xdr:col>0</xdr:col>
      <xdr:colOff>285749</xdr:colOff>
      <xdr:row>20</xdr:row>
      <xdr:rowOff>109924</xdr:rowOff>
    </xdr:from>
    <xdr:to>
      <xdr:col>3</xdr:col>
      <xdr:colOff>66675</xdr:colOff>
      <xdr:row>23</xdr:row>
      <xdr:rowOff>119335</xdr:rowOff>
    </xdr:to>
    <xdr:grpSp>
      <xdr:nvGrpSpPr>
        <xdr:cNvPr id="50" name="Grupo 49">
          <a:extLst>
            <a:ext uri="{FF2B5EF4-FFF2-40B4-BE49-F238E27FC236}">
              <a16:creationId xmlns:a16="http://schemas.microsoft.com/office/drawing/2014/main" id="{00000000-0008-0000-0800-000032000000}"/>
            </a:ext>
          </a:extLst>
        </xdr:cNvPr>
        <xdr:cNvGrpSpPr/>
      </xdr:nvGrpSpPr>
      <xdr:grpSpPr>
        <a:xfrm>
          <a:off x="285749" y="3767524"/>
          <a:ext cx="3400426" cy="558051"/>
          <a:chOff x="-3" y="3453199"/>
          <a:chExt cx="3333753" cy="558051"/>
        </a:xfrm>
      </xdr:grpSpPr>
      <xdr:grpSp>
        <xdr:nvGrpSpPr>
          <xdr:cNvPr id="26" name="Grupo 25">
            <a:extLst>
              <a:ext uri="{FF2B5EF4-FFF2-40B4-BE49-F238E27FC236}">
                <a16:creationId xmlns:a16="http://schemas.microsoft.com/office/drawing/2014/main" id="{00000000-0008-0000-0800-00001A000000}"/>
              </a:ext>
            </a:extLst>
          </xdr:cNvPr>
          <xdr:cNvGrpSpPr/>
        </xdr:nvGrpSpPr>
        <xdr:grpSpPr>
          <a:xfrm>
            <a:off x="-3" y="3453199"/>
            <a:ext cx="1581149" cy="558051"/>
            <a:chOff x="2874595" y="3092394"/>
            <a:chExt cx="1273466" cy="546155"/>
          </a:xfrm>
        </xdr:grpSpPr>
        <xdr:sp macro="" textlink="">
          <xdr:nvSpPr>
            <xdr:cNvPr id="6" name="Rectángulo 5">
              <a:extLst>
                <a:ext uri="{FF2B5EF4-FFF2-40B4-BE49-F238E27FC236}">
                  <a16:creationId xmlns:a16="http://schemas.microsoft.com/office/drawing/2014/main" id="{00000000-0008-0000-0800-000006000000}"/>
                </a:ext>
              </a:extLst>
            </xdr:cNvPr>
            <xdr:cNvSpPr/>
          </xdr:nvSpPr>
          <xdr:spPr>
            <a:xfrm>
              <a:off x="2912952" y="3101919"/>
              <a:ext cx="521661" cy="257175"/>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t>RIEL </a:t>
              </a:r>
            </a:p>
          </xdr:txBody>
        </xdr:sp>
        <mc:AlternateContent xmlns:mc="http://schemas.openxmlformats.org/markup-compatibility/2006">
          <mc:Choice xmlns:a14="http://schemas.microsoft.com/office/drawing/2010/main" Requires="a14">
            <xdr:sp macro="" textlink="">
              <xdr:nvSpPr>
                <xdr:cNvPr id="11304" name="Drop Down 40" hidden="1">
                  <a:extLst>
                    <a:ext uri="{63B3BB69-23CF-44E3-9099-C40C66FF867C}">
                      <a14:compatExt spid="_x0000_s11304"/>
                    </a:ext>
                    <a:ext uri="{FF2B5EF4-FFF2-40B4-BE49-F238E27FC236}">
                      <a16:creationId xmlns:a16="http://schemas.microsoft.com/office/drawing/2014/main" id="{00000000-0008-0000-0800-0000282C0000}"/>
                    </a:ext>
                  </a:extLst>
                </xdr:cNvPr>
                <xdr:cNvSpPr/>
              </xdr:nvSpPr>
              <xdr:spPr bwMode="auto">
                <a:xfrm>
                  <a:off x="2874595" y="3381373"/>
                  <a:ext cx="567690" cy="257176"/>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1307" name="TextBox1" hidden="1">
                  <a:extLst>
                    <a:ext uri="{63B3BB69-23CF-44E3-9099-C40C66FF867C}">
                      <a14:compatExt spid="_x0000_s11307"/>
                    </a:ext>
                    <a:ext uri="{FF2B5EF4-FFF2-40B4-BE49-F238E27FC236}">
                      <a16:creationId xmlns:a16="http://schemas.microsoft.com/office/drawing/2014/main" id="{00000000-0008-0000-0800-00002B2C0000}"/>
                    </a:ext>
                  </a:extLst>
                </xdr:cNvPr>
                <xdr:cNvSpPr/>
              </xdr:nvSpPr>
              <xdr:spPr bwMode="auto">
                <a:xfrm>
                  <a:off x="3596126" y="3381374"/>
                  <a:ext cx="521250" cy="238125"/>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12" name="Rectángulo 11">
              <a:extLst>
                <a:ext uri="{FF2B5EF4-FFF2-40B4-BE49-F238E27FC236}">
                  <a16:creationId xmlns:a16="http://schemas.microsoft.com/office/drawing/2014/main" id="{00000000-0008-0000-0800-00000C000000}"/>
                </a:ext>
              </a:extLst>
            </xdr:cNvPr>
            <xdr:cNvSpPr/>
          </xdr:nvSpPr>
          <xdr:spPr>
            <a:xfrm>
              <a:off x="3549683" y="3092394"/>
              <a:ext cx="598378" cy="257175"/>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bg1"/>
                  </a:solidFill>
                </a:rPr>
                <a:t>WINCHES</a:t>
              </a:r>
            </a:p>
          </xdr:txBody>
        </xdr:sp>
      </xdr:grpSp>
      <xdr:grpSp>
        <xdr:nvGrpSpPr>
          <xdr:cNvPr id="7" name="Grupo 6">
            <a:extLst>
              <a:ext uri="{FF2B5EF4-FFF2-40B4-BE49-F238E27FC236}">
                <a16:creationId xmlns:a16="http://schemas.microsoft.com/office/drawing/2014/main" id="{00000000-0008-0000-0800-000007000000}"/>
              </a:ext>
            </a:extLst>
          </xdr:cNvPr>
          <xdr:cNvGrpSpPr/>
        </xdr:nvGrpSpPr>
        <xdr:grpSpPr>
          <a:xfrm>
            <a:off x="1724025" y="3457575"/>
            <a:ext cx="1609725" cy="548320"/>
            <a:chOff x="2286000" y="3619500"/>
            <a:chExt cx="1609725" cy="548320"/>
          </a:xfrm>
        </xdr:grpSpPr>
        <xdr:sp macro="" textlink="">
          <xdr:nvSpPr>
            <xdr:cNvPr id="5" name="Rectángulo 4">
              <a:extLst>
                <a:ext uri="{FF2B5EF4-FFF2-40B4-BE49-F238E27FC236}">
                  <a16:creationId xmlns:a16="http://schemas.microsoft.com/office/drawing/2014/main" id="{00000000-0008-0000-0800-000005000000}"/>
                </a:ext>
              </a:extLst>
            </xdr:cNvPr>
            <xdr:cNvSpPr/>
          </xdr:nvSpPr>
          <xdr:spPr>
            <a:xfrm>
              <a:off x="2333626" y="3619500"/>
              <a:ext cx="904874" cy="262777"/>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r"/>
              <a:r>
                <a:rPr lang="en-US" sz="1100" b="1" i="0" u="none" strike="noStrike">
                  <a:solidFill>
                    <a:srgbClr val="FFFFFF"/>
                  </a:solidFill>
                  <a:latin typeface="Calibri"/>
                  <a:ea typeface="Calibri"/>
                  <a:cs typeface="Calibri"/>
                </a:rPr>
                <a:t>MATRACAS</a:t>
              </a:r>
            </a:p>
          </xdr:txBody>
        </xdr:sp>
        <mc:AlternateContent xmlns:mc="http://schemas.openxmlformats.org/markup-compatibility/2006">
          <mc:Choice xmlns:a14="http://schemas.microsoft.com/office/drawing/2010/main" Requires="a14">
            <xdr:sp macro="" textlink="">
              <xdr:nvSpPr>
                <xdr:cNvPr id="11351" name="Drop Down 87" hidden="1">
                  <a:extLst>
                    <a:ext uri="{63B3BB69-23CF-44E3-9099-C40C66FF867C}">
                      <a14:compatExt spid="_x0000_s11351"/>
                    </a:ext>
                    <a:ext uri="{FF2B5EF4-FFF2-40B4-BE49-F238E27FC236}">
                      <a16:creationId xmlns:a16="http://schemas.microsoft.com/office/drawing/2014/main" id="{00000000-0008-0000-0800-0000572C0000}"/>
                    </a:ext>
                  </a:extLst>
                </xdr:cNvPr>
                <xdr:cNvSpPr/>
              </xdr:nvSpPr>
              <xdr:spPr bwMode="auto">
                <a:xfrm>
                  <a:off x="2286000" y="3905042"/>
                  <a:ext cx="1609725" cy="262778"/>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editAs="absolute">
    <xdr:from>
      <xdr:col>1</xdr:col>
      <xdr:colOff>979170</xdr:colOff>
      <xdr:row>5</xdr:row>
      <xdr:rowOff>152399</xdr:rowOff>
    </xdr:from>
    <xdr:to>
      <xdr:col>6</xdr:col>
      <xdr:colOff>41909</xdr:colOff>
      <xdr:row>7</xdr:row>
      <xdr:rowOff>100965</xdr:rowOff>
    </xdr:to>
    <xdr:grpSp>
      <xdr:nvGrpSpPr>
        <xdr:cNvPr id="39" name="Grupo 38">
          <a:extLst>
            <a:ext uri="{FF2B5EF4-FFF2-40B4-BE49-F238E27FC236}">
              <a16:creationId xmlns:a16="http://schemas.microsoft.com/office/drawing/2014/main" id="{00000000-0008-0000-0800-000027000000}"/>
            </a:ext>
          </a:extLst>
        </xdr:cNvPr>
        <xdr:cNvGrpSpPr/>
      </xdr:nvGrpSpPr>
      <xdr:grpSpPr>
        <a:xfrm>
          <a:off x="1771650" y="1066799"/>
          <a:ext cx="4267199" cy="314326"/>
          <a:chOff x="542925" y="1057274"/>
          <a:chExt cx="4267200" cy="314326"/>
        </a:xfrm>
      </xdr:grpSpPr>
      <xdr:grpSp>
        <xdr:nvGrpSpPr>
          <xdr:cNvPr id="11270" name="Grupo 11269">
            <a:extLst>
              <a:ext uri="{FF2B5EF4-FFF2-40B4-BE49-F238E27FC236}">
                <a16:creationId xmlns:a16="http://schemas.microsoft.com/office/drawing/2014/main" id="{00000000-0008-0000-0800-0000062C0000}"/>
              </a:ext>
            </a:extLst>
          </xdr:cNvPr>
          <xdr:cNvGrpSpPr/>
        </xdr:nvGrpSpPr>
        <xdr:grpSpPr>
          <a:xfrm>
            <a:off x="542925" y="1057274"/>
            <a:ext cx="2695557" cy="314326"/>
            <a:chOff x="1352550" y="1142999"/>
            <a:chExt cx="2695557" cy="314326"/>
          </a:xfrm>
        </xdr:grpSpPr>
        <xdr:sp macro="" textlink="">
          <xdr:nvSpPr>
            <xdr:cNvPr id="60" name="Rectángulo 59">
              <a:extLst>
                <a:ext uri="{FF2B5EF4-FFF2-40B4-BE49-F238E27FC236}">
                  <a16:creationId xmlns:a16="http://schemas.microsoft.com/office/drawing/2014/main" id="{00000000-0008-0000-0800-00003C000000}"/>
                </a:ext>
              </a:extLst>
            </xdr:cNvPr>
            <xdr:cNvSpPr/>
          </xdr:nvSpPr>
          <xdr:spPr>
            <a:xfrm>
              <a:off x="1352550" y="1171990"/>
              <a:ext cx="929268" cy="275810"/>
            </a:xfrm>
            <a:prstGeom prst="rect">
              <a:avLst/>
            </a:prstGeom>
            <a:gradFill flip="none" rotWithShape="1">
              <a:gsLst>
                <a:gs pos="0">
                  <a:schemeClr val="accent2">
                    <a:satMod val="103000"/>
                    <a:lumMod val="102000"/>
                    <a:tint val="94000"/>
                    <a:alpha val="0"/>
                  </a:schemeClr>
                </a:gs>
                <a:gs pos="50000">
                  <a:schemeClr val="accent2">
                    <a:satMod val="110000"/>
                    <a:lumMod val="100000"/>
                    <a:shade val="100000"/>
                    <a:alpha val="91000"/>
                  </a:schemeClr>
                </a:gs>
                <a:gs pos="100000">
                  <a:schemeClr val="accent2">
                    <a:lumMod val="99000"/>
                    <a:satMod val="120000"/>
                    <a:shade val="78000"/>
                  </a:schemeClr>
                </a:gs>
              </a:gsLst>
              <a:lin ang="0" scaled="1"/>
              <a:tileRect/>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r"/>
              <a:r>
                <a:rPr lang="es-MX" sz="1100"/>
                <a:t>PRODUCTO</a:t>
              </a:r>
            </a:p>
          </xdr:txBody>
        </xdr:sp>
        <mc:AlternateContent xmlns:mc="http://schemas.openxmlformats.org/markup-compatibility/2006">
          <mc:Choice xmlns:a14="http://schemas.microsoft.com/office/drawing/2010/main" Requires="a14">
            <xdr:sp macro="" textlink="">
              <xdr:nvSpPr>
                <xdr:cNvPr id="11348" name="Drop Down 84" hidden="1">
                  <a:extLst>
                    <a:ext uri="{63B3BB69-23CF-44E3-9099-C40C66FF867C}">
                      <a14:compatExt spid="_x0000_s11348"/>
                    </a:ext>
                    <a:ext uri="{FF2B5EF4-FFF2-40B4-BE49-F238E27FC236}">
                      <a16:creationId xmlns:a16="http://schemas.microsoft.com/office/drawing/2014/main" id="{00000000-0008-0000-0800-0000542C0000}"/>
                    </a:ext>
                  </a:extLst>
                </xdr:cNvPr>
                <xdr:cNvSpPr/>
              </xdr:nvSpPr>
              <xdr:spPr bwMode="auto">
                <a:xfrm>
                  <a:off x="2329793" y="1142999"/>
                  <a:ext cx="1718314" cy="31432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 textlink="">
        <xdr:nvSpPr>
          <xdr:cNvPr id="37" name="Rectángulo 36">
            <a:extLst>
              <a:ext uri="{FF2B5EF4-FFF2-40B4-BE49-F238E27FC236}">
                <a16:creationId xmlns:a16="http://schemas.microsoft.com/office/drawing/2014/main" id="{00000000-0008-0000-0800-000025000000}"/>
              </a:ext>
            </a:extLst>
          </xdr:cNvPr>
          <xdr:cNvSpPr/>
        </xdr:nvSpPr>
        <xdr:spPr>
          <a:xfrm>
            <a:off x="3267075" y="1095375"/>
            <a:ext cx="838200" cy="262777"/>
          </a:xfrm>
          <a:prstGeom prst="rect">
            <a:avLst/>
          </a:prstGeom>
          <a:gradFill flip="none" rotWithShape="1">
            <a:gsLst>
              <a:gs pos="0">
                <a:schemeClr val="accent2">
                  <a:satMod val="103000"/>
                  <a:lumMod val="102000"/>
                  <a:tint val="94000"/>
                  <a:alpha val="0"/>
                </a:schemeClr>
              </a:gs>
              <a:gs pos="65000">
                <a:schemeClr val="accent2">
                  <a:satMod val="110000"/>
                  <a:lumMod val="100000"/>
                  <a:shade val="100000"/>
                  <a:alpha val="81000"/>
                </a:schemeClr>
              </a:gs>
              <a:gs pos="100000">
                <a:schemeClr val="accent2">
                  <a:lumMod val="99000"/>
                  <a:satMod val="120000"/>
                  <a:shade val="78000"/>
                </a:schemeClr>
              </a:gs>
            </a:gsLst>
            <a:lin ang="0" scaled="1"/>
            <a:tileRect/>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100">
                <a:solidFill>
                  <a:schemeClr val="bg1"/>
                </a:solidFill>
              </a:rPr>
              <a:t> CANTIDAD</a:t>
            </a:r>
          </a:p>
        </xdr:txBody>
      </xdr:sp>
      <mc:AlternateContent xmlns:mc="http://schemas.openxmlformats.org/markup-compatibility/2006">
        <mc:Choice xmlns:a14="http://schemas.microsoft.com/office/drawing/2010/main" Requires="a14">
          <xdr:sp macro="" textlink="">
            <xdr:nvSpPr>
              <xdr:cNvPr id="11354" name="TextBox4" hidden="1">
                <a:extLst>
                  <a:ext uri="{63B3BB69-23CF-44E3-9099-C40C66FF867C}">
                    <a14:compatExt spid="_x0000_s11354"/>
                  </a:ext>
                  <a:ext uri="{FF2B5EF4-FFF2-40B4-BE49-F238E27FC236}">
                    <a16:creationId xmlns:a16="http://schemas.microsoft.com/office/drawing/2014/main" id="{00000000-0008-0000-0800-00005A2C0000}"/>
                  </a:ext>
                </a:extLst>
              </xdr:cNvPr>
              <xdr:cNvSpPr/>
            </xdr:nvSpPr>
            <xdr:spPr bwMode="auto">
              <a:xfrm>
                <a:off x="4095750" y="1076325"/>
                <a:ext cx="714375" cy="285750"/>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fLocksWithSheet="0"/>
  </xdr:twoCellAnchor>
  <mc:AlternateContent xmlns:mc="http://schemas.openxmlformats.org/markup-compatibility/2006">
    <mc:Choice xmlns:a14="http://schemas.microsoft.com/office/drawing/2010/main" Requires="a14">
      <xdr:twoCellAnchor editAs="absolute">
        <xdr:from>
          <xdr:col>7</xdr:col>
          <xdr:colOff>487680</xdr:colOff>
          <xdr:row>0</xdr:row>
          <xdr:rowOff>0</xdr:rowOff>
        </xdr:from>
        <xdr:to>
          <xdr:col>9</xdr:col>
          <xdr:colOff>198120</xdr:colOff>
          <xdr:row>2</xdr:row>
          <xdr:rowOff>53340</xdr:rowOff>
        </xdr:to>
        <xdr:sp macro="" textlink="">
          <xdr:nvSpPr>
            <xdr:cNvPr id="11356" name="CommandButton1" hidden="1">
              <a:extLst>
                <a:ext uri="{63B3BB69-23CF-44E3-9099-C40C66FF867C}">
                  <a14:compatExt spid="_x0000_s11356"/>
                </a:ext>
                <a:ext uri="{FF2B5EF4-FFF2-40B4-BE49-F238E27FC236}">
                  <a16:creationId xmlns:a16="http://schemas.microsoft.com/office/drawing/2014/main" id="{00000000-0008-0000-0800-00005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449580</xdr:colOff>
          <xdr:row>3</xdr:row>
          <xdr:rowOff>182880</xdr:rowOff>
        </xdr:from>
        <xdr:to>
          <xdr:col>7</xdr:col>
          <xdr:colOff>1257300</xdr:colOff>
          <xdr:row>7</xdr:row>
          <xdr:rowOff>0</xdr:rowOff>
        </xdr:to>
        <xdr:sp macro="" textlink="">
          <xdr:nvSpPr>
            <xdr:cNvPr id="11363" name="Button 99" hidden="1">
              <a:extLst>
                <a:ext uri="{63B3BB69-23CF-44E3-9099-C40C66FF867C}">
                  <a14:compatExt spid="_x0000_s11363"/>
                </a:ext>
                <a:ext uri="{FF2B5EF4-FFF2-40B4-BE49-F238E27FC236}">
                  <a16:creationId xmlns:a16="http://schemas.microsoft.com/office/drawing/2014/main" id="{00000000-0008-0000-0800-000063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ea typeface="Calibri"/>
                  <a:cs typeface="Calibri"/>
                </a:rPr>
                <a:t>GUARDAR DATOS DE PRESUPUESTO</a:t>
              </a:r>
            </a:p>
          </xdr:txBody>
        </xdr:sp>
        <xdr:clientData fPrintsWithSheet="0"/>
      </xdr:twoCellAnchor>
    </mc:Choice>
    <mc:Fallback/>
  </mc:AlternateContent>
  <xdr:twoCellAnchor editAs="absolute">
    <xdr:from>
      <xdr:col>1</xdr:col>
      <xdr:colOff>1012667</xdr:colOff>
      <xdr:row>24</xdr:row>
      <xdr:rowOff>180976</xdr:rowOff>
    </xdr:from>
    <xdr:to>
      <xdr:col>5</xdr:col>
      <xdr:colOff>9526</xdr:colOff>
      <xdr:row>26</xdr:row>
      <xdr:rowOff>47626</xdr:rowOff>
    </xdr:to>
    <xdr:sp macro="" textlink="'PRES PLANAS'!G61">
      <xdr:nvSpPr>
        <xdr:cNvPr id="45" name="Rectángulo 44">
          <a:extLst>
            <a:ext uri="{FF2B5EF4-FFF2-40B4-BE49-F238E27FC236}">
              <a16:creationId xmlns:a16="http://schemas.microsoft.com/office/drawing/2014/main" id="{00000000-0008-0000-0800-00002D000000}"/>
            </a:ext>
          </a:extLst>
        </xdr:cNvPr>
        <xdr:cNvSpPr>
          <a:spLocks noChangeAspect="1"/>
        </xdr:cNvSpPr>
      </xdr:nvSpPr>
      <xdr:spPr>
        <a:xfrm>
          <a:off x="1774667" y="4752976"/>
          <a:ext cx="3264059" cy="247650"/>
        </a:xfrm>
        <a:prstGeom prst="rect">
          <a:avLst/>
        </a:prstGeom>
        <a:noFill/>
        <a:ln>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fld id="{4787A741-04A6-479A-892E-4E1A317F0B55}" type="TxLink">
            <a:rPr lang="en-US" sz="1400" b="0" i="0" u="none" strike="noStrike">
              <a:solidFill>
                <a:schemeClr val="bg1"/>
              </a:solidFill>
              <a:latin typeface="Calibri"/>
              <a:ea typeface="Calibri"/>
              <a:cs typeface="Calibri"/>
            </a:rPr>
            <a:pPr algn="ctr"/>
            <a:t>ADICIONALES</a:t>
          </a:fld>
          <a:endParaRPr lang="es-MX" sz="5400" b="1">
            <a:solidFill>
              <a:schemeClr val="bg1"/>
            </a:solidFill>
          </a:endParaRPr>
        </a:p>
      </xdr:txBody>
    </xdr:sp>
    <xdr:clientData/>
  </xdr:twoCellAnchor>
  <mc:AlternateContent xmlns:mc="http://schemas.openxmlformats.org/markup-compatibility/2006">
    <mc:Choice xmlns:a14="http://schemas.microsoft.com/office/drawing/2010/main" Requires="a14">
      <xdr:twoCellAnchor>
        <xdr:from>
          <xdr:col>0</xdr:col>
          <xdr:colOff>581025</xdr:colOff>
          <xdr:row>28</xdr:row>
          <xdr:rowOff>66675</xdr:rowOff>
        </xdr:from>
        <xdr:to>
          <xdr:col>6</xdr:col>
          <xdr:colOff>619125</xdr:colOff>
          <xdr:row>35</xdr:row>
          <xdr:rowOff>47625</xdr:rowOff>
        </xdr:to>
        <xdr:grpSp>
          <xdr:nvGrpSpPr>
            <xdr:cNvPr id="47" name="Grupo 46">
              <a:extLst>
                <a:ext uri="{FF2B5EF4-FFF2-40B4-BE49-F238E27FC236}">
                  <a16:creationId xmlns:a16="http://schemas.microsoft.com/office/drawing/2014/main" id="{00000000-0008-0000-0800-00002F000000}"/>
                </a:ext>
              </a:extLst>
            </xdr:cNvPr>
            <xdr:cNvGrpSpPr/>
          </xdr:nvGrpSpPr>
          <xdr:grpSpPr>
            <a:xfrm>
              <a:off x="581025" y="5187315"/>
              <a:ext cx="6035040" cy="1261110"/>
              <a:chOff x="381000" y="5686425"/>
              <a:chExt cx="5829299" cy="1314447"/>
            </a:xfrm>
          </xdr:grpSpPr>
          <xdr:sp macro="" textlink="">
            <xdr:nvSpPr>
              <xdr:cNvPr id="11334" name="Drop Down 70" hidden="1">
                <a:extLst>
                  <a:ext uri="{63B3BB69-23CF-44E3-9099-C40C66FF867C}">
                    <a14:compatExt spid="_x0000_s11334"/>
                  </a:ext>
                  <a:ext uri="{FF2B5EF4-FFF2-40B4-BE49-F238E27FC236}">
                    <a16:creationId xmlns:a16="http://schemas.microsoft.com/office/drawing/2014/main" id="{00000000-0008-0000-0800-0000462C0000}"/>
                  </a:ext>
                </a:extLst>
              </xdr:cNvPr>
              <xdr:cNvSpPr/>
            </xdr:nvSpPr>
            <xdr:spPr bwMode="auto">
              <a:xfrm>
                <a:off x="403065" y="5686425"/>
                <a:ext cx="2144326" cy="257175"/>
              </a:xfrm>
              <a:prstGeom prst="rect">
                <a:avLst/>
              </a:prstGeom>
              <a:noFill/>
              <a:ln>
                <a:noFill/>
              </a:ln>
              <a:extLst>
                <a:ext uri="{91240B29-F687-4F45-9708-019B960494DF}">
                  <a14:hiddenLine w="9525">
                    <a:noFill/>
                    <a:miter lim="800000"/>
                    <a:headEnd/>
                    <a:tailEnd/>
                  </a14:hiddenLine>
                </a:ext>
              </a:extLst>
            </xdr:spPr>
          </xdr:sp>
          <xdr:sp macro="" textlink="">
            <xdr:nvSpPr>
              <xdr:cNvPr id="11335" name="Drop Down 71" hidden="1">
                <a:extLst>
                  <a:ext uri="{63B3BB69-23CF-44E3-9099-C40C66FF867C}">
                    <a14:compatExt spid="_x0000_s11335"/>
                  </a:ext>
                  <a:ext uri="{FF2B5EF4-FFF2-40B4-BE49-F238E27FC236}">
                    <a16:creationId xmlns:a16="http://schemas.microsoft.com/office/drawing/2014/main" id="{00000000-0008-0000-0800-0000472C0000}"/>
                  </a:ext>
                </a:extLst>
              </xdr:cNvPr>
              <xdr:cNvSpPr/>
            </xdr:nvSpPr>
            <xdr:spPr bwMode="auto">
              <a:xfrm>
                <a:off x="390525" y="6029325"/>
                <a:ext cx="2144326" cy="257175"/>
              </a:xfrm>
              <a:prstGeom prst="rect">
                <a:avLst/>
              </a:prstGeom>
              <a:noFill/>
              <a:ln>
                <a:noFill/>
              </a:ln>
              <a:extLst>
                <a:ext uri="{91240B29-F687-4F45-9708-019B960494DF}">
                  <a14:hiddenLine w="9525">
                    <a:noFill/>
                    <a:miter lim="800000"/>
                    <a:headEnd/>
                    <a:tailEnd/>
                  </a14:hiddenLine>
                </a:ext>
              </a:extLst>
            </xdr:spPr>
          </xdr:sp>
          <xdr:sp macro="" textlink="">
            <xdr:nvSpPr>
              <xdr:cNvPr id="11336" name="Drop Down 72" hidden="1">
                <a:extLst>
                  <a:ext uri="{63B3BB69-23CF-44E3-9099-C40C66FF867C}">
                    <a14:compatExt spid="_x0000_s11336"/>
                  </a:ext>
                  <a:ext uri="{FF2B5EF4-FFF2-40B4-BE49-F238E27FC236}">
                    <a16:creationId xmlns:a16="http://schemas.microsoft.com/office/drawing/2014/main" id="{00000000-0008-0000-0800-0000482C0000}"/>
                  </a:ext>
                </a:extLst>
              </xdr:cNvPr>
              <xdr:cNvSpPr/>
            </xdr:nvSpPr>
            <xdr:spPr bwMode="auto">
              <a:xfrm>
                <a:off x="390525" y="6372225"/>
                <a:ext cx="2144326" cy="257175"/>
              </a:xfrm>
              <a:prstGeom prst="rect">
                <a:avLst/>
              </a:prstGeom>
              <a:noFill/>
              <a:ln>
                <a:noFill/>
              </a:ln>
              <a:extLst>
                <a:ext uri="{91240B29-F687-4F45-9708-019B960494DF}">
                  <a14:hiddenLine w="9525">
                    <a:noFill/>
                    <a:miter lim="800000"/>
                    <a:headEnd/>
                    <a:tailEnd/>
                  </a14:hiddenLine>
                </a:ext>
              </a:extLst>
            </xdr:spPr>
          </xdr:sp>
          <xdr:sp macro="" textlink="">
            <xdr:nvSpPr>
              <xdr:cNvPr id="11337" name="Drop Down 73" hidden="1">
                <a:extLst>
                  <a:ext uri="{63B3BB69-23CF-44E3-9099-C40C66FF867C}">
                    <a14:compatExt spid="_x0000_s11337"/>
                  </a:ext>
                  <a:ext uri="{FF2B5EF4-FFF2-40B4-BE49-F238E27FC236}">
                    <a16:creationId xmlns:a16="http://schemas.microsoft.com/office/drawing/2014/main" id="{00000000-0008-0000-0800-0000492C0000}"/>
                  </a:ext>
                </a:extLst>
              </xdr:cNvPr>
              <xdr:cNvSpPr/>
            </xdr:nvSpPr>
            <xdr:spPr bwMode="auto">
              <a:xfrm>
                <a:off x="3352079" y="5695950"/>
                <a:ext cx="2144326" cy="257175"/>
              </a:xfrm>
              <a:prstGeom prst="rect">
                <a:avLst/>
              </a:prstGeom>
              <a:noFill/>
              <a:ln>
                <a:noFill/>
              </a:ln>
              <a:extLst>
                <a:ext uri="{91240B29-F687-4F45-9708-019B960494DF}">
                  <a14:hiddenLine w="9525">
                    <a:noFill/>
                    <a:miter lim="800000"/>
                    <a:headEnd/>
                    <a:tailEnd/>
                  </a14:hiddenLine>
                </a:ext>
              </a:extLst>
            </xdr:spPr>
          </xdr:sp>
          <xdr:sp macro="" textlink="">
            <xdr:nvSpPr>
              <xdr:cNvPr id="11338" name="Drop Down 74" hidden="1">
                <a:extLst>
                  <a:ext uri="{63B3BB69-23CF-44E3-9099-C40C66FF867C}">
                    <a14:compatExt spid="_x0000_s11338"/>
                  </a:ext>
                  <a:ext uri="{FF2B5EF4-FFF2-40B4-BE49-F238E27FC236}">
                    <a16:creationId xmlns:a16="http://schemas.microsoft.com/office/drawing/2014/main" id="{00000000-0008-0000-0800-00004A2C0000}"/>
                  </a:ext>
                </a:extLst>
              </xdr:cNvPr>
              <xdr:cNvSpPr/>
            </xdr:nvSpPr>
            <xdr:spPr bwMode="auto">
              <a:xfrm>
                <a:off x="3377161" y="6057900"/>
                <a:ext cx="2144326" cy="257175"/>
              </a:xfrm>
              <a:prstGeom prst="rect">
                <a:avLst/>
              </a:prstGeom>
              <a:noFill/>
              <a:ln>
                <a:noFill/>
              </a:ln>
              <a:extLst>
                <a:ext uri="{91240B29-F687-4F45-9708-019B960494DF}">
                  <a14:hiddenLine w="9525">
                    <a:noFill/>
                    <a:miter lim="800000"/>
                    <a:headEnd/>
                    <a:tailEnd/>
                  </a14:hiddenLine>
                </a:ext>
              </a:extLst>
            </xdr:spPr>
          </xdr:sp>
          <xdr:sp macro="" textlink="">
            <xdr:nvSpPr>
              <xdr:cNvPr id="11339" name="Drop Down 75" hidden="1">
                <a:extLst>
                  <a:ext uri="{63B3BB69-23CF-44E3-9099-C40C66FF867C}">
                    <a14:compatExt spid="_x0000_s11339"/>
                  </a:ext>
                  <a:ext uri="{FF2B5EF4-FFF2-40B4-BE49-F238E27FC236}">
                    <a16:creationId xmlns:a16="http://schemas.microsoft.com/office/drawing/2014/main" id="{00000000-0008-0000-0800-00004B2C0000}"/>
                  </a:ext>
                </a:extLst>
              </xdr:cNvPr>
              <xdr:cNvSpPr/>
            </xdr:nvSpPr>
            <xdr:spPr bwMode="auto">
              <a:xfrm>
                <a:off x="3389699" y="6419849"/>
                <a:ext cx="2144326" cy="257175"/>
              </a:xfrm>
              <a:prstGeom prst="rect">
                <a:avLst/>
              </a:prstGeom>
              <a:noFill/>
              <a:ln>
                <a:noFill/>
              </a:ln>
              <a:extLst>
                <a:ext uri="{91240B29-F687-4F45-9708-019B960494DF}">
                  <a14:hiddenLine w="9525">
                    <a:noFill/>
                    <a:miter lim="800000"/>
                    <a:headEnd/>
                    <a:tailEnd/>
                  </a14:hiddenLine>
                </a:ext>
              </a:extLst>
            </xdr:spPr>
          </xdr:sp>
          <xdr:sp macro="" textlink="">
            <xdr:nvSpPr>
              <xdr:cNvPr id="11365" name="TextBox5" hidden="1">
                <a:extLst>
                  <a:ext uri="{63B3BB69-23CF-44E3-9099-C40C66FF867C}">
                    <a14:compatExt spid="_x0000_s11365"/>
                  </a:ext>
                  <a:ext uri="{FF2B5EF4-FFF2-40B4-BE49-F238E27FC236}">
                    <a16:creationId xmlns:a16="http://schemas.microsoft.com/office/drawing/2014/main" id="{00000000-0008-0000-0800-0000652C0000}"/>
                  </a:ext>
                </a:extLst>
              </xdr:cNvPr>
              <xdr:cNvSpPr/>
            </xdr:nvSpPr>
            <xdr:spPr bwMode="auto">
              <a:xfrm>
                <a:off x="2562225" y="5686425"/>
                <a:ext cx="676276" cy="238125"/>
              </a:xfrm>
              <a:prstGeom prst="rect">
                <a:avLst/>
              </a:prstGeom>
              <a:noFill/>
              <a:ln>
                <a:noFill/>
              </a:ln>
              <a:extLst>
                <a:ext uri="{91240B29-F687-4F45-9708-019B960494DF}">
                  <a14:hiddenLine w="9525">
                    <a:noFill/>
                    <a:miter lim="800000"/>
                    <a:headEnd/>
                    <a:tailEnd/>
                  </a14:hiddenLine>
                </a:ext>
              </a:extLst>
            </xdr:spPr>
          </xdr:sp>
          <xdr:sp macro="" textlink="">
            <xdr:nvSpPr>
              <xdr:cNvPr id="11366" name="TextBox6" hidden="1">
                <a:extLst>
                  <a:ext uri="{63B3BB69-23CF-44E3-9099-C40C66FF867C}">
                    <a14:compatExt spid="_x0000_s11366"/>
                  </a:ext>
                  <a:ext uri="{FF2B5EF4-FFF2-40B4-BE49-F238E27FC236}">
                    <a16:creationId xmlns:a16="http://schemas.microsoft.com/office/drawing/2014/main" id="{00000000-0008-0000-0800-0000662C0000}"/>
                  </a:ext>
                </a:extLst>
              </xdr:cNvPr>
              <xdr:cNvSpPr/>
            </xdr:nvSpPr>
            <xdr:spPr bwMode="auto">
              <a:xfrm>
                <a:off x="2552699" y="6038850"/>
                <a:ext cx="676275" cy="238125"/>
              </a:xfrm>
              <a:prstGeom prst="rect">
                <a:avLst/>
              </a:prstGeom>
              <a:noFill/>
              <a:ln>
                <a:noFill/>
              </a:ln>
              <a:extLst>
                <a:ext uri="{91240B29-F687-4F45-9708-019B960494DF}">
                  <a14:hiddenLine w="9525">
                    <a:noFill/>
                    <a:miter lim="800000"/>
                    <a:headEnd/>
                    <a:tailEnd/>
                  </a14:hiddenLine>
                </a:ext>
              </a:extLst>
            </xdr:spPr>
          </xdr:sp>
          <xdr:sp macro="" textlink="">
            <xdr:nvSpPr>
              <xdr:cNvPr id="11367" name="TextBox7" hidden="1">
                <a:extLst>
                  <a:ext uri="{63B3BB69-23CF-44E3-9099-C40C66FF867C}">
                    <a14:compatExt spid="_x0000_s11367"/>
                  </a:ext>
                  <a:ext uri="{FF2B5EF4-FFF2-40B4-BE49-F238E27FC236}">
                    <a16:creationId xmlns:a16="http://schemas.microsoft.com/office/drawing/2014/main" id="{00000000-0008-0000-0800-0000672C0000}"/>
                  </a:ext>
                </a:extLst>
              </xdr:cNvPr>
              <xdr:cNvSpPr/>
            </xdr:nvSpPr>
            <xdr:spPr bwMode="auto">
              <a:xfrm>
                <a:off x="2552699" y="6372225"/>
                <a:ext cx="676275" cy="238125"/>
              </a:xfrm>
              <a:prstGeom prst="rect">
                <a:avLst/>
              </a:prstGeom>
              <a:noFill/>
              <a:ln>
                <a:noFill/>
              </a:ln>
              <a:extLst>
                <a:ext uri="{91240B29-F687-4F45-9708-019B960494DF}">
                  <a14:hiddenLine w="9525">
                    <a:noFill/>
                    <a:miter lim="800000"/>
                    <a:headEnd/>
                    <a:tailEnd/>
                  </a14:hiddenLine>
                </a:ext>
              </a:extLst>
            </xdr:spPr>
          </xdr:sp>
          <xdr:sp macro="" textlink="">
            <xdr:nvSpPr>
              <xdr:cNvPr id="11368" name="TextBox8" hidden="1">
                <a:extLst>
                  <a:ext uri="{63B3BB69-23CF-44E3-9099-C40C66FF867C}">
                    <a14:compatExt spid="_x0000_s11368"/>
                  </a:ext>
                  <a:ext uri="{FF2B5EF4-FFF2-40B4-BE49-F238E27FC236}">
                    <a16:creationId xmlns:a16="http://schemas.microsoft.com/office/drawing/2014/main" id="{00000000-0008-0000-0800-0000682C0000}"/>
                  </a:ext>
                </a:extLst>
              </xdr:cNvPr>
              <xdr:cNvSpPr/>
            </xdr:nvSpPr>
            <xdr:spPr bwMode="auto">
              <a:xfrm>
                <a:off x="5524500" y="5714999"/>
                <a:ext cx="647700" cy="238125"/>
              </a:xfrm>
              <a:prstGeom prst="rect">
                <a:avLst/>
              </a:prstGeom>
              <a:noFill/>
              <a:ln>
                <a:noFill/>
              </a:ln>
              <a:extLst>
                <a:ext uri="{91240B29-F687-4F45-9708-019B960494DF}">
                  <a14:hiddenLine w="9525">
                    <a:noFill/>
                    <a:miter lim="800000"/>
                    <a:headEnd/>
                    <a:tailEnd/>
                  </a14:hiddenLine>
                </a:ext>
              </a:extLst>
            </xdr:spPr>
          </xdr:sp>
          <xdr:sp macro="" textlink="">
            <xdr:nvSpPr>
              <xdr:cNvPr id="11369" name="TextBox9" hidden="1">
                <a:extLst>
                  <a:ext uri="{63B3BB69-23CF-44E3-9099-C40C66FF867C}">
                    <a14:compatExt spid="_x0000_s11369"/>
                  </a:ext>
                  <a:ext uri="{FF2B5EF4-FFF2-40B4-BE49-F238E27FC236}">
                    <a16:creationId xmlns:a16="http://schemas.microsoft.com/office/drawing/2014/main" id="{00000000-0008-0000-0800-0000692C0000}"/>
                  </a:ext>
                </a:extLst>
              </xdr:cNvPr>
              <xdr:cNvSpPr/>
            </xdr:nvSpPr>
            <xdr:spPr bwMode="auto">
              <a:xfrm>
                <a:off x="5553075" y="6057900"/>
                <a:ext cx="647700" cy="238125"/>
              </a:xfrm>
              <a:prstGeom prst="rect">
                <a:avLst/>
              </a:prstGeom>
              <a:noFill/>
              <a:ln>
                <a:noFill/>
              </a:ln>
              <a:extLst>
                <a:ext uri="{91240B29-F687-4F45-9708-019B960494DF}">
                  <a14:hiddenLine w="9525">
                    <a:noFill/>
                    <a:miter lim="800000"/>
                    <a:headEnd/>
                    <a:tailEnd/>
                  </a14:hiddenLine>
                </a:ext>
              </a:extLst>
            </xdr:spPr>
          </xdr:sp>
          <xdr:sp macro="" textlink="">
            <xdr:nvSpPr>
              <xdr:cNvPr id="11370" name="TextBox10" hidden="1">
                <a:extLst>
                  <a:ext uri="{63B3BB69-23CF-44E3-9099-C40C66FF867C}">
                    <a14:compatExt spid="_x0000_s11370"/>
                  </a:ext>
                  <a:ext uri="{FF2B5EF4-FFF2-40B4-BE49-F238E27FC236}">
                    <a16:creationId xmlns:a16="http://schemas.microsoft.com/office/drawing/2014/main" id="{00000000-0008-0000-0800-00006A2C0000}"/>
                  </a:ext>
                </a:extLst>
              </xdr:cNvPr>
              <xdr:cNvSpPr/>
            </xdr:nvSpPr>
            <xdr:spPr bwMode="auto">
              <a:xfrm>
                <a:off x="5562599" y="6429375"/>
                <a:ext cx="647700" cy="238125"/>
              </a:xfrm>
              <a:prstGeom prst="rect">
                <a:avLst/>
              </a:prstGeom>
              <a:noFill/>
              <a:ln>
                <a:noFill/>
              </a:ln>
              <a:extLst>
                <a:ext uri="{91240B29-F687-4F45-9708-019B960494DF}">
                  <a14:hiddenLine w="9525">
                    <a:noFill/>
                    <a:miter lim="800000"/>
                    <a:headEnd/>
                    <a:tailEnd/>
                  </a14:hiddenLine>
                </a:ext>
              </a:extLst>
            </xdr:spPr>
          </xdr:sp>
          <xdr:sp macro="" textlink="">
            <xdr:nvSpPr>
              <xdr:cNvPr id="11372" name="Drop Down 108" hidden="1">
                <a:extLst>
                  <a:ext uri="{63B3BB69-23CF-44E3-9099-C40C66FF867C}">
                    <a14:compatExt spid="_x0000_s11372"/>
                  </a:ext>
                  <a:ext uri="{FF2B5EF4-FFF2-40B4-BE49-F238E27FC236}">
                    <a16:creationId xmlns:a16="http://schemas.microsoft.com/office/drawing/2014/main" id="{00000000-0008-0000-0800-00006C2C0000}"/>
                  </a:ext>
                </a:extLst>
              </xdr:cNvPr>
              <xdr:cNvSpPr/>
            </xdr:nvSpPr>
            <xdr:spPr bwMode="auto">
              <a:xfrm>
                <a:off x="381000" y="6743697"/>
                <a:ext cx="2143125" cy="257175"/>
              </a:xfrm>
              <a:prstGeom prst="rect">
                <a:avLst/>
              </a:prstGeom>
              <a:noFill/>
              <a:ln>
                <a:noFill/>
              </a:ln>
              <a:extLst>
                <a:ext uri="{91240B29-F687-4F45-9708-019B960494DF}">
                  <a14:hiddenLine w="9525">
                    <a:noFill/>
                    <a:miter lim="800000"/>
                    <a:headEnd/>
                    <a:tailEnd/>
                  </a14:hiddenLine>
                </a:ext>
              </a:extLst>
            </xdr:spPr>
          </xdr:sp>
          <xdr:sp macro="" textlink="">
            <xdr:nvSpPr>
              <xdr:cNvPr id="11373" name="TextBox11" hidden="1">
                <a:extLst>
                  <a:ext uri="{63B3BB69-23CF-44E3-9099-C40C66FF867C}">
                    <a14:compatExt spid="_x0000_s11373"/>
                  </a:ext>
                  <a:ext uri="{FF2B5EF4-FFF2-40B4-BE49-F238E27FC236}">
                    <a16:creationId xmlns:a16="http://schemas.microsoft.com/office/drawing/2014/main" id="{00000000-0008-0000-0800-00006D2C0000}"/>
                  </a:ext>
                </a:extLst>
              </xdr:cNvPr>
              <xdr:cNvSpPr/>
            </xdr:nvSpPr>
            <xdr:spPr bwMode="auto">
              <a:xfrm>
                <a:off x="2543175" y="6753225"/>
                <a:ext cx="695325" cy="23812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twoCellAnchor>
    <xdr:from>
      <xdr:col>4</xdr:col>
      <xdr:colOff>113579</xdr:colOff>
      <xdr:row>16</xdr:row>
      <xdr:rowOff>56596</xdr:rowOff>
    </xdr:from>
    <xdr:to>
      <xdr:col>7</xdr:col>
      <xdr:colOff>1312546</xdr:colOff>
      <xdr:row>19</xdr:row>
      <xdr:rowOff>170964</xdr:rowOff>
    </xdr:to>
    <xdr:grpSp>
      <xdr:nvGrpSpPr>
        <xdr:cNvPr id="51" name="Grupo 50">
          <a:extLst>
            <a:ext uri="{FF2B5EF4-FFF2-40B4-BE49-F238E27FC236}">
              <a16:creationId xmlns:a16="http://schemas.microsoft.com/office/drawing/2014/main" id="{00000000-0008-0000-0800-000033000000}"/>
            </a:ext>
          </a:extLst>
        </xdr:cNvPr>
        <xdr:cNvGrpSpPr/>
      </xdr:nvGrpSpPr>
      <xdr:grpSpPr>
        <a:xfrm>
          <a:off x="4525559" y="2982676"/>
          <a:ext cx="3637367" cy="663008"/>
          <a:chOff x="4916084" y="3820876"/>
          <a:chExt cx="3637367" cy="663008"/>
        </a:xfrm>
      </xdr:grpSpPr>
      <xdr:grpSp>
        <xdr:nvGrpSpPr>
          <xdr:cNvPr id="33" name="Grupo 32">
            <a:extLst>
              <a:ext uri="{FF2B5EF4-FFF2-40B4-BE49-F238E27FC236}">
                <a16:creationId xmlns:a16="http://schemas.microsoft.com/office/drawing/2014/main" id="{00000000-0008-0000-0800-000021000000}"/>
              </a:ext>
            </a:extLst>
          </xdr:cNvPr>
          <xdr:cNvGrpSpPr/>
        </xdr:nvGrpSpPr>
        <xdr:grpSpPr>
          <a:xfrm>
            <a:off x="4916084" y="3820876"/>
            <a:ext cx="3608792" cy="272473"/>
            <a:chOff x="1746434" y="5219927"/>
            <a:chExt cx="3811786" cy="266676"/>
          </a:xfrm>
        </xdr:grpSpPr>
        <xdr:sp macro="" textlink="$W$20">
          <xdr:nvSpPr>
            <xdr:cNvPr id="20" name="Rectángulo 19">
              <a:extLst>
                <a:ext uri="{FF2B5EF4-FFF2-40B4-BE49-F238E27FC236}">
                  <a16:creationId xmlns:a16="http://schemas.microsoft.com/office/drawing/2014/main" id="{00000000-0008-0000-0800-000014000000}"/>
                </a:ext>
              </a:extLst>
            </xdr:cNvPr>
            <xdr:cNvSpPr/>
          </xdr:nvSpPr>
          <xdr:spPr>
            <a:xfrm>
              <a:off x="1746434" y="5229225"/>
              <a:ext cx="762000" cy="257175"/>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r"/>
              <a:fld id="{CF86BB8F-548C-4301-B1CC-5FB32EBFA61E}" type="TxLink">
                <a:rPr lang="en-US" sz="1100" b="1" i="0" u="none" strike="noStrike">
                  <a:solidFill>
                    <a:srgbClr val="FFFFFF"/>
                  </a:solidFill>
                  <a:latin typeface="Calibri"/>
                  <a:ea typeface="Calibri"/>
                  <a:cs typeface="Calibri"/>
                </a:rPr>
                <a:pPr algn="r"/>
                <a:t>RINES</a:t>
              </a:fld>
              <a:endParaRPr lang="es-MX" sz="1100"/>
            </a:p>
          </xdr:txBody>
        </xdr:sp>
        <xdr:sp macro="" textlink="">
          <xdr:nvSpPr>
            <xdr:cNvPr id="21" name="Rectángulo 20">
              <a:extLst>
                <a:ext uri="{FF2B5EF4-FFF2-40B4-BE49-F238E27FC236}">
                  <a16:creationId xmlns:a16="http://schemas.microsoft.com/office/drawing/2014/main" id="{00000000-0008-0000-0800-000015000000}"/>
                </a:ext>
              </a:extLst>
            </xdr:cNvPr>
            <xdr:cNvSpPr/>
          </xdr:nvSpPr>
          <xdr:spPr>
            <a:xfrm>
              <a:off x="4181475" y="5229428"/>
              <a:ext cx="809625" cy="257175"/>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bg1"/>
                  </a:solidFill>
                </a:rPr>
                <a:t>CANTIDAD</a:t>
              </a:r>
            </a:p>
          </xdr:txBody>
        </xdr:sp>
        <mc:AlternateContent xmlns:mc="http://schemas.openxmlformats.org/markup-compatibility/2006">
          <mc:Choice xmlns:a14="http://schemas.microsoft.com/office/drawing/2010/main" Requires="a14">
            <xdr:sp macro="" textlink="">
              <xdr:nvSpPr>
                <xdr:cNvPr id="11323" name="Drop Down 59" hidden="1">
                  <a:extLst>
                    <a:ext uri="{63B3BB69-23CF-44E3-9099-C40C66FF867C}">
                      <a14:compatExt spid="_x0000_s11323"/>
                    </a:ext>
                    <a:ext uri="{FF2B5EF4-FFF2-40B4-BE49-F238E27FC236}">
                      <a16:creationId xmlns:a16="http://schemas.microsoft.com/office/drawing/2014/main" id="{00000000-0008-0000-0800-00003B2C0000}"/>
                    </a:ext>
                  </a:extLst>
                </xdr:cNvPr>
                <xdr:cNvSpPr/>
              </xdr:nvSpPr>
              <xdr:spPr bwMode="auto">
                <a:xfrm>
                  <a:off x="5029195" y="5219927"/>
                  <a:ext cx="529025" cy="238119"/>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1316" name="Drop Down 52" hidden="1">
                  <a:extLst>
                    <a:ext uri="{63B3BB69-23CF-44E3-9099-C40C66FF867C}">
                      <a14:compatExt spid="_x0000_s11316"/>
                    </a:ext>
                    <a:ext uri="{FF2B5EF4-FFF2-40B4-BE49-F238E27FC236}">
                      <a16:creationId xmlns:a16="http://schemas.microsoft.com/office/drawing/2014/main" id="{00000000-0008-0000-0800-0000342C0000}"/>
                    </a:ext>
                  </a:extLst>
                </xdr:cNvPr>
                <xdr:cNvSpPr/>
              </xdr:nvSpPr>
              <xdr:spPr bwMode="auto">
                <a:xfrm>
                  <a:off x="2568091" y="5229010"/>
                  <a:ext cx="1509347" cy="257175"/>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nvGrpSpPr>
          <xdr:cNvPr id="3" name="Grupo 2">
            <a:extLst>
              <a:ext uri="{FF2B5EF4-FFF2-40B4-BE49-F238E27FC236}">
                <a16:creationId xmlns:a16="http://schemas.microsoft.com/office/drawing/2014/main" id="{00000000-0008-0000-0800-000003000000}"/>
              </a:ext>
            </a:extLst>
          </xdr:cNvPr>
          <xdr:cNvGrpSpPr/>
        </xdr:nvGrpSpPr>
        <xdr:grpSpPr>
          <a:xfrm>
            <a:off x="4944659" y="4211386"/>
            <a:ext cx="3608792" cy="272498"/>
            <a:chOff x="1746434" y="5219903"/>
            <a:chExt cx="3811786" cy="266700"/>
          </a:xfrm>
        </xdr:grpSpPr>
        <xdr:sp macro="" textlink="$W$20">
          <xdr:nvSpPr>
            <xdr:cNvPr id="4" name="Rectángulo 3">
              <a:extLst>
                <a:ext uri="{FF2B5EF4-FFF2-40B4-BE49-F238E27FC236}">
                  <a16:creationId xmlns:a16="http://schemas.microsoft.com/office/drawing/2014/main" id="{00000000-0008-0000-0800-000004000000}"/>
                </a:ext>
              </a:extLst>
            </xdr:cNvPr>
            <xdr:cNvSpPr/>
          </xdr:nvSpPr>
          <xdr:spPr>
            <a:xfrm>
              <a:off x="1746434" y="5229225"/>
              <a:ext cx="762000" cy="257175"/>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r"/>
              <a:fld id="{CF86BB8F-548C-4301-B1CC-5FB32EBFA61E}" type="TxLink">
                <a:rPr lang="en-US" sz="1100" b="1" i="0" u="none" strike="noStrike">
                  <a:solidFill>
                    <a:srgbClr val="FFFFFF"/>
                  </a:solidFill>
                  <a:latin typeface="Calibri"/>
                  <a:ea typeface="Calibri"/>
                  <a:cs typeface="Calibri"/>
                </a:rPr>
                <a:pPr algn="r"/>
                <a:t>RINES</a:t>
              </a:fld>
              <a:endParaRPr lang="es-MX" sz="1100"/>
            </a:p>
          </xdr:txBody>
        </xdr:sp>
        <xdr:sp macro="" textlink="">
          <xdr:nvSpPr>
            <xdr:cNvPr id="36" name="Rectángulo 35">
              <a:extLst>
                <a:ext uri="{FF2B5EF4-FFF2-40B4-BE49-F238E27FC236}">
                  <a16:creationId xmlns:a16="http://schemas.microsoft.com/office/drawing/2014/main" id="{00000000-0008-0000-0800-000024000000}"/>
                </a:ext>
              </a:extLst>
            </xdr:cNvPr>
            <xdr:cNvSpPr/>
          </xdr:nvSpPr>
          <xdr:spPr>
            <a:xfrm>
              <a:off x="4181475" y="5229428"/>
              <a:ext cx="809625" cy="257175"/>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solidFill>
                    <a:schemeClr val="bg1"/>
                  </a:solidFill>
                </a:rPr>
                <a:t>CANTIDAD</a:t>
              </a:r>
            </a:p>
          </xdr:txBody>
        </xdr:sp>
        <mc:AlternateContent xmlns:mc="http://schemas.openxmlformats.org/markup-compatibility/2006">
          <mc:Choice xmlns:a14="http://schemas.microsoft.com/office/drawing/2010/main" Requires="a14">
            <xdr:sp macro="" textlink="">
              <xdr:nvSpPr>
                <xdr:cNvPr id="11374" name="Drop Down 110" hidden="1">
                  <a:extLst>
                    <a:ext uri="{63B3BB69-23CF-44E3-9099-C40C66FF867C}">
                      <a14:compatExt spid="_x0000_s11374"/>
                    </a:ext>
                    <a:ext uri="{FF2B5EF4-FFF2-40B4-BE49-F238E27FC236}">
                      <a16:creationId xmlns:a16="http://schemas.microsoft.com/office/drawing/2014/main" id="{00000000-0008-0000-0800-00006E2C0000}"/>
                    </a:ext>
                  </a:extLst>
                </xdr:cNvPr>
                <xdr:cNvSpPr/>
              </xdr:nvSpPr>
              <xdr:spPr bwMode="auto">
                <a:xfrm>
                  <a:off x="5029195" y="5219903"/>
                  <a:ext cx="529025" cy="238126"/>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1375" name="Drop Down 111" hidden="1">
                  <a:extLst>
                    <a:ext uri="{63B3BB69-23CF-44E3-9099-C40C66FF867C}">
                      <a14:compatExt spid="_x0000_s11375"/>
                    </a:ext>
                    <a:ext uri="{FF2B5EF4-FFF2-40B4-BE49-F238E27FC236}">
                      <a16:creationId xmlns:a16="http://schemas.microsoft.com/office/drawing/2014/main" id="{00000000-0008-0000-0800-00006F2C0000}"/>
                    </a:ext>
                  </a:extLst>
                </xdr:cNvPr>
                <xdr:cNvSpPr/>
              </xdr:nvSpPr>
              <xdr:spPr bwMode="auto">
                <a:xfrm>
                  <a:off x="2568092" y="5229010"/>
                  <a:ext cx="1509347" cy="257175"/>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fLocksWithSheet="0"/>
  </xdr:twoCellAnchor>
  <xdr:twoCellAnchor>
    <xdr:from>
      <xdr:col>4</xdr:col>
      <xdr:colOff>94393</xdr:colOff>
      <xdr:row>20</xdr:row>
      <xdr:rowOff>76312</xdr:rowOff>
    </xdr:from>
    <xdr:to>
      <xdr:col>8</xdr:col>
      <xdr:colOff>72388</xdr:colOff>
      <xdr:row>24</xdr:row>
      <xdr:rowOff>45925</xdr:rowOff>
    </xdr:to>
    <xdr:grpSp>
      <xdr:nvGrpSpPr>
        <xdr:cNvPr id="52" name="Grupo 51">
          <a:extLst>
            <a:ext uri="{FF2B5EF4-FFF2-40B4-BE49-F238E27FC236}">
              <a16:creationId xmlns:a16="http://schemas.microsoft.com/office/drawing/2014/main" id="{00000000-0008-0000-0800-000034000000}"/>
            </a:ext>
          </a:extLst>
        </xdr:cNvPr>
        <xdr:cNvGrpSpPr/>
      </xdr:nvGrpSpPr>
      <xdr:grpSpPr>
        <a:xfrm>
          <a:off x="4506373" y="3733912"/>
          <a:ext cx="3742275" cy="701133"/>
          <a:chOff x="4849273" y="4600687"/>
          <a:chExt cx="3742275" cy="701133"/>
        </a:xfrm>
      </xdr:grpSpPr>
      <xdr:grpSp>
        <xdr:nvGrpSpPr>
          <xdr:cNvPr id="34" name="Grupo 33">
            <a:extLst>
              <a:ext uri="{FF2B5EF4-FFF2-40B4-BE49-F238E27FC236}">
                <a16:creationId xmlns:a16="http://schemas.microsoft.com/office/drawing/2014/main" id="{00000000-0008-0000-0800-000022000000}"/>
              </a:ext>
            </a:extLst>
          </xdr:cNvPr>
          <xdr:cNvGrpSpPr/>
        </xdr:nvGrpSpPr>
        <xdr:grpSpPr>
          <a:xfrm>
            <a:off x="4849273" y="4600687"/>
            <a:ext cx="3732750" cy="291558"/>
            <a:chOff x="1727450" y="5629275"/>
            <a:chExt cx="3863315" cy="285343"/>
          </a:xfrm>
        </xdr:grpSpPr>
        <xdr:sp macro="" textlink="$W$22">
          <xdr:nvSpPr>
            <xdr:cNvPr id="22" name="Rectángulo 21">
              <a:extLst>
                <a:ext uri="{FF2B5EF4-FFF2-40B4-BE49-F238E27FC236}">
                  <a16:creationId xmlns:a16="http://schemas.microsoft.com/office/drawing/2014/main" id="{00000000-0008-0000-0800-000016000000}"/>
                </a:ext>
              </a:extLst>
            </xdr:cNvPr>
            <xdr:cNvSpPr/>
          </xdr:nvSpPr>
          <xdr:spPr>
            <a:xfrm>
              <a:off x="1727450" y="5657443"/>
              <a:ext cx="828675" cy="257175"/>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r"/>
              <a:fld id="{768572C3-C1B2-4676-BE48-1E46203F033F}" type="TxLink">
                <a:rPr lang="en-US" sz="1100" b="1" i="0" u="none" strike="noStrike">
                  <a:solidFill>
                    <a:srgbClr val="FFFFFF"/>
                  </a:solidFill>
                  <a:latin typeface="Calibri"/>
                  <a:ea typeface="Calibri"/>
                  <a:cs typeface="Calibri"/>
                </a:rPr>
                <a:pPr algn="r"/>
                <a:t>LLANTAS</a:t>
              </a:fld>
              <a:endParaRPr lang="es-MX" sz="1100"/>
            </a:p>
          </xdr:txBody>
        </xdr:sp>
        <xdr:sp macro="" textlink="">
          <xdr:nvSpPr>
            <xdr:cNvPr id="23" name="Rectángulo 22">
              <a:extLst>
                <a:ext uri="{FF2B5EF4-FFF2-40B4-BE49-F238E27FC236}">
                  <a16:creationId xmlns:a16="http://schemas.microsoft.com/office/drawing/2014/main" id="{00000000-0008-0000-0800-000017000000}"/>
                </a:ext>
              </a:extLst>
            </xdr:cNvPr>
            <xdr:cNvSpPr/>
          </xdr:nvSpPr>
          <xdr:spPr>
            <a:xfrm>
              <a:off x="4228697" y="5629275"/>
              <a:ext cx="809625" cy="257175"/>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100">
                  <a:solidFill>
                    <a:schemeClr val="bg1"/>
                  </a:solidFill>
                </a:rPr>
                <a:t>CANTIDAD</a:t>
              </a:r>
            </a:p>
          </xdr:txBody>
        </xdr:sp>
        <mc:AlternateContent xmlns:mc="http://schemas.openxmlformats.org/markup-compatibility/2006">
          <mc:Choice xmlns:a14="http://schemas.microsoft.com/office/drawing/2010/main" Requires="a14">
            <xdr:sp macro="" textlink="">
              <xdr:nvSpPr>
                <xdr:cNvPr id="11319" name="Drop Down 55" hidden="1">
                  <a:extLst>
                    <a:ext uri="{63B3BB69-23CF-44E3-9099-C40C66FF867C}">
                      <a14:compatExt spid="_x0000_s11319"/>
                    </a:ext>
                    <a:ext uri="{FF2B5EF4-FFF2-40B4-BE49-F238E27FC236}">
                      <a16:creationId xmlns:a16="http://schemas.microsoft.com/office/drawing/2014/main" id="{00000000-0008-0000-0800-0000372C0000}"/>
                    </a:ext>
                  </a:extLst>
                </xdr:cNvPr>
                <xdr:cNvSpPr/>
              </xdr:nvSpPr>
              <xdr:spPr bwMode="auto">
                <a:xfrm>
                  <a:off x="5085940" y="5629275"/>
                  <a:ext cx="504825" cy="23812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1318" name="Drop Down 54" hidden="1">
                  <a:extLst>
                    <a:ext uri="{63B3BB69-23CF-44E3-9099-C40C66FF867C}">
                      <a14:compatExt spid="_x0000_s11318"/>
                    </a:ext>
                    <a:ext uri="{FF2B5EF4-FFF2-40B4-BE49-F238E27FC236}">
                      <a16:creationId xmlns:a16="http://schemas.microsoft.com/office/drawing/2014/main" id="{00000000-0008-0000-0800-0000362C0000}"/>
                    </a:ext>
                  </a:extLst>
                </xdr:cNvPr>
                <xdr:cNvSpPr/>
              </xdr:nvSpPr>
              <xdr:spPr bwMode="auto">
                <a:xfrm>
                  <a:off x="2624903" y="5648121"/>
                  <a:ext cx="1503799" cy="257175"/>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nvGrpSpPr>
          <xdr:cNvPr id="41" name="Grupo 40">
            <a:extLst>
              <a:ext uri="{FF2B5EF4-FFF2-40B4-BE49-F238E27FC236}">
                <a16:creationId xmlns:a16="http://schemas.microsoft.com/office/drawing/2014/main" id="{00000000-0008-0000-0800-000029000000}"/>
              </a:ext>
            </a:extLst>
          </xdr:cNvPr>
          <xdr:cNvGrpSpPr/>
        </xdr:nvGrpSpPr>
        <xdr:grpSpPr>
          <a:xfrm>
            <a:off x="4858798" y="5010262"/>
            <a:ext cx="3732750" cy="291558"/>
            <a:chOff x="1727450" y="5629275"/>
            <a:chExt cx="3863315" cy="285343"/>
          </a:xfrm>
        </xdr:grpSpPr>
        <xdr:sp macro="" textlink="$W$22">
          <xdr:nvSpPr>
            <xdr:cNvPr id="42" name="Rectángulo 41">
              <a:extLst>
                <a:ext uri="{FF2B5EF4-FFF2-40B4-BE49-F238E27FC236}">
                  <a16:creationId xmlns:a16="http://schemas.microsoft.com/office/drawing/2014/main" id="{00000000-0008-0000-0800-00002A000000}"/>
                </a:ext>
              </a:extLst>
            </xdr:cNvPr>
            <xdr:cNvSpPr/>
          </xdr:nvSpPr>
          <xdr:spPr>
            <a:xfrm>
              <a:off x="1727450" y="5657443"/>
              <a:ext cx="828675" cy="257175"/>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r"/>
              <a:fld id="{768572C3-C1B2-4676-BE48-1E46203F033F}" type="TxLink">
                <a:rPr lang="en-US" sz="1100" b="1" i="0" u="none" strike="noStrike">
                  <a:solidFill>
                    <a:srgbClr val="FFFFFF"/>
                  </a:solidFill>
                  <a:latin typeface="Calibri"/>
                  <a:ea typeface="Calibri"/>
                  <a:cs typeface="Calibri"/>
                </a:rPr>
                <a:pPr algn="r"/>
                <a:t>LLANTAS</a:t>
              </a:fld>
              <a:endParaRPr lang="es-MX" sz="1100"/>
            </a:p>
          </xdr:txBody>
        </xdr:sp>
        <xdr:sp macro="" textlink="">
          <xdr:nvSpPr>
            <xdr:cNvPr id="43" name="Rectángulo 42">
              <a:extLst>
                <a:ext uri="{FF2B5EF4-FFF2-40B4-BE49-F238E27FC236}">
                  <a16:creationId xmlns:a16="http://schemas.microsoft.com/office/drawing/2014/main" id="{00000000-0008-0000-0800-00002B000000}"/>
                </a:ext>
              </a:extLst>
            </xdr:cNvPr>
            <xdr:cNvSpPr/>
          </xdr:nvSpPr>
          <xdr:spPr>
            <a:xfrm>
              <a:off x="4228697" y="5629275"/>
              <a:ext cx="809625" cy="257175"/>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100">
                  <a:solidFill>
                    <a:schemeClr val="bg1"/>
                  </a:solidFill>
                </a:rPr>
                <a:t>CANTIDAD</a:t>
              </a:r>
            </a:p>
          </xdr:txBody>
        </xdr:sp>
        <mc:AlternateContent xmlns:mc="http://schemas.openxmlformats.org/markup-compatibility/2006">
          <mc:Choice xmlns:a14="http://schemas.microsoft.com/office/drawing/2010/main" Requires="a14">
            <xdr:sp macro="" textlink="">
              <xdr:nvSpPr>
                <xdr:cNvPr id="11376" name="Drop Down 112" hidden="1">
                  <a:extLst>
                    <a:ext uri="{63B3BB69-23CF-44E3-9099-C40C66FF867C}">
                      <a14:compatExt spid="_x0000_s11376"/>
                    </a:ext>
                    <a:ext uri="{FF2B5EF4-FFF2-40B4-BE49-F238E27FC236}">
                      <a16:creationId xmlns:a16="http://schemas.microsoft.com/office/drawing/2014/main" id="{00000000-0008-0000-0800-0000702C0000}"/>
                    </a:ext>
                  </a:extLst>
                </xdr:cNvPr>
                <xdr:cNvSpPr/>
              </xdr:nvSpPr>
              <xdr:spPr bwMode="auto">
                <a:xfrm>
                  <a:off x="5085940" y="5629275"/>
                  <a:ext cx="504825" cy="23812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1377" name="Drop Down 113" hidden="1">
                  <a:extLst>
                    <a:ext uri="{63B3BB69-23CF-44E3-9099-C40C66FF867C}">
                      <a14:compatExt spid="_x0000_s11377"/>
                    </a:ext>
                    <a:ext uri="{FF2B5EF4-FFF2-40B4-BE49-F238E27FC236}">
                      <a16:creationId xmlns:a16="http://schemas.microsoft.com/office/drawing/2014/main" id="{00000000-0008-0000-0800-0000712C0000}"/>
                    </a:ext>
                  </a:extLst>
                </xdr:cNvPr>
                <xdr:cNvSpPr/>
              </xdr:nvSpPr>
              <xdr:spPr bwMode="auto">
                <a:xfrm>
                  <a:off x="2624903" y="5648121"/>
                  <a:ext cx="1503799" cy="257175"/>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fLocksWithSheet="0"/>
  </xdr:twoCellAnchor>
  <xdr:twoCellAnchor>
    <xdr:from>
      <xdr:col>4</xdr:col>
      <xdr:colOff>86285</xdr:colOff>
      <xdr:row>8</xdr:row>
      <xdr:rowOff>95767</xdr:rowOff>
    </xdr:from>
    <xdr:to>
      <xdr:col>7</xdr:col>
      <xdr:colOff>445771</xdr:colOff>
      <xdr:row>11</xdr:row>
      <xdr:rowOff>172062</xdr:rowOff>
    </xdr:to>
    <xdr:grpSp>
      <xdr:nvGrpSpPr>
        <xdr:cNvPr id="49" name="Grupo 48">
          <a:extLst>
            <a:ext uri="{FF2B5EF4-FFF2-40B4-BE49-F238E27FC236}">
              <a16:creationId xmlns:a16="http://schemas.microsoft.com/office/drawing/2014/main" id="{00000000-0008-0000-0800-000031000000}"/>
            </a:ext>
          </a:extLst>
        </xdr:cNvPr>
        <xdr:cNvGrpSpPr/>
      </xdr:nvGrpSpPr>
      <xdr:grpSpPr>
        <a:xfrm>
          <a:off x="4498265" y="1558807"/>
          <a:ext cx="2797886" cy="624935"/>
          <a:chOff x="4517315" y="1749307"/>
          <a:chExt cx="2476341" cy="624935"/>
        </a:xfrm>
      </xdr:grpSpPr>
      <xdr:grpSp>
        <xdr:nvGrpSpPr>
          <xdr:cNvPr id="28" name="Grupo 27">
            <a:extLst>
              <a:ext uri="{FF2B5EF4-FFF2-40B4-BE49-F238E27FC236}">
                <a16:creationId xmlns:a16="http://schemas.microsoft.com/office/drawing/2014/main" id="{00000000-0008-0000-0800-00001C000000}"/>
              </a:ext>
            </a:extLst>
          </xdr:cNvPr>
          <xdr:cNvGrpSpPr/>
        </xdr:nvGrpSpPr>
        <xdr:grpSpPr>
          <a:xfrm>
            <a:off x="4517315" y="1749307"/>
            <a:ext cx="2476341" cy="272510"/>
            <a:chOff x="2285731" y="4162831"/>
            <a:chExt cx="2458882" cy="266700"/>
          </a:xfrm>
        </xdr:grpSpPr>
        <xdr:sp macro="" textlink="$W$15">
          <xdr:nvSpPr>
            <xdr:cNvPr id="14" name="Rectángulo 13">
              <a:extLst>
                <a:ext uri="{FF2B5EF4-FFF2-40B4-BE49-F238E27FC236}">
                  <a16:creationId xmlns:a16="http://schemas.microsoft.com/office/drawing/2014/main" id="{00000000-0008-0000-0800-00000E000000}"/>
                </a:ext>
              </a:extLst>
            </xdr:cNvPr>
            <xdr:cNvSpPr/>
          </xdr:nvSpPr>
          <xdr:spPr>
            <a:xfrm>
              <a:off x="2285731" y="4162831"/>
              <a:ext cx="752475" cy="266700"/>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r"/>
              <a:fld id="{CE092AF3-8C8F-4C4C-B8A8-FF2E4BB0FB4F}" type="TxLink">
                <a:rPr lang="en-US" sz="1100" b="1" i="0" u="none" strike="noStrike">
                  <a:solidFill>
                    <a:srgbClr val="FFFFFF"/>
                  </a:solidFill>
                  <a:latin typeface="Calibri"/>
                  <a:ea typeface="Calibri"/>
                  <a:cs typeface="Calibri"/>
                </a:rPr>
                <a:pPr algn="r"/>
                <a:t>FRENTE</a:t>
              </a:fld>
              <a:endParaRPr lang="es-MX" sz="1100"/>
            </a:p>
          </xdr:txBody>
        </xdr:sp>
        <mc:AlternateContent xmlns:mc="http://schemas.openxmlformats.org/markup-compatibility/2006">
          <mc:Choice xmlns:a14="http://schemas.microsoft.com/office/drawing/2010/main" Requires="a14">
            <xdr:sp macro="" textlink="">
              <xdr:nvSpPr>
                <xdr:cNvPr id="11310" name="Drop Down 46" hidden="1">
                  <a:extLst>
                    <a:ext uri="{63B3BB69-23CF-44E3-9099-C40C66FF867C}">
                      <a14:compatExt spid="_x0000_s11310"/>
                    </a:ext>
                    <a:ext uri="{FF2B5EF4-FFF2-40B4-BE49-F238E27FC236}">
                      <a16:creationId xmlns:a16="http://schemas.microsoft.com/office/drawing/2014/main" id="{00000000-0008-0000-0800-00002E2C0000}"/>
                    </a:ext>
                  </a:extLst>
                </xdr:cNvPr>
                <xdr:cNvSpPr/>
              </xdr:nvSpPr>
              <xdr:spPr bwMode="auto">
                <a:xfrm>
                  <a:off x="3038479" y="4171949"/>
                  <a:ext cx="1706134" cy="257175"/>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nvGrpSpPr>
          <xdr:cNvPr id="44" name="Grupo 43">
            <a:extLst>
              <a:ext uri="{FF2B5EF4-FFF2-40B4-BE49-F238E27FC236}">
                <a16:creationId xmlns:a16="http://schemas.microsoft.com/office/drawing/2014/main" id="{00000000-0008-0000-0800-00002C000000}"/>
              </a:ext>
            </a:extLst>
          </xdr:cNvPr>
          <xdr:cNvGrpSpPr/>
        </xdr:nvGrpSpPr>
        <xdr:grpSpPr>
          <a:xfrm>
            <a:off x="4517315" y="2101732"/>
            <a:ext cx="2476341" cy="272510"/>
            <a:chOff x="2285731" y="4162831"/>
            <a:chExt cx="2458882" cy="266700"/>
          </a:xfrm>
        </xdr:grpSpPr>
        <xdr:sp macro="" textlink="$W$15">
          <xdr:nvSpPr>
            <xdr:cNvPr id="46" name="Rectángulo 45">
              <a:extLst>
                <a:ext uri="{FF2B5EF4-FFF2-40B4-BE49-F238E27FC236}">
                  <a16:creationId xmlns:a16="http://schemas.microsoft.com/office/drawing/2014/main" id="{00000000-0008-0000-0800-00002E000000}"/>
                </a:ext>
              </a:extLst>
            </xdr:cNvPr>
            <xdr:cNvSpPr/>
          </xdr:nvSpPr>
          <xdr:spPr>
            <a:xfrm>
              <a:off x="2285731" y="4162831"/>
              <a:ext cx="752475" cy="266700"/>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r"/>
              <a:fld id="{CE092AF3-8C8F-4C4C-B8A8-FF2E4BB0FB4F}" type="TxLink">
                <a:rPr lang="en-US" sz="1100" b="1" i="0" u="none" strike="noStrike">
                  <a:solidFill>
                    <a:srgbClr val="FFFFFF"/>
                  </a:solidFill>
                  <a:latin typeface="Calibri"/>
                  <a:ea typeface="Calibri"/>
                  <a:cs typeface="Calibri"/>
                </a:rPr>
                <a:pPr algn="r"/>
                <a:t>FRENTE</a:t>
              </a:fld>
              <a:endParaRPr lang="es-MX" sz="1100"/>
            </a:p>
          </xdr:txBody>
        </xdr:sp>
        <mc:AlternateContent xmlns:mc="http://schemas.openxmlformats.org/markup-compatibility/2006">
          <mc:Choice xmlns:a14="http://schemas.microsoft.com/office/drawing/2010/main" Requires="a14">
            <xdr:sp macro="" textlink="">
              <xdr:nvSpPr>
                <xdr:cNvPr id="11378" name="Drop Down 114" hidden="1">
                  <a:extLst>
                    <a:ext uri="{63B3BB69-23CF-44E3-9099-C40C66FF867C}">
                      <a14:compatExt spid="_x0000_s11378"/>
                    </a:ext>
                    <a:ext uri="{FF2B5EF4-FFF2-40B4-BE49-F238E27FC236}">
                      <a16:creationId xmlns:a16="http://schemas.microsoft.com/office/drawing/2014/main" id="{00000000-0008-0000-0800-0000722C0000}"/>
                    </a:ext>
                  </a:extLst>
                </xdr:cNvPr>
                <xdr:cNvSpPr/>
              </xdr:nvSpPr>
              <xdr:spPr bwMode="auto">
                <a:xfrm>
                  <a:off x="3038479" y="4171949"/>
                  <a:ext cx="1706134" cy="257175"/>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fLocksWithSheet="0"/>
  </xdr:twoCellAnchor>
  <xdr:twoCellAnchor>
    <xdr:from>
      <xdr:col>7</xdr:col>
      <xdr:colOff>180975</xdr:colOff>
      <xdr:row>24</xdr:row>
      <xdr:rowOff>28687</xdr:rowOff>
    </xdr:from>
    <xdr:to>
      <xdr:col>12</xdr:col>
      <xdr:colOff>238125</xdr:colOff>
      <xdr:row>27</xdr:row>
      <xdr:rowOff>0</xdr:rowOff>
    </xdr:to>
    <xdr:grpSp>
      <xdr:nvGrpSpPr>
        <xdr:cNvPr id="35" name="Grupo 34">
          <a:extLst>
            <a:ext uri="{FF2B5EF4-FFF2-40B4-BE49-F238E27FC236}">
              <a16:creationId xmlns:a16="http://schemas.microsoft.com/office/drawing/2014/main" id="{00000000-0008-0000-0800-000023000000}"/>
            </a:ext>
          </a:extLst>
        </xdr:cNvPr>
        <xdr:cNvGrpSpPr/>
      </xdr:nvGrpSpPr>
      <xdr:grpSpPr>
        <a:xfrm>
          <a:off x="7031355" y="4417807"/>
          <a:ext cx="2205990" cy="519953"/>
          <a:chOff x="6800834" y="4600687"/>
          <a:chExt cx="2143126" cy="542816"/>
        </a:xfrm>
      </xdr:grpSpPr>
      <mc:AlternateContent xmlns:mc="http://schemas.openxmlformats.org/markup-compatibility/2006">
        <mc:Choice xmlns:a14="http://schemas.microsoft.com/office/drawing/2010/main" Requires="a14">
          <xdr:sp macro="" textlink="">
            <xdr:nvSpPr>
              <xdr:cNvPr id="11379" name="Drop Down 115" hidden="1">
                <a:extLst>
                  <a:ext uri="{63B3BB69-23CF-44E3-9099-C40C66FF867C}">
                    <a14:compatExt spid="_x0000_s11379"/>
                  </a:ext>
                  <a:ext uri="{FF2B5EF4-FFF2-40B4-BE49-F238E27FC236}">
                    <a16:creationId xmlns:a16="http://schemas.microsoft.com/office/drawing/2014/main" id="{00000000-0008-0000-0800-0000732C0000}"/>
                  </a:ext>
                </a:extLst>
              </xdr:cNvPr>
              <xdr:cNvSpPr/>
            </xdr:nvSpPr>
            <xdr:spPr bwMode="auto">
              <a:xfrm>
                <a:off x="6800834" y="4886328"/>
                <a:ext cx="2143126" cy="257175"/>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15" name="Rectángulo 14">
            <a:extLst>
              <a:ext uri="{FF2B5EF4-FFF2-40B4-BE49-F238E27FC236}">
                <a16:creationId xmlns:a16="http://schemas.microsoft.com/office/drawing/2014/main" id="{00000000-0008-0000-0800-00000F000000}"/>
              </a:ext>
            </a:extLst>
          </xdr:cNvPr>
          <xdr:cNvSpPr/>
        </xdr:nvSpPr>
        <xdr:spPr>
          <a:xfrm>
            <a:off x="7478173" y="4600687"/>
            <a:ext cx="800669" cy="262776"/>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i="0" u="none" strike="noStrike">
                <a:solidFill>
                  <a:srgbClr val="FFFFFF"/>
                </a:solidFill>
                <a:latin typeface="Calibri"/>
                <a:ea typeface="Calibri"/>
                <a:cs typeface="Calibri"/>
              </a:rPr>
              <a:t>COLOR:</a:t>
            </a:r>
          </a:p>
        </xdr:txBody>
      </xdr:sp>
    </xdr:grpSp>
    <xdr:clientData/>
  </xdr:twoCellAnchor>
  <xdr:twoCellAnchor editAs="absolute">
    <xdr:from>
      <xdr:col>0</xdr:col>
      <xdr:colOff>342900</xdr:colOff>
      <xdr:row>15</xdr:row>
      <xdr:rowOff>41962</xdr:rowOff>
    </xdr:from>
    <xdr:to>
      <xdr:col>3</xdr:col>
      <xdr:colOff>110264</xdr:colOff>
      <xdr:row>16</xdr:row>
      <xdr:rowOff>125352</xdr:rowOff>
    </xdr:to>
    <xdr:grpSp>
      <xdr:nvGrpSpPr>
        <xdr:cNvPr id="48" name="Grupo 47">
          <a:extLst>
            <a:ext uri="{FF2B5EF4-FFF2-40B4-BE49-F238E27FC236}">
              <a16:creationId xmlns:a16="http://schemas.microsoft.com/office/drawing/2014/main" id="{00000000-0008-0000-0800-000030000000}"/>
            </a:ext>
          </a:extLst>
        </xdr:cNvPr>
        <xdr:cNvGrpSpPr/>
      </xdr:nvGrpSpPr>
      <xdr:grpSpPr>
        <a:xfrm>
          <a:off x="342900" y="2785162"/>
          <a:ext cx="3386864" cy="266270"/>
          <a:chOff x="3184495" y="2739767"/>
          <a:chExt cx="3310247" cy="260608"/>
        </a:xfrm>
      </xdr:grpSpPr>
      <xdr:grpSp>
        <xdr:nvGrpSpPr>
          <xdr:cNvPr id="53" name="Grupo 52">
            <a:extLst>
              <a:ext uri="{FF2B5EF4-FFF2-40B4-BE49-F238E27FC236}">
                <a16:creationId xmlns:a16="http://schemas.microsoft.com/office/drawing/2014/main" id="{00000000-0008-0000-0800-000035000000}"/>
              </a:ext>
            </a:extLst>
          </xdr:cNvPr>
          <xdr:cNvGrpSpPr/>
        </xdr:nvGrpSpPr>
        <xdr:grpSpPr>
          <a:xfrm>
            <a:off x="3184495" y="2739767"/>
            <a:ext cx="2748224" cy="260608"/>
            <a:chOff x="3184495" y="2673092"/>
            <a:chExt cx="2748224" cy="260608"/>
          </a:xfrm>
        </xdr:grpSpPr>
        <mc:AlternateContent xmlns:mc="http://schemas.openxmlformats.org/markup-compatibility/2006">
          <mc:Choice xmlns:a14="http://schemas.microsoft.com/office/drawing/2010/main" Requires="a14">
            <xdr:sp macro="" textlink="">
              <xdr:nvSpPr>
                <xdr:cNvPr id="11380" name="Drop Down 116" hidden="1">
                  <a:extLst>
                    <a:ext uri="{63B3BB69-23CF-44E3-9099-C40C66FF867C}">
                      <a14:compatExt spid="_x0000_s11380"/>
                    </a:ext>
                    <a:ext uri="{FF2B5EF4-FFF2-40B4-BE49-F238E27FC236}">
                      <a16:creationId xmlns:a16="http://schemas.microsoft.com/office/drawing/2014/main" id="{00000000-0008-0000-0800-0000742C0000}"/>
                    </a:ext>
                  </a:extLst>
                </xdr:cNvPr>
                <xdr:cNvSpPr/>
              </xdr:nvSpPr>
              <xdr:spPr bwMode="auto">
                <a:xfrm>
                  <a:off x="3946572" y="2682601"/>
                  <a:ext cx="1129490" cy="238125"/>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54" name="Rectángulo 53">
              <a:extLst>
                <a:ext uri="{FF2B5EF4-FFF2-40B4-BE49-F238E27FC236}">
                  <a16:creationId xmlns:a16="http://schemas.microsoft.com/office/drawing/2014/main" id="{00000000-0008-0000-0800-000036000000}"/>
                </a:ext>
              </a:extLst>
            </xdr:cNvPr>
            <xdr:cNvSpPr/>
          </xdr:nvSpPr>
          <xdr:spPr>
            <a:xfrm>
              <a:off x="3184495" y="2673092"/>
              <a:ext cx="752475" cy="257230"/>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r"/>
              <a:r>
                <a:rPr lang="en-US" sz="1100"/>
                <a:t>PATINES </a:t>
              </a:r>
            </a:p>
          </xdr:txBody>
        </xdr:sp>
        <xdr:sp macro="" textlink="">
          <xdr:nvSpPr>
            <xdr:cNvPr id="55" name="Rectángulo 54">
              <a:extLst>
                <a:ext uri="{FF2B5EF4-FFF2-40B4-BE49-F238E27FC236}">
                  <a16:creationId xmlns:a16="http://schemas.microsoft.com/office/drawing/2014/main" id="{00000000-0008-0000-0800-000037000000}"/>
                </a:ext>
              </a:extLst>
            </xdr:cNvPr>
            <xdr:cNvSpPr/>
          </xdr:nvSpPr>
          <xdr:spPr>
            <a:xfrm>
              <a:off x="5099154" y="2676525"/>
              <a:ext cx="833565" cy="257175"/>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100">
                  <a:solidFill>
                    <a:schemeClr val="bg1"/>
                  </a:solidFill>
                </a:rPr>
                <a:t> CANTIDAD</a:t>
              </a:r>
            </a:p>
          </xdr:txBody>
        </xdr:sp>
      </xdr:grpSp>
      <mc:AlternateContent xmlns:mc="http://schemas.openxmlformats.org/markup-compatibility/2006">
        <mc:Choice xmlns:a14="http://schemas.microsoft.com/office/drawing/2010/main" Requires="a14">
          <xdr:sp macro="" textlink="">
            <xdr:nvSpPr>
              <xdr:cNvPr id="11381" name="Drop Down 117" hidden="1">
                <a:extLst>
                  <a:ext uri="{63B3BB69-23CF-44E3-9099-C40C66FF867C}">
                    <a14:compatExt spid="_x0000_s11381"/>
                  </a:ext>
                  <a:ext uri="{FF2B5EF4-FFF2-40B4-BE49-F238E27FC236}">
                    <a16:creationId xmlns:a16="http://schemas.microsoft.com/office/drawing/2014/main" id="{00000000-0008-0000-0800-0000752C0000}"/>
                  </a:ext>
                </a:extLst>
              </xdr:cNvPr>
              <xdr:cNvSpPr/>
            </xdr:nvSpPr>
            <xdr:spPr bwMode="auto">
              <a:xfrm>
                <a:off x="5912734" y="2749710"/>
                <a:ext cx="582008" cy="228602"/>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654350</xdr:colOff>
      <xdr:row>4</xdr:row>
      <xdr:rowOff>69008</xdr:rowOff>
    </xdr:to>
    <xdr:grpSp>
      <xdr:nvGrpSpPr>
        <xdr:cNvPr id="2" name="Grupo 1">
          <a:extLst>
            <a:ext uri="{FF2B5EF4-FFF2-40B4-BE49-F238E27FC236}">
              <a16:creationId xmlns:a16="http://schemas.microsoft.com/office/drawing/2014/main" id="{00000000-0008-0000-0900-000002000000}"/>
            </a:ext>
          </a:extLst>
        </xdr:cNvPr>
        <xdr:cNvGrpSpPr>
          <a:grpSpLocks noChangeAspect="1"/>
        </xdr:cNvGrpSpPr>
      </xdr:nvGrpSpPr>
      <xdr:grpSpPr>
        <a:xfrm>
          <a:off x="0" y="0"/>
          <a:ext cx="6910370" cy="800528"/>
          <a:chOff x="254735" y="9977561"/>
          <a:chExt cx="7229382" cy="896983"/>
        </a:xfrm>
      </xdr:grpSpPr>
      <xdr:pic>
        <xdr:nvPicPr>
          <xdr:cNvPr id="3" name="image1.png">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clrChange>
              <a:clrFrom>
                <a:srgbClr val="7F7F7F">
                  <a:alpha val="49804"/>
                </a:srgbClr>
              </a:clrFrom>
              <a:clrTo>
                <a:srgbClr val="7F7F7F">
                  <a:alpha val="0"/>
                </a:srgbClr>
              </a:clrTo>
            </a:clrChange>
            <a:biLevel thresh="50000"/>
            <a:extLst>
              <a:ext uri="{BEBA8EAE-BF5A-486C-A8C5-ECC9F3942E4B}">
                <a14:imgProps xmlns:a14="http://schemas.microsoft.com/office/drawing/2010/main">
                  <a14:imgLayer r:embed="rId2">
                    <a14:imgEffect>
                      <a14:sharpenSoften amount="50000"/>
                    </a14:imgEffect>
                    <a14:imgEffect>
                      <a14:colorTemperature colorTemp="8800"/>
                    </a14:imgEffect>
                    <a14:imgEffect>
                      <a14:saturation sat="66000"/>
                    </a14:imgEffect>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254735" y="9986691"/>
            <a:ext cx="4321697" cy="887853"/>
          </a:xfrm>
          <a:prstGeom prst="rect">
            <a:avLst/>
          </a:prstGeom>
        </xdr:spPr>
      </xdr:pic>
      <xdr:sp macro="" textlink="">
        <xdr:nvSpPr>
          <xdr:cNvPr id="4" name="CuadroTexto 3">
            <a:extLst>
              <a:ext uri="{FF2B5EF4-FFF2-40B4-BE49-F238E27FC236}">
                <a16:creationId xmlns:a16="http://schemas.microsoft.com/office/drawing/2014/main" id="{00000000-0008-0000-0900-000004000000}"/>
              </a:ext>
            </a:extLst>
          </xdr:cNvPr>
          <xdr:cNvSpPr txBox="1"/>
        </xdr:nvSpPr>
        <xdr:spPr>
          <a:xfrm>
            <a:off x="4277697" y="9977561"/>
            <a:ext cx="3206420" cy="877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a:t>FABRICACIÓN Y REPARACIÓN DE REMOLQUES Y SEMIRREMOLQUES</a:t>
            </a:r>
          </a:p>
          <a:p>
            <a:pPr algn="ctr"/>
            <a:r>
              <a:rPr lang="es-MX" sz="1100"/>
              <a:t>R.F.C. ALE1808225X5</a:t>
            </a:r>
            <a:r>
              <a:rPr lang="es-MX" sz="1100" baseline="0"/>
              <a:t> </a:t>
            </a:r>
            <a:r>
              <a:rPr lang="es-MX" sz="1100"/>
              <a:t>Col. San Miguel Ayotla           C.P. 73180, Ahuazotepec, Puebla.</a:t>
            </a: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96382</xdr:colOff>
      <xdr:row>13</xdr:row>
      <xdr:rowOff>59938</xdr:rowOff>
    </xdr:from>
    <xdr:to>
      <xdr:col>8</xdr:col>
      <xdr:colOff>57978</xdr:colOff>
      <xdr:row>26</xdr:row>
      <xdr:rowOff>2788</xdr:rowOff>
    </xdr:to>
    <xdr:grpSp>
      <xdr:nvGrpSpPr>
        <xdr:cNvPr id="7" name="Group 2">
          <a:extLst>
            <a:ext uri="{FF2B5EF4-FFF2-40B4-BE49-F238E27FC236}">
              <a16:creationId xmlns:a16="http://schemas.microsoft.com/office/drawing/2014/main" id="{00000000-0008-0000-0B00-000007000000}"/>
            </a:ext>
          </a:extLst>
        </xdr:cNvPr>
        <xdr:cNvGrpSpPr>
          <a:grpSpLocks/>
        </xdr:cNvGrpSpPr>
      </xdr:nvGrpSpPr>
      <xdr:grpSpPr bwMode="auto">
        <a:xfrm>
          <a:off x="4204556" y="2471834"/>
          <a:ext cx="2426500" cy="2354745"/>
          <a:chOff x="7225" y="84"/>
          <a:chExt cx="4095" cy="381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0" scaled="1"/>
          <a:tileRect/>
        </a:gradFill>
      </xdr:grpSpPr>
      <xdr:sp macro="" textlink="">
        <xdr:nvSpPr>
          <xdr:cNvPr id="8" name="Freeform 6">
            <a:extLst>
              <a:ext uri="{FF2B5EF4-FFF2-40B4-BE49-F238E27FC236}">
                <a16:creationId xmlns:a16="http://schemas.microsoft.com/office/drawing/2014/main" id="{00000000-0008-0000-0B00-000008000000}"/>
              </a:ext>
            </a:extLst>
          </xdr:cNvPr>
          <xdr:cNvSpPr>
            <a:spLocks/>
          </xdr:cNvSpPr>
        </xdr:nvSpPr>
        <xdr:spPr bwMode="auto">
          <a:xfrm>
            <a:off x="7225" y="84"/>
            <a:ext cx="4095" cy="3810"/>
          </a:xfrm>
          <a:custGeom>
            <a:avLst/>
            <a:gdLst>
              <a:gd name="T0" fmla="+- 0 10685 7225"/>
              <a:gd name="T1" fmla="*/ T0 w 4095"/>
              <a:gd name="T2" fmla="+- 0 85 85"/>
              <a:gd name="T3" fmla="*/ 85 h 3810"/>
              <a:gd name="T4" fmla="+- 0 7225 7225"/>
              <a:gd name="T5" fmla="*/ T4 w 4095"/>
              <a:gd name="T6" fmla="+- 0 85 85"/>
              <a:gd name="T7" fmla="*/ 85 h 3810"/>
              <a:gd name="T8" fmla="+- 0 7225 7225"/>
              <a:gd name="T9" fmla="*/ T8 w 4095"/>
              <a:gd name="T10" fmla="+- 0 3259 85"/>
              <a:gd name="T11" fmla="*/ 3259 h 3810"/>
              <a:gd name="T12" fmla="+- 0 7860 7225"/>
              <a:gd name="T13" fmla="*/ T12 w 4095"/>
              <a:gd name="T14" fmla="+- 0 3895 85"/>
              <a:gd name="T15" fmla="*/ 3895 h 3810"/>
              <a:gd name="T16" fmla="+- 0 11320 7225"/>
              <a:gd name="T17" fmla="*/ T16 w 4095"/>
              <a:gd name="T18" fmla="+- 0 3895 85"/>
              <a:gd name="T19" fmla="*/ 3895 h 3810"/>
              <a:gd name="T20" fmla="+- 0 11320 7225"/>
              <a:gd name="T21" fmla="*/ T20 w 4095"/>
              <a:gd name="T22" fmla="+- 0 720 85"/>
              <a:gd name="T23" fmla="*/ 720 h 3810"/>
              <a:gd name="T24" fmla="+- 0 10685 7225"/>
              <a:gd name="T25" fmla="*/ T24 w 4095"/>
              <a:gd name="T26" fmla="+- 0 85 85"/>
              <a:gd name="T27" fmla="*/ 85 h 3810"/>
            </a:gdLst>
            <a:ahLst/>
            <a:cxnLst>
              <a:cxn ang="0">
                <a:pos x="T1" y="T3"/>
              </a:cxn>
              <a:cxn ang="0">
                <a:pos x="T5" y="T7"/>
              </a:cxn>
              <a:cxn ang="0">
                <a:pos x="T9" y="T11"/>
              </a:cxn>
              <a:cxn ang="0">
                <a:pos x="T13" y="T15"/>
              </a:cxn>
              <a:cxn ang="0">
                <a:pos x="T17" y="T19"/>
              </a:cxn>
              <a:cxn ang="0">
                <a:pos x="T21" y="T23"/>
              </a:cxn>
              <a:cxn ang="0">
                <a:pos x="T25" y="T27"/>
              </a:cxn>
            </a:cxnLst>
            <a:rect l="0" t="0" r="r" b="b"/>
            <a:pathLst>
              <a:path w="4095" h="3810">
                <a:moveTo>
                  <a:pt x="3460" y="0"/>
                </a:moveTo>
                <a:lnTo>
                  <a:pt x="0" y="0"/>
                </a:lnTo>
                <a:lnTo>
                  <a:pt x="0" y="3174"/>
                </a:lnTo>
                <a:lnTo>
                  <a:pt x="635" y="3810"/>
                </a:lnTo>
                <a:lnTo>
                  <a:pt x="4095" y="3810"/>
                </a:lnTo>
                <a:lnTo>
                  <a:pt x="4095" y="635"/>
                </a:lnTo>
                <a:lnTo>
                  <a:pt x="3460"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es-MX">
              <a:solidFill>
                <a:schemeClr val="bg1"/>
              </a:solidFill>
            </a:endParaRPr>
          </a:p>
        </xdr:txBody>
      </xdr:sp>
      <xdr:sp macro="" textlink="">
        <xdr:nvSpPr>
          <xdr:cNvPr id="9" name="Freeform 5">
            <a:extLst>
              <a:ext uri="{FF2B5EF4-FFF2-40B4-BE49-F238E27FC236}">
                <a16:creationId xmlns:a16="http://schemas.microsoft.com/office/drawing/2014/main" id="{00000000-0008-0000-0B00-000009000000}"/>
              </a:ext>
            </a:extLst>
          </xdr:cNvPr>
          <xdr:cNvSpPr>
            <a:spLocks/>
          </xdr:cNvSpPr>
        </xdr:nvSpPr>
        <xdr:spPr bwMode="auto">
          <a:xfrm>
            <a:off x="7225" y="84"/>
            <a:ext cx="4095" cy="3810"/>
          </a:xfrm>
          <a:custGeom>
            <a:avLst/>
            <a:gdLst>
              <a:gd name="T0" fmla="+- 0 7225 7225"/>
              <a:gd name="T1" fmla="*/ T0 w 4095"/>
              <a:gd name="T2" fmla="+- 0 85 85"/>
              <a:gd name="T3" fmla="*/ 85 h 3810"/>
              <a:gd name="T4" fmla="+- 0 10685 7225"/>
              <a:gd name="T5" fmla="*/ T4 w 4095"/>
              <a:gd name="T6" fmla="+- 0 85 85"/>
              <a:gd name="T7" fmla="*/ 85 h 3810"/>
              <a:gd name="T8" fmla="+- 0 11320 7225"/>
              <a:gd name="T9" fmla="*/ T8 w 4095"/>
              <a:gd name="T10" fmla="+- 0 720 85"/>
              <a:gd name="T11" fmla="*/ 720 h 3810"/>
              <a:gd name="T12" fmla="+- 0 11320 7225"/>
              <a:gd name="T13" fmla="*/ T12 w 4095"/>
              <a:gd name="T14" fmla="+- 0 3895 85"/>
              <a:gd name="T15" fmla="*/ 3895 h 3810"/>
              <a:gd name="T16" fmla="+- 0 7860 7225"/>
              <a:gd name="T17" fmla="*/ T16 w 4095"/>
              <a:gd name="T18" fmla="+- 0 3895 85"/>
              <a:gd name="T19" fmla="*/ 3895 h 3810"/>
              <a:gd name="T20" fmla="+- 0 7225 7225"/>
              <a:gd name="T21" fmla="*/ T20 w 4095"/>
              <a:gd name="T22" fmla="+- 0 3259 85"/>
              <a:gd name="T23" fmla="*/ 3259 h 3810"/>
              <a:gd name="T24" fmla="+- 0 7225 7225"/>
              <a:gd name="T25" fmla="*/ T24 w 4095"/>
              <a:gd name="T26" fmla="+- 0 85 85"/>
              <a:gd name="T27" fmla="*/ 85 h 3810"/>
            </a:gdLst>
            <a:ahLst/>
            <a:cxnLst>
              <a:cxn ang="0">
                <a:pos x="T1" y="T3"/>
              </a:cxn>
              <a:cxn ang="0">
                <a:pos x="T5" y="T7"/>
              </a:cxn>
              <a:cxn ang="0">
                <a:pos x="T9" y="T11"/>
              </a:cxn>
              <a:cxn ang="0">
                <a:pos x="T13" y="T15"/>
              </a:cxn>
              <a:cxn ang="0">
                <a:pos x="T17" y="T19"/>
              </a:cxn>
              <a:cxn ang="0">
                <a:pos x="T21" y="T23"/>
              </a:cxn>
              <a:cxn ang="0">
                <a:pos x="T25" y="T27"/>
              </a:cxn>
            </a:cxnLst>
            <a:rect l="0" t="0" r="r" b="b"/>
            <a:pathLst>
              <a:path w="4095" h="3810">
                <a:moveTo>
                  <a:pt x="0" y="0"/>
                </a:moveTo>
                <a:lnTo>
                  <a:pt x="3460" y="0"/>
                </a:lnTo>
                <a:lnTo>
                  <a:pt x="4095" y="635"/>
                </a:lnTo>
                <a:lnTo>
                  <a:pt x="4095" y="3810"/>
                </a:lnTo>
                <a:lnTo>
                  <a:pt x="635" y="3810"/>
                </a:lnTo>
                <a:lnTo>
                  <a:pt x="0" y="3174"/>
                </a:lnTo>
                <a:lnTo>
                  <a:pt x="0" y="0"/>
                </a:lnTo>
                <a:close/>
              </a:path>
            </a:pathLst>
          </a:custGeom>
          <a:grpFill/>
          <a:ln w="9525">
            <a:solidFill>
              <a:srgbClr val="2E5496"/>
            </a:solidFill>
            <a:prstDash val="solid"/>
            <a:round/>
            <a:headEnd/>
            <a:tailEnd/>
          </a:ln>
        </xdr:spPr>
        <xdr:txBody>
          <a:bodyPr rot="0" vert="horz" wrap="square" lIns="91440" tIns="45720" rIns="91440" bIns="45720" anchor="t" anchorCtr="0" upright="1">
            <a:noAutofit/>
          </a:bodyPr>
          <a:lstStyle/>
          <a:p>
            <a:endParaRPr lang="es-MX">
              <a:solidFill>
                <a:schemeClr val="bg1"/>
              </a:solidFill>
            </a:endParaRPr>
          </a:p>
        </xdr:txBody>
      </xdr:sp>
      <xdr:sp macro="" textlink="">
        <xdr:nvSpPr>
          <xdr:cNvPr id="10" name="Text Box 4">
            <a:extLst>
              <a:ext uri="{FF2B5EF4-FFF2-40B4-BE49-F238E27FC236}">
                <a16:creationId xmlns:a16="http://schemas.microsoft.com/office/drawing/2014/main" id="{00000000-0008-0000-0B00-00000A000000}"/>
              </a:ext>
            </a:extLst>
          </xdr:cNvPr>
          <xdr:cNvSpPr txBox="1">
            <a:spLocks noChangeArrowheads="1"/>
          </xdr:cNvSpPr>
        </xdr:nvSpPr>
        <xdr:spPr bwMode="auto">
          <a:xfrm>
            <a:off x="7454" y="522"/>
            <a:ext cx="3292" cy="19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lnSpc>
                <a:spcPts val="1100"/>
              </a:lnSpc>
            </a:pPr>
            <a:r>
              <a:rPr lang="es-ES" sz="1100" b="1">
                <a:solidFill>
                  <a:schemeClr val="bg1"/>
                </a:solidFill>
                <a:effectLst/>
                <a:latin typeface="Calibri" panose="020F0502020204030204" pitchFamily="34" charset="0"/>
                <a:ea typeface="Calibri" panose="020F0502020204030204" pitchFamily="34" charset="0"/>
              </a:rPr>
              <a:t>CARACTERISTICAS</a:t>
            </a:r>
            <a:r>
              <a:rPr lang="es-ES" sz="1100" b="1" spc="-45">
                <a:solidFill>
                  <a:schemeClr val="bg1"/>
                </a:solidFill>
                <a:effectLst/>
                <a:latin typeface="Calibri" panose="020F0502020204030204" pitchFamily="34" charset="0"/>
                <a:ea typeface="Calibri" panose="020F0502020204030204" pitchFamily="34" charset="0"/>
              </a:rPr>
              <a:t> </a:t>
            </a:r>
            <a:r>
              <a:rPr lang="es-ES" sz="1100" b="1">
                <a:solidFill>
                  <a:schemeClr val="bg1"/>
                </a:solidFill>
                <a:effectLst/>
                <a:latin typeface="Calibri" panose="020F0502020204030204" pitchFamily="34" charset="0"/>
                <a:ea typeface="Calibri" panose="020F0502020204030204" pitchFamily="34" charset="0"/>
              </a:rPr>
              <a:t>PRINCIPALES:</a:t>
            </a:r>
            <a:endParaRPr lang="es-MX" sz="1100">
              <a:solidFill>
                <a:schemeClr val="bg1"/>
              </a:solidFill>
              <a:effectLst/>
              <a:latin typeface="Calibri" panose="020F0502020204030204" pitchFamily="34" charset="0"/>
              <a:ea typeface="Calibri" panose="020F0502020204030204" pitchFamily="34" charset="0"/>
            </a:endParaRPr>
          </a:p>
        </xdr:txBody>
      </xdr:sp>
      <xdr:sp macro="" textlink="">
        <xdr:nvSpPr>
          <xdr:cNvPr id="11" name="Text Box 3">
            <a:extLst>
              <a:ext uri="{FF2B5EF4-FFF2-40B4-BE49-F238E27FC236}">
                <a16:creationId xmlns:a16="http://schemas.microsoft.com/office/drawing/2014/main" id="{00000000-0008-0000-0B00-00000B000000}"/>
              </a:ext>
            </a:extLst>
          </xdr:cNvPr>
          <xdr:cNvSpPr txBox="1">
            <a:spLocks noChangeArrowheads="1"/>
          </xdr:cNvSpPr>
        </xdr:nvSpPr>
        <xdr:spPr bwMode="auto">
          <a:xfrm>
            <a:off x="7682" y="1146"/>
            <a:ext cx="3246" cy="240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lnSpc>
                <a:spcPts val="1120"/>
              </a:lnSpc>
            </a:pPr>
            <a:r>
              <a:rPr lang="es-ES" sz="1100">
                <a:solidFill>
                  <a:schemeClr val="bg1"/>
                </a:solidFill>
                <a:effectLst/>
                <a:latin typeface="Calibri" panose="020F0502020204030204" pitchFamily="34" charset="0"/>
                <a:ea typeface="Calibri" panose="020F0502020204030204" pitchFamily="34" charset="0"/>
              </a:rPr>
              <a:t>LARGO:</a:t>
            </a:r>
            <a:r>
              <a:rPr lang="es-ES" sz="1100" spc="-10">
                <a:solidFill>
                  <a:schemeClr val="bg1"/>
                </a:solidFill>
                <a:effectLst/>
                <a:latin typeface="Calibri" panose="020F0502020204030204" pitchFamily="34" charset="0"/>
                <a:ea typeface="Calibri" panose="020F0502020204030204" pitchFamily="34" charset="0"/>
              </a:rPr>
              <a:t> </a:t>
            </a:r>
            <a:r>
              <a:rPr lang="es-ES" sz="1100" spc="-15">
                <a:solidFill>
                  <a:schemeClr val="bg1"/>
                </a:solidFill>
                <a:effectLst/>
                <a:latin typeface="Calibri" panose="020F0502020204030204" pitchFamily="34" charset="0"/>
                <a:ea typeface="Calibri" panose="020F0502020204030204" pitchFamily="34" charset="0"/>
              </a:rPr>
              <a:t>4.12</a:t>
            </a:r>
            <a:r>
              <a:rPr lang="es-ES" sz="1100">
                <a:solidFill>
                  <a:schemeClr val="bg1"/>
                </a:solidFill>
                <a:effectLst/>
                <a:latin typeface="Calibri" panose="020F0502020204030204" pitchFamily="34" charset="0"/>
                <a:ea typeface="Calibri" panose="020F0502020204030204" pitchFamily="34" charset="0"/>
              </a:rPr>
              <a:t>m</a:t>
            </a:r>
            <a:endParaRPr lang="es-MX" sz="1100">
              <a:solidFill>
                <a:schemeClr val="bg1"/>
              </a:solidFill>
              <a:effectLst/>
              <a:latin typeface="Calibri" panose="020F0502020204030204" pitchFamily="34" charset="0"/>
              <a:ea typeface="Calibri" panose="020F0502020204030204" pitchFamily="34" charset="0"/>
            </a:endParaRPr>
          </a:p>
          <a:p>
            <a:pPr>
              <a:spcBef>
                <a:spcPts val="215"/>
              </a:spcBef>
            </a:pPr>
            <a:r>
              <a:rPr lang="es-ES" sz="1100">
                <a:solidFill>
                  <a:schemeClr val="bg1"/>
                </a:solidFill>
                <a:effectLst/>
                <a:latin typeface="Calibri" panose="020F0502020204030204" pitchFamily="34" charset="0"/>
                <a:ea typeface="Calibri" panose="020F0502020204030204" pitchFamily="34" charset="0"/>
              </a:rPr>
              <a:t>EJES:</a:t>
            </a:r>
            <a:r>
              <a:rPr lang="es-ES" sz="1100" spc="-15">
                <a:solidFill>
                  <a:schemeClr val="bg1"/>
                </a:solidFill>
                <a:effectLst/>
                <a:latin typeface="Calibri" panose="020F0502020204030204" pitchFamily="34" charset="0"/>
                <a:ea typeface="Calibri" panose="020F0502020204030204" pitchFamily="34" charset="0"/>
              </a:rPr>
              <a:t> </a:t>
            </a:r>
            <a:r>
              <a:rPr lang="es-ES" sz="1100" spc="0">
                <a:solidFill>
                  <a:schemeClr val="bg1"/>
                </a:solidFill>
                <a:effectLst/>
                <a:latin typeface="Calibri" panose="020F0502020204030204" pitchFamily="34" charset="0"/>
                <a:ea typeface="Calibri" panose="020F0502020204030204" pitchFamily="34" charset="0"/>
              </a:rPr>
              <a:t>2</a:t>
            </a:r>
            <a:r>
              <a:rPr lang="es-ES" sz="1100">
                <a:solidFill>
                  <a:schemeClr val="bg1"/>
                </a:solidFill>
                <a:effectLst/>
                <a:latin typeface="Calibri" panose="020F0502020204030204" pitchFamily="34" charset="0"/>
                <a:ea typeface="Calibri" panose="020F0502020204030204" pitchFamily="34" charset="0"/>
              </a:rPr>
              <a:t>.</a:t>
            </a:r>
            <a:endParaRPr lang="es-MX" sz="1100">
              <a:solidFill>
                <a:schemeClr val="bg1"/>
              </a:solidFill>
              <a:effectLst/>
              <a:latin typeface="Calibri" panose="020F0502020204030204" pitchFamily="34" charset="0"/>
              <a:ea typeface="Calibri" panose="020F0502020204030204" pitchFamily="34" charset="0"/>
            </a:endParaRPr>
          </a:p>
          <a:p>
            <a:pPr marR="666750">
              <a:lnSpc>
                <a:spcPct val="115000"/>
              </a:lnSpc>
              <a:spcBef>
                <a:spcPts val="220"/>
              </a:spcBef>
              <a:spcAft>
                <a:spcPts val="0"/>
              </a:spcAft>
            </a:pPr>
            <a:r>
              <a:rPr lang="es-ES" sz="1100">
                <a:solidFill>
                  <a:schemeClr val="bg1"/>
                </a:solidFill>
                <a:effectLst/>
                <a:latin typeface="Calibri" panose="020F0502020204030204" pitchFamily="34" charset="0"/>
                <a:ea typeface="Calibri" panose="020F0502020204030204" pitchFamily="34" charset="0"/>
              </a:rPr>
              <a:t>CAP.</a:t>
            </a:r>
            <a:r>
              <a:rPr lang="es-ES" sz="1100" spc="-25">
                <a:solidFill>
                  <a:schemeClr val="bg1"/>
                </a:solidFill>
                <a:effectLst/>
                <a:latin typeface="Calibri" panose="020F0502020204030204" pitchFamily="34" charset="0"/>
                <a:ea typeface="Calibri" panose="020F0502020204030204" pitchFamily="34" charset="0"/>
              </a:rPr>
              <a:t> </a:t>
            </a:r>
            <a:r>
              <a:rPr lang="es-ES" sz="1100">
                <a:solidFill>
                  <a:schemeClr val="bg1"/>
                </a:solidFill>
                <a:effectLst/>
                <a:latin typeface="Calibri" panose="020F0502020204030204" pitchFamily="34" charset="0"/>
                <a:ea typeface="Calibri" panose="020F0502020204030204" pitchFamily="34" charset="0"/>
              </a:rPr>
              <a:t>CARGA:</a:t>
            </a:r>
            <a:r>
              <a:rPr lang="es-ES" sz="1100" spc="-15">
                <a:solidFill>
                  <a:schemeClr val="bg1"/>
                </a:solidFill>
                <a:effectLst/>
                <a:latin typeface="Calibri" panose="020F0502020204030204" pitchFamily="34" charset="0"/>
                <a:ea typeface="Calibri" panose="020F0502020204030204" pitchFamily="34" charset="0"/>
              </a:rPr>
              <a:t> </a:t>
            </a:r>
            <a:r>
              <a:rPr lang="es-ES" sz="1100" spc="-20">
                <a:solidFill>
                  <a:schemeClr val="bg1"/>
                </a:solidFill>
                <a:effectLst/>
                <a:latin typeface="Calibri" panose="020F0502020204030204" pitchFamily="34" charset="0"/>
                <a:ea typeface="Calibri" panose="020F0502020204030204" pitchFamily="34" charset="0"/>
              </a:rPr>
              <a:t> 6 </a:t>
            </a:r>
            <a:r>
              <a:rPr lang="es-ES" sz="1100">
                <a:solidFill>
                  <a:schemeClr val="bg1"/>
                </a:solidFill>
                <a:effectLst/>
                <a:latin typeface="Calibri" panose="020F0502020204030204" pitchFamily="34" charset="0"/>
                <a:ea typeface="Calibri" panose="020F0502020204030204" pitchFamily="34" charset="0"/>
              </a:rPr>
              <a:t>TON.</a:t>
            </a:r>
            <a:r>
              <a:rPr lang="es-ES" sz="1100" spc="-235">
                <a:solidFill>
                  <a:schemeClr val="bg1"/>
                </a:solidFill>
                <a:effectLst/>
                <a:latin typeface="Calibri" panose="020F0502020204030204" pitchFamily="34" charset="0"/>
                <a:ea typeface="Calibri" panose="020F0502020204030204" pitchFamily="34" charset="0"/>
              </a:rPr>
              <a:t> </a:t>
            </a:r>
            <a:r>
              <a:rPr lang="es-ES" sz="1100">
                <a:solidFill>
                  <a:schemeClr val="bg1"/>
                </a:solidFill>
                <a:effectLst/>
                <a:latin typeface="Calibri" panose="020F0502020204030204" pitchFamily="34" charset="0"/>
                <a:ea typeface="Calibri" panose="020F0502020204030204" pitchFamily="34" charset="0"/>
              </a:rPr>
              <a:t>PATÍN:</a:t>
            </a:r>
            <a:r>
              <a:rPr lang="es-ES" sz="1100" spc="-5">
                <a:solidFill>
                  <a:schemeClr val="bg1"/>
                </a:solidFill>
                <a:effectLst/>
                <a:latin typeface="Calibri" panose="020F0502020204030204" pitchFamily="34" charset="0"/>
                <a:ea typeface="Calibri" panose="020F0502020204030204" pitchFamily="34" charset="0"/>
              </a:rPr>
              <a:t> </a:t>
            </a:r>
            <a:r>
              <a:rPr lang="es-ES" sz="1100">
                <a:solidFill>
                  <a:schemeClr val="bg1"/>
                </a:solidFill>
                <a:effectLst/>
                <a:latin typeface="Calibri" panose="020F0502020204030204" pitchFamily="34" charset="0"/>
                <a:ea typeface="Calibri" panose="020F0502020204030204" pitchFamily="34" charset="0"/>
              </a:rPr>
              <a:t>1</a:t>
            </a:r>
            <a:endParaRPr lang="es-MX" sz="1100">
              <a:solidFill>
                <a:schemeClr val="bg1"/>
              </a:solidFill>
              <a:effectLst/>
              <a:latin typeface="Calibri" panose="020F0502020204030204" pitchFamily="34" charset="0"/>
              <a:ea typeface="Calibri" panose="020F0502020204030204" pitchFamily="34" charset="0"/>
            </a:endParaRPr>
          </a:p>
          <a:p>
            <a:pPr marR="735965">
              <a:lnSpc>
                <a:spcPct val="115000"/>
              </a:lnSpc>
              <a:spcBef>
                <a:spcPts val="5"/>
              </a:spcBef>
              <a:spcAft>
                <a:spcPts val="0"/>
              </a:spcAft>
            </a:pPr>
            <a:r>
              <a:rPr lang="es-ES" sz="1100">
                <a:solidFill>
                  <a:schemeClr val="bg1"/>
                </a:solidFill>
                <a:effectLst/>
                <a:latin typeface="Calibri" panose="020F0502020204030204" pitchFamily="34" charset="0"/>
                <a:ea typeface="Calibri" panose="020F0502020204030204" pitchFamily="34" charset="0"/>
              </a:rPr>
              <a:t>PISO:</a:t>
            </a:r>
            <a:r>
              <a:rPr lang="es-ES" sz="1100" baseline="0">
                <a:solidFill>
                  <a:schemeClr val="bg1"/>
                </a:solidFill>
                <a:effectLst/>
                <a:latin typeface="Calibri" panose="020F0502020204030204" pitchFamily="34" charset="0"/>
                <a:ea typeface="Calibri" panose="020F0502020204030204" pitchFamily="34" charset="0"/>
              </a:rPr>
              <a:t> SIN PISO</a:t>
            </a:r>
            <a:r>
              <a:rPr lang="es-ES" sz="1100">
                <a:solidFill>
                  <a:schemeClr val="bg1"/>
                </a:solidFill>
                <a:effectLst/>
                <a:latin typeface="Calibri" panose="020F0502020204030204" pitchFamily="34" charset="0"/>
                <a:ea typeface="Calibri" panose="020F0502020204030204" pitchFamily="34" charset="0"/>
              </a:rPr>
              <a:t>.</a:t>
            </a:r>
            <a:r>
              <a:rPr lang="es-ES" sz="1100" spc="5">
                <a:solidFill>
                  <a:schemeClr val="bg1"/>
                </a:solidFill>
                <a:effectLst/>
                <a:latin typeface="Calibri" panose="020F0502020204030204" pitchFamily="34" charset="0"/>
                <a:ea typeface="Calibri" panose="020F0502020204030204" pitchFamily="34" charset="0"/>
              </a:rPr>
              <a:t> </a:t>
            </a:r>
            <a:r>
              <a:rPr lang="es-ES" sz="1100">
                <a:solidFill>
                  <a:schemeClr val="bg1"/>
                </a:solidFill>
                <a:effectLst/>
                <a:latin typeface="Calibri" panose="020F0502020204030204" pitchFamily="34" charset="0"/>
                <a:ea typeface="Calibri" panose="020F0502020204030204" pitchFamily="34" charset="0"/>
              </a:rPr>
              <a:t>MODELO:</a:t>
            </a:r>
            <a:r>
              <a:rPr lang="es-ES" sz="1100" spc="-10">
                <a:solidFill>
                  <a:schemeClr val="bg1"/>
                </a:solidFill>
                <a:effectLst/>
                <a:latin typeface="Calibri" panose="020F0502020204030204" pitchFamily="34" charset="0"/>
                <a:ea typeface="Calibri" panose="020F0502020204030204" pitchFamily="34" charset="0"/>
              </a:rPr>
              <a:t> </a:t>
            </a:r>
            <a:r>
              <a:rPr lang="es-ES" sz="1100">
                <a:solidFill>
                  <a:schemeClr val="bg1"/>
                </a:solidFill>
                <a:effectLst/>
                <a:latin typeface="Calibri" panose="020F0502020204030204" pitchFamily="34" charset="0"/>
                <a:ea typeface="Calibri" panose="020F0502020204030204" pitchFamily="34" charset="0"/>
              </a:rPr>
              <a:t>2024.</a:t>
            </a:r>
            <a:endParaRPr lang="es-MX" sz="1100">
              <a:solidFill>
                <a:schemeClr val="bg1"/>
              </a:solidFill>
              <a:effectLst/>
              <a:latin typeface="Calibri" panose="020F0502020204030204" pitchFamily="34" charset="0"/>
              <a:ea typeface="Calibri" panose="020F0502020204030204" pitchFamily="34" charset="0"/>
            </a:endParaRPr>
          </a:p>
          <a:p>
            <a:pPr>
              <a:lnSpc>
                <a:spcPts val="1320"/>
              </a:lnSpc>
              <a:spcBef>
                <a:spcPts val="30"/>
              </a:spcBef>
            </a:pPr>
            <a:r>
              <a:rPr lang="es-ES" sz="1100">
                <a:solidFill>
                  <a:schemeClr val="bg1"/>
                </a:solidFill>
                <a:effectLst/>
                <a:latin typeface="Calibri" panose="020F0502020204030204" pitchFamily="34" charset="0"/>
                <a:ea typeface="Calibri" panose="020F0502020204030204" pitchFamily="34" charset="0"/>
              </a:rPr>
              <a:t>MARCA:</a:t>
            </a:r>
            <a:r>
              <a:rPr lang="es-ES" sz="1100" spc="-30">
                <a:solidFill>
                  <a:schemeClr val="bg1"/>
                </a:solidFill>
                <a:effectLst/>
                <a:latin typeface="Calibri" panose="020F0502020204030204" pitchFamily="34" charset="0"/>
                <a:ea typeface="Calibri" panose="020F0502020204030204" pitchFamily="34" charset="0"/>
              </a:rPr>
              <a:t> </a:t>
            </a:r>
            <a:r>
              <a:rPr lang="es-ES" sz="1100">
                <a:solidFill>
                  <a:schemeClr val="bg1"/>
                </a:solidFill>
                <a:effectLst/>
                <a:latin typeface="Calibri" panose="020F0502020204030204" pitchFamily="34" charset="0"/>
                <a:ea typeface="Calibri" panose="020F0502020204030204" pitchFamily="34" charset="0"/>
              </a:rPr>
              <a:t>“REMOLQUES</a:t>
            </a:r>
            <a:r>
              <a:rPr lang="es-ES" sz="1100" spc="-35">
                <a:solidFill>
                  <a:schemeClr val="bg1"/>
                </a:solidFill>
                <a:effectLst/>
                <a:latin typeface="Calibri" panose="020F0502020204030204" pitchFamily="34" charset="0"/>
                <a:ea typeface="Calibri" panose="020F0502020204030204" pitchFamily="34" charset="0"/>
              </a:rPr>
              <a:t> </a:t>
            </a:r>
            <a:r>
              <a:rPr lang="es-ES" sz="1100">
                <a:solidFill>
                  <a:schemeClr val="bg1"/>
                </a:solidFill>
                <a:effectLst/>
                <a:latin typeface="Calibri" panose="020F0502020204030204" pitchFamily="34" charset="0"/>
                <a:ea typeface="Calibri" panose="020F0502020204030204" pitchFamily="34" charset="0"/>
              </a:rPr>
              <a:t>LEOLCA”</a:t>
            </a:r>
            <a:endParaRPr lang="es-MX" sz="1100">
              <a:solidFill>
                <a:schemeClr val="bg1"/>
              </a:solidFill>
              <a:effectLst/>
              <a:latin typeface="Calibri" panose="020F0502020204030204" pitchFamily="34" charset="0"/>
              <a:ea typeface="Calibri" panose="020F0502020204030204" pitchFamily="34" charset="0"/>
            </a:endParaRPr>
          </a:p>
        </xdr:txBody>
      </xdr:sp>
    </xdr:grpSp>
    <xdr:clientData/>
  </xdr:twoCellAnchor>
  <xdr:twoCellAnchor editAs="absolute">
    <xdr:from>
      <xdr:col>0</xdr:col>
      <xdr:colOff>180975</xdr:colOff>
      <xdr:row>0</xdr:row>
      <xdr:rowOff>114300</xdr:rowOff>
    </xdr:from>
    <xdr:to>
      <xdr:col>8</xdr:col>
      <xdr:colOff>587675</xdr:colOff>
      <xdr:row>4</xdr:row>
      <xdr:rowOff>165435</xdr:rowOff>
    </xdr:to>
    <xdr:grpSp>
      <xdr:nvGrpSpPr>
        <xdr:cNvPr id="12" name="Grupo 11">
          <a:extLst>
            <a:ext uri="{FF2B5EF4-FFF2-40B4-BE49-F238E27FC236}">
              <a16:creationId xmlns:a16="http://schemas.microsoft.com/office/drawing/2014/main" id="{00000000-0008-0000-0B00-00000C000000}"/>
            </a:ext>
          </a:extLst>
        </xdr:cNvPr>
        <xdr:cNvGrpSpPr>
          <a:grpSpLocks noChangeAspect="1"/>
        </xdr:cNvGrpSpPr>
      </xdr:nvGrpSpPr>
      <xdr:grpSpPr>
        <a:xfrm>
          <a:off x="180975" y="114300"/>
          <a:ext cx="6979778" cy="793257"/>
          <a:chOff x="254735" y="9967280"/>
          <a:chExt cx="7279192" cy="877691"/>
        </a:xfrm>
      </xdr:grpSpPr>
      <xdr:pic>
        <xdr:nvPicPr>
          <xdr:cNvPr id="13" name="image1.png">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1" cstate="print">
            <a:clrChange>
              <a:clrFrom>
                <a:srgbClr val="7F7F7F">
                  <a:alpha val="49804"/>
                </a:srgbClr>
              </a:clrFrom>
              <a:clrTo>
                <a:srgbClr val="7F7F7F">
                  <a:alpha val="0"/>
                </a:srgbClr>
              </a:clrTo>
            </a:clrChange>
            <a:biLevel thresh="50000"/>
            <a:extLst>
              <a:ext uri="{BEBA8EAE-BF5A-486C-A8C5-ECC9F3942E4B}">
                <a14:imgProps xmlns:a14="http://schemas.microsoft.com/office/drawing/2010/main">
                  <a14:imgLayer r:embed="rId2">
                    <a14:imgEffect>
                      <a14:sharpenSoften amount="50000"/>
                    </a14:imgEffect>
                    <a14:imgEffect>
                      <a14:colorTemperature colorTemp="8800"/>
                    </a14:imgEffect>
                    <a14:imgEffect>
                      <a14:saturation sat="66000"/>
                    </a14:imgEffect>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254735" y="9986690"/>
            <a:ext cx="3808994" cy="782523"/>
          </a:xfrm>
          <a:prstGeom prst="rect">
            <a:avLst/>
          </a:prstGeom>
        </xdr:spPr>
      </xdr:pic>
      <xdr:sp macro="" textlink="">
        <xdr:nvSpPr>
          <xdr:cNvPr id="14" name="CuadroTexto 13">
            <a:extLst>
              <a:ext uri="{FF2B5EF4-FFF2-40B4-BE49-F238E27FC236}">
                <a16:creationId xmlns:a16="http://schemas.microsoft.com/office/drawing/2014/main" id="{00000000-0008-0000-0B00-00000E000000}"/>
              </a:ext>
            </a:extLst>
          </xdr:cNvPr>
          <xdr:cNvSpPr txBox="1"/>
        </xdr:nvSpPr>
        <xdr:spPr>
          <a:xfrm>
            <a:off x="4327507" y="9967280"/>
            <a:ext cx="3206420" cy="877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a:solidFill>
                  <a:schemeClr val="accent1"/>
                </a:solidFill>
              </a:rPr>
              <a:t>FABRICACIÓN Y REPARACIÓN DE REMOLQUES Y SEMIRREMOLQUES</a:t>
            </a:r>
          </a:p>
          <a:p>
            <a:pPr algn="ctr"/>
            <a:r>
              <a:rPr lang="es-MX" sz="1100">
                <a:solidFill>
                  <a:schemeClr val="accent1"/>
                </a:solidFill>
              </a:rPr>
              <a:t>R.F.C. ALE1808225X5</a:t>
            </a:r>
            <a:r>
              <a:rPr lang="es-MX" sz="1100" baseline="0">
                <a:solidFill>
                  <a:schemeClr val="accent1"/>
                </a:solidFill>
              </a:rPr>
              <a:t> </a:t>
            </a:r>
            <a:r>
              <a:rPr lang="es-MX" sz="1100">
                <a:solidFill>
                  <a:schemeClr val="accent1"/>
                </a:solidFill>
              </a:rPr>
              <a:t>Col. San Miguel Ayotla           C.P. 73180, Ahuazotepec, Puebla.</a:t>
            </a:r>
          </a:p>
        </xdr:txBody>
      </xdr:sp>
    </xdr:grpSp>
    <xdr:clientData/>
  </xdr:twoCellAnchor>
  <xdr:twoCellAnchor editAs="oneCell">
    <xdr:from>
      <xdr:col>0</xdr:col>
      <xdr:colOff>261936</xdr:colOff>
      <xdr:row>13</xdr:row>
      <xdr:rowOff>114546</xdr:rowOff>
    </xdr:from>
    <xdr:to>
      <xdr:col>4</xdr:col>
      <xdr:colOff>331303</xdr:colOff>
      <xdr:row>27</xdr:row>
      <xdr:rowOff>148714</xdr:rowOff>
    </xdr:to>
    <xdr:pic>
      <xdr:nvPicPr>
        <xdr:cNvPr id="20" name="Imagen 19">
          <a:extLst>
            <a:ext uri="{FF2B5EF4-FFF2-40B4-BE49-F238E27FC236}">
              <a16:creationId xmlns:a16="http://schemas.microsoft.com/office/drawing/2014/main" id="{00000000-0008-0000-0B00-000014000000}"/>
            </a:ext>
          </a:extLst>
        </xdr:cNvPr>
        <xdr:cNvPicPr>
          <a:picLocks noChangeAspect="1"/>
        </xdr:cNvPicPr>
      </xdr:nvPicPr>
      <xdr:blipFill rotWithShape="1">
        <a:blip xmlns:r="http://schemas.openxmlformats.org/officeDocument/2006/relationships" r:embed="rId3" cstate="print">
          <a:clrChange>
            <a:clrFrom>
              <a:srgbClr val="51472B"/>
            </a:clrFrom>
            <a:clrTo>
              <a:srgbClr val="51472B">
                <a:alpha val="0"/>
              </a:srgbClr>
            </a:clrTo>
          </a:clrChange>
          <a:alphaModFix amt="50000"/>
          <a:duotone>
            <a:schemeClr val="accent5">
              <a:shade val="45000"/>
              <a:satMod val="135000"/>
            </a:schemeClr>
            <a:prstClr val="white"/>
          </a:duotone>
          <a:extLst>
            <a:ext uri="{BEBA8EAE-BF5A-486C-A8C5-ECC9F3942E4B}">
              <a14:imgProps xmlns:a14="http://schemas.microsoft.com/office/drawing/2010/main">
                <a14:imgLayer r:embed="rId4">
                  <a14:imgEffect>
                    <a14:backgroundRemoval t="8553" b="90000" l="10000" r="90100">
                      <a14:foregroundMark x1="61800" y1="9605" x2="61800" y2="9605"/>
                      <a14:foregroundMark x1="19600" y1="24737" x2="19600" y2="24737"/>
                      <a14:foregroundMark x1="24000" y1="19342" x2="24000" y2="19342"/>
                      <a14:foregroundMark x1="25200" y1="19474" x2="25200" y2="19474"/>
                      <a14:foregroundMark x1="22700" y1="23816" x2="22700" y2="23816"/>
                      <a14:foregroundMark x1="20200" y1="24868" x2="20200" y2="24868"/>
                      <a14:foregroundMark x1="40400" y1="8553" x2="40400" y2="8553"/>
                      <a14:foregroundMark x1="41700" y1="8684" x2="41700" y2="8684"/>
                      <a14:foregroundMark x1="42900" y1="9474" x2="42900" y2="9474"/>
                      <a14:foregroundMark x1="54093" y1="13939" x2="52400" y2="13289"/>
                      <a14:foregroundMark x1="59600" y1="16053" x2="58202" y2="15516"/>
                      <a14:foregroundMark x1="14574" y1="22105" x2="13400" y2="23026"/>
                      <a14:foregroundMark x1="15112" y1="21683" x2="14574" y2="22105"/>
                      <a14:foregroundMark x1="17425" y1="19868" x2="15748" y2="21184"/>
                      <a14:foregroundMark x1="18262" y1="19211" x2="17425" y2="19868"/>
                      <a14:foregroundMark x1="27200" y1="19868" x2="27200" y2="19868"/>
                      <a14:foregroundMark x1="27000" y1="20000" x2="27000" y2="20000"/>
                      <a14:foregroundMark x1="27000" y1="20000" x2="27000" y2="20000"/>
                      <a14:foregroundMark x1="23100" y1="19605" x2="23100" y2="19605"/>
                      <a14:foregroundMark x1="23900" y1="19474" x2="23900" y2="19474"/>
                      <a14:foregroundMark x1="22300" y1="19079" x2="22300" y2="19079"/>
                      <a14:foregroundMark x1="58700" y1="10526" x2="58700" y2="10526"/>
                      <a14:foregroundMark x1="56000" y1="14211" x2="56000" y2="14211"/>
                      <a14:foregroundMark x1="15700" y1="18026" x2="15700" y2="18026"/>
                      <a14:foregroundMark x1="60900" y1="9868" x2="60900" y2="9868"/>
                      <a14:foregroundMark x1="18300" y1="18289" x2="18300" y2="18289"/>
                      <a14:foregroundMark x1="26200" y1="19868" x2="26200" y2="19868"/>
                      <a14:foregroundMark x1="90100" y1="75526" x2="90100" y2="75526"/>
                      <a14:backgroundMark x1="41100" y1="16974" x2="41100" y2="16974"/>
                      <a14:backgroundMark x1="23200" y1="20000" x2="23200" y2="20000"/>
                      <a14:backgroundMark x1="26500" y1="22895" x2="26500" y2="22895"/>
                      <a14:backgroundMark x1="26400" y1="20263" x2="26400" y2="20263"/>
                      <a14:backgroundMark x1="21400" y1="21579" x2="21400" y2="21579"/>
                      <a14:backgroundMark x1="37000" y1="20395" x2="37000" y2="20395"/>
                      <a14:backgroundMark x1="32400" y1="21579" x2="32400" y2="21579"/>
                      <a14:backgroundMark x1="32900" y1="27500" x2="32900" y2="27500"/>
                      <a14:backgroundMark x1="26100" y1="35789" x2="26100" y2="35789"/>
                      <a14:backgroundMark x1="22200" y1="35526" x2="22200" y2="35526"/>
                      <a14:backgroundMark x1="16300" y1="35789" x2="16300" y2="35789"/>
                      <a14:backgroundMark x1="16400" y1="40658" x2="16400" y2="40658"/>
                      <a14:backgroundMark x1="16700" y1="30658" x2="16700" y2="30658"/>
                      <a14:backgroundMark x1="16900" y1="25395" x2="16900" y2="25395"/>
                      <a14:backgroundMark x1="37100" y1="41053" x2="37100" y2="41053"/>
                      <a14:backgroundMark x1="39400" y1="40921" x2="39400" y2="40921"/>
                      <a14:backgroundMark x1="37900" y1="27763" x2="37900" y2="27763"/>
                      <a14:backgroundMark x1="37900" y1="26316" x2="37900" y2="26316"/>
                      <a14:backgroundMark x1="39300" y1="26316" x2="36700" y2="26316"/>
                      <a14:backgroundMark x1="37300" y1="26711" x2="36100" y2="26711"/>
                      <a14:backgroundMark x1="30400" y1="27895" x2="30400" y2="27895"/>
                      <a14:backgroundMark x1="30200" y1="21974" x2="30200" y2="21974"/>
                      <a14:backgroundMark x1="23300" y1="23684" x2="23300" y2="23684"/>
                      <a14:backgroundMark x1="23500" y1="40921" x2="23500" y2="40921"/>
                      <a14:backgroundMark x1="26900" y1="40921" x2="26900" y2="40921"/>
                      <a14:backgroundMark x1="32900" y1="40789" x2="32900" y2="40789"/>
                      <a14:backgroundMark x1="19600" y1="30526" x2="19600" y2="30526"/>
                      <a14:backgroundMark x1="19500" y1="25132" x2="19500" y2="25132"/>
                      <a14:backgroundMark x1="22700" y1="23816" x2="22700" y2="23816"/>
                      <a14:backgroundMark x1="19600" y1="25132" x2="19600" y2="25132"/>
                      <a14:backgroundMark x1="19600" y1="24868" x2="19600" y2="24868"/>
                      <a14:backgroundMark x1="20300" y1="25000" x2="20300" y2="25000"/>
                      <a14:backgroundMark x1="20500" y1="24868" x2="20500" y2="24868"/>
                      <a14:backgroundMark x1="20300" y1="24868" x2="20300" y2="24868"/>
                      <a14:backgroundMark x1="20200" y1="24868" x2="20200" y2="24868"/>
                      <a14:backgroundMark x1="15900" y1="22632" x2="15900" y2="22632"/>
                      <a14:backgroundMark x1="17400" y1="19211" x2="17400" y2="19211"/>
                      <a14:backgroundMark x1="14900" y1="21184" x2="14900" y2="21184"/>
                      <a14:backgroundMark x1="14900" y1="21184" x2="14900" y2="21184"/>
                      <a14:backgroundMark x1="14900" y1="21184" x2="14900" y2="21184"/>
                      <a14:backgroundMark x1="14900" y1="21184" x2="14900" y2="21184"/>
                      <a14:backgroundMark x1="15100" y1="21447" x2="15100" y2="21447"/>
                      <a14:backgroundMark x1="16900" y1="22500" x2="15500" y2="21711"/>
                      <a14:backgroundMark x1="18700" y1="19605" x2="15400" y2="19079"/>
                      <a14:backgroundMark x1="18500" y1="19079" x2="18500" y2="19079"/>
                      <a14:backgroundMark x1="17600" y1="19868" x2="17600" y2="19868"/>
                      <a14:backgroundMark x1="18400" y1="18816" x2="18400" y2="18816"/>
                      <a14:backgroundMark x1="18400" y1="19211" x2="18400" y2="19211"/>
                      <a14:backgroundMark x1="17400" y1="19605" x2="17400" y2="19605"/>
                      <a14:backgroundMark x1="15900" y1="21316" x2="15800" y2="20789"/>
                      <a14:backgroundMark x1="15700" y1="21711" x2="15200" y2="21842"/>
                      <a14:backgroundMark x1="14700" y1="21842" x2="14700" y2="21842"/>
                      <a14:backgroundMark x1="14800" y1="21842" x2="14800" y2="21842"/>
                      <a14:backgroundMark x1="14800" y1="22105" x2="14800" y2="22105"/>
                      <a14:backgroundMark x1="14700" y1="22105" x2="14700" y2="22105"/>
                      <a14:backgroundMark x1="14600" y1="22105" x2="14600" y2="22105"/>
                      <a14:backgroundMark x1="24900" y1="18158" x2="24900" y2="18158"/>
                      <a14:backgroundMark x1="50200" y1="10263" x2="50200" y2="10263"/>
                      <a14:backgroundMark x1="51900" y1="10000" x2="51900" y2="10000"/>
                      <a14:backgroundMark x1="63800" y1="11184" x2="63800" y2="11184"/>
                      <a14:backgroundMark x1="63700" y1="10789" x2="63700" y2="10789"/>
                      <a14:backgroundMark x1="63500" y1="10789" x2="63500" y2="10789"/>
                      <a14:backgroundMark x1="63300" y1="10526" x2="63300" y2="10526"/>
                      <a14:backgroundMark x1="63300" y1="10526" x2="63500" y2="12500"/>
                      <a14:backgroundMark x1="63000" y1="10395" x2="63000" y2="10395"/>
                      <a14:backgroundMark x1="62800" y1="10000" x2="62800" y2="10000"/>
                      <a14:backgroundMark x1="62900" y1="10395" x2="62900" y2="10395"/>
                      <a14:backgroundMark x1="63200" y1="10789" x2="62900" y2="10658"/>
                      <a14:backgroundMark x1="53600" y1="12500" x2="53600" y2="12500"/>
                      <a14:backgroundMark x1="58600" y1="15921" x2="58600" y2="15921"/>
                      <a14:backgroundMark x1="58900" y1="16053" x2="58900" y2="16053"/>
                      <a14:backgroundMark x1="58200" y1="15789" x2="58200" y2="15789"/>
                      <a14:backgroundMark x1="58500" y1="16184" x2="54800" y2="15526"/>
                      <a14:backgroundMark x1="58700" y1="15921" x2="58700" y2="15921"/>
                      <a14:backgroundMark x1="59100" y1="16053" x2="59100" y2="16053"/>
                      <a14:backgroundMark x1="58200" y1="15658" x2="58200" y2="15658"/>
                    </a14:backgroundRemoval>
                  </a14:imgEffect>
                  <a14:imgEffect>
                    <a14:artisticPaintStrokes/>
                  </a14:imgEffect>
                  <a14:imgEffect>
                    <a14:saturation sat="400000"/>
                  </a14:imgEffect>
                  <a14:imgEffect>
                    <a14:brightnessContrast bright="20000"/>
                  </a14:imgEffect>
                </a14:imgLayer>
              </a14:imgProps>
            </a:ext>
            <a:ext uri="{28A0092B-C50C-407E-A947-70E740481C1C}">
              <a14:useLocalDpi xmlns:a14="http://schemas.microsoft.com/office/drawing/2010/main" val="0"/>
            </a:ext>
          </a:extLst>
        </a:blip>
        <a:srcRect l="9864" r="5999" b="10489"/>
        <a:stretch/>
      </xdr:blipFill>
      <xdr:spPr>
        <a:xfrm flipH="1">
          <a:off x="261936" y="2591046"/>
          <a:ext cx="3349280" cy="2701168"/>
        </a:xfrm>
        <a:prstGeom prst="rect">
          <a:avLst/>
        </a:prstGeom>
      </xdr:spPr>
    </xdr:pic>
    <xdr:clientData/>
  </xdr:twoCellAnchor>
  <xdr:twoCellAnchor>
    <xdr:from>
      <xdr:col>3</xdr:col>
      <xdr:colOff>157369</xdr:colOff>
      <xdr:row>44</xdr:row>
      <xdr:rowOff>77442</xdr:rowOff>
    </xdr:from>
    <xdr:to>
      <xdr:col>5</xdr:col>
      <xdr:colOff>414545</xdr:colOff>
      <xdr:row>51</xdr:row>
      <xdr:rowOff>58392</xdr:rowOff>
    </xdr:to>
    <xdr:pic>
      <xdr:nvPicPr>
        <xdr:cNvPr id="22" name="image3.jpeg">
          <a:extLst>
            <a:ext uri="{FF2B5EF4-FFF2-40B4-BE49-F238E27FC236}">
              <a16:creationId xmlns:a16="http://schemas.microsoft.com/office/drawing/2014/main" id="{00000000-0008-0000-0B00-00001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617304" y="8509138"/>
          <a:ext cx="1897132" cy="1314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95250</xdr:colOff>
      <xdr:row>0</xdr:row>
      <xdr:rowOff>0</xdr:rowOff>
    </xdr:from>
    <xdr:to>
      <xdr:col>7</xdr:col>
      <xdr:colOff>342899</xdr:colOff>
      <xdr:row>6</xdr:row>
      <xdr:rowOff>92075</xdr:rowOff>
    </xdr:to>
    <xdr:pic>
      <xdr:nvPicPr>
        <xdr:cNvPr id="2" name="image1.jpeg">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stretch>
          <a:fillRect/>
        </a:stretch>
      </xdr:blipFill>
      <xdr:spPr>
        <a:xfrm>
          <a:off x="95250" y="0"/>
          <a:ext cx="6381749" cy="1235075"/>
        </a:xfrm>
        <a:prstGeom prst="rect">
          <a:avLst/>
        </a:prstGeom>
      </xdr:spPr>
    </xdr:pic>
    <xdr:clientData/>
  </xdr:twoCellAnchor>
  <xdr:twoCellAnchor editAs="oneCell">
    <xdr:from>
      <xdr:col>0</xdr:col>
      <xdr:colOff>0</xdr:colOff>
      <xdr:row>47</xdr:row>
      <xdr:rowOff>95250</xdr:rowOff>
    </xdr:from>
    <xdr:to>
      <xdr:col>7</xdr:col>
      <xdr:colOff>247649</xdr:colOff>
      <xdr:row>53</xdr:row>
      <xdr:rowOff>177800</xdr:rowOff>
    </xdr:to>
    <xdr:pic>
      <xdr:nvPicPr>
        <xdr:cNvPr id="3" name="image1.jpeg">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stretch>
          <a:fillRect/>
        </a:stretch>
      </xdr:blipFill>
      <xdr:spPr>
        <a:xfrm>
          <a:off x="0" y="9258300"/>
          <a:ext cx="6381749" cy="1235075"/>
        </a:xfrm>
        <a:prstGeom prst="rect">
          <a:avLst/>
        </a:prstGeom>
      </xdr:spPr>
    </xdr:pic>
    <xdr:clientData/>
  </xdr:twoCellAnchor>
  <xdr:twoCellAnchor editAs="oneCell">
    <xdr:from>
      <xdr:col>0</xdr:col>
      <xdr:colOff>9525</xdr:colOff>
      <xdr:row>94</xdr:row>
      <xdr:rowOff>57150</xdr:rowOff>
    </xdr:from>
    <xdr:to>
      <xdr:col>7</xdr:col>
      <xdr:colOff>257174</xdr:colOff>
      <xdr:row>100</xdr:row>
      <xdr:rowOff>149225</xdr:rowOff>
    </xdr:to>
    <xdr:pic>
      <xdr:nvPicPr>
        <xdr:cNvPr id="4" name="image1.jpeg">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cstate="print"/>
        <a:stretch>
          <a:fillRect/>
        </a:stretch>
      </xdr:blipFill>
      <xdr:spPr>
        <a:xfrm>
          <a:off x="9525" y="19135725"/>
          <a:ext cx="6381749" cy="1235075"/>
        </a:xfrm>
        <a:prstGeom prst="rect">
          <a:avLst/>
        </a:prstGeom>
      </xdr:spPr>
    </xdr:pic>
    <xdr:clientData/>
  </xdr:twoCellAnchor>
  <xdr:twoCellAnchor editAs="oneCell">
    <xdr:from>
      <xdr:col>0</xdr:col>
      <xdr:colOff>0</xdr:colOff>
      <xdr:row>141</xdr:row>
      <xdr:rowOff>57150</xdr:rowOff>
    </xdr:from>
    <xdr:to>
      <xdr:col>7</xdr:col>
      <xdr:colOff>247649</xdr:colOff>
      <xdr:row>147</xdr:row>
      <xdr:rowOff>149225</xdr:rowOff>
    </xdr:to>
    <xdr:pic>
      <xdr:nvPicPr>
        <xdr:cNvPr id="5" name="image1.jpeg">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1" cstate="print"/>
        <a:stretch>
          <a:fillRect/>
        </a:stretch>
      </xdr:blipFill>
      <xdr:spPr>
        <a:xfrm>
          <a:off x="0" y="28660725"/>
          <a:ext cx="6381749" cy="12350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716280</xdr:colOff>
          <xdr:row>1</xdr:row>
          <xdr:rowOff>45720</xdr:rowOff>
        </xdr:from>
        <xdr:to>
          <xdr:col>11</xdr:col>
          <xdr:colOff>693420</xdr:colOff>
          <xdr:row>3</xdr:row>
          <xdr:rowOff>99060</xdr:rowOff>
        </xdr:to>
        <xdr:sp macro="" textlink="">
          <xdr:nvSpPr>
            <xdr:cNvPr id="93186" name="BT_EN_CONTRATO" hidden="1">
              <a:extLst>
                <a:ext uri="{63B3BB69-23CF-44E3-9099-C40C66FF867C}">
                  <a14:compatExt spid="_x0000_s93186"/>
                </a:ext>
                <a:ext uri="{FF2B5EF4-FFF2-40B4-BE49-F238E27FC236}">
                  <a16:creationId xmlns:a16="http://schemas.microsoft.com/office/drawing/2014/main" id="{00000000-0008-0000-0C00-0000026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4</xdr:row>
          <xdr:rowOff>114300</xdr:rowOff>
        </xdr:from>
        <xdr:to>
          <xdr:col>11</xdr:col>
          <xdr:colOff>426720</xdr:colOff>
          <xdr:row>6</xdr:row>
          <xdr:rowOff>99060</xdr:rowOff>
        </xdr:to>
        <xdr:sp macro="" textlink="">
          <xdr:nvSpPr>
            <xdr:cNvPr id="93188" name="bt_GUARD_PDF_CONTRAT_PLANA" hidden="1">
              <a:extLst>
                <a:ext uri="{63B3BB69-23CF-44E3-9099-C40C66FF867C}">
                  <a14:compatExt spid="_x0000_s93188"/>
                </a:ext>
                <a:ext uri="{FF2B5EF4-FFF2-40B4-BE49-F238E27FC236}">
                  <a16:creationId xmlns:a16="http://schemas.microsoft.com/office/drawing/2014/main" id="{00000000-0008-0000-0C00-0000046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1</xdr:colOff>
      <xdr:row>1</xdr:row>
      <xdr:rowOff>0</xdr:rowOff>
    </xdr:from>
    <xdr:to>
      <xdr:col>9</xdr:col>
      <xdr:colOff>47626</xdr:colOff>
      <xdr:row>5</xdr:row>
      <xdr:rowOff>9525</xdr:rowOff>
    </xdr:to>
    <xdr:pic>
      <xdr:nvPicPr>
        <xdr:cNvPr id="94" name="Picture 251">
          <a:extLst>
            <a:ext uri="{FF2B5EF4-FFF2-40B4-BE49-F238E27FC236}">
              <a16:creationId xmlns:a16="http://schemas.microsoft.com/office/drawing/2014/main" id="{00000000-0008-0000-0D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 y="0"/>
          <a:ext cx="600075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54833</xdr:colOff>
      <xdr:row>66</xdr:row>
      <xdr:rowOff>91881</xdr:rowOff>
    </xdr:from>
    <xdr:to>
      <xdr:col>9</xdr:col>
      <xdr:colOff>338009</xdr:colOff>
      <xdr:row>75</xdr:row>
      <xdr:rowOff>183033</xdr:rowOff>
    </xdr:to>
    <xdr:grpSp>
      <xdr:nvGrpSpPr>
        <xdr:cNvPr id="6" name="Grupo 5">
          <a:extLst>
            <a:ext uri="{FF2B5EF4-FFF2-40B4-BE49-F238E27FC236}">
              <a16:creationId xmlns:a16="http://schemas.microsoft.com/office/drawing/2014/main" id="{00000000-0008-0000-0D00-000006000000}"/>
            </a:ext>
          </a:extLst>
        </xdr:cNvPr>
        <xdr:cNvGrpSpPr/>
      </xdr:nvGrpSpPr>
      <xdr:grpSpPr>
        <a:xfrm>
          <a:off x="54833" y="12352461"/>
          <a:ext cx="7202136" cy="1737072"/>
          <a:chOff x="102973" y="12059657"/>
          <a:chExt cx="7143750" cy="1828821"/>
        </a:xfrm>
      </xdr:grpSpPr>
      <xdr:sp macro="" textlink="">
        <xdr:nvSpPr>
          <xdr:cNvPr id="302" name="Textbox 78">
            <a:extLst>
              <a:ext uri="{FF2B5EF4-FFF2-40B4-BE49-F238E27FC236}">
                <a16:creationId xmlns:a16="http://schemas.microsoft.com/office/drawing/2014/main" id="{00000000-0008-0000-0D00-00002E010000}"/>
              </a:ext>
            </a:extLst>
          </xdr:cNvPr>
          <xdr:cNvSpPr txBox="1"/>
        </xdr:nvSpPr>
        <xdr:spPr>
          <a:xfrm>
            <a:off x="4975457" y="12856041"/>
            <a:ext cx="1679511" cy="243205"/>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lIns="0" tIns="0" rIns="0" bIns="0" anchor="ctr"/>
          <a:lstStyle/>
          <a:p>
            <a:r>
              <a:rPr lang="es-MX" sz="1050" b="0" spc="-5">
                <a:latin typeface="Calibri"/>
                <a:cs typeface="Calibri"/>
              </a:rPr>
              <a:t>  </a:t>
            </a:r>
            <a:r>
              <a:rPr sz="1050" b="0" spc="-5">
                <a:latin typeface="Calibri"/>
                <a:cs typeface="Calibri"/>
              </a:rPr>
              <a:t>P</a:t>
            </a:r>
            <a:r>
              <a:rPr sz="1050" b="0" spc="5">
                <a:latin typeface="Calibri"/>
                <a:cs typeface="Calibri"/>
              </a:rPr>
              <a:t>a</a:t>
            </a:r>
            <a:r>
              <a:rPr sz="1050" b="0" spc="-10">
                <a:latin typeface="Calibri"/>
                <a:cs typeface="Calibri"/>
              </a:rPr>
              <a:t>í</a:t>
            </a:r>
            <a:r>
              <a:rPr sz="1050" b="0" spc="5">
                <a:latin typeface="Calibri"/>
                <a:cs typeface="Calibri"/>
              </a:rPr>
              <a:t>s</a:t>
            </a:r>
            <a:r>
              <a:rPr sz="1050" b="0" spc="0">
                <a:latin typeface="Calibri"/>
                <a:cs typeface="Calibri"/>
              </a:rPr>
              <a:t>:</a:t>
            </a:r>
          </a:p>
        </xdr:txBody>
      </xdr:sp>
      <xdr:grpSp>
        <xdr:nvGrpSpPr>
          <xdr:cNvPr id="5" name="Grupo 4">
            <a:extLst>
              <a:ext uri="{FF2B5EF4-FFF2-40B4-BE49-F238E27FC236}">
                <a16:creationId xmlns:a16="http://schemas.microsoft.com/office/drawing/2014/main" id="{00000000-0008-0000-0D00-000005000000}"/>
              </a:ext>
            </a:extLst>
          </xdr:cNvPr>
          <xdr:cNvGrpSpPr/>
        </xdr:nvGrpSpPr>
        <xdr:grpSpPr>
          <a:xfrm>
            <a:off x="102973" y="12059657"/>
            <a:ext cx="7143750" cy="1828821"/>
            <a:chOff x="115845" y="12033914"/>
            <a:chExt cx="7143750" cy="1828821"/>
          </a:xfrm>
        </xdr:grpSpPr>
        <xdr:sp macro="" textlink="">
          <xdr:nvSpPr>
            <xdr:cNvPr id="304" name="CuadroTexto 303">
              <a:extLst>
                <a:ext uri="{FF2B5EF4-FFF2-40B4-BE49-F238E27FC236}">
                  <a16:creationId xmlns:a16="http://schemas.microsoft.com/office/drawing/2014/main" id="{00000000-0008-0000-0D00-000030010000}"/>
                </a:ext>
              </a:extLst>
            </xdr:cNvPr>
            <xdr:cNvSpPr txBox="1"/>
          </xdr:nvSpPr>
          <xdr:spPr>
            <a:xfrm>
              <a:off x="911851" y="13191378"/>
              <a:ext cx="2301311" cy="255738"/>
            </a:xfrm>
            <a:prstGeom prst="rect">
              <a:avLst/>
            </a:prstGeom>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r>
                <a:rPr lang="es-MX" sz="1050"/>
                <a:t>Fecha de fabricaión:</a:t>
              </a:r>
            </a:p>
          </xdr:txBody>
        </xdr:sp>
        <xdr:grpSp>
          <xdr:nvGrpSpPr>
            <xdr:cNvPr id="408" name="Grupo 407">
              <a:extLst>
                <a:ext uri="{FF2B5EF4-FFF2-40B4-BE49-F238E27FC236}">
                  <a16:creationId xmlns:a16="http://schemas.microsoft.com/office/drawing/2014/main" id="{00000000-0008-0000-0D00-000098010000}"/>
                </a:ext>
              </a:extLst>
            </xdr:cNvPr>
            <xdr:cNvGrpSpPr/>
          </xdr:nvGrpSpPr>
          <xdr:grpSpPr>
            <a:xfrm>
              <a:off x="115845" y="12033914"/>
              <a:ext cx="7143750" cy="1828821"/>
              <a:chOff x="115845" y="12033914"/>
              <a:chExt cx="7143750" cy="1828821"/>
            </a:xfrm>
            <a:noFill/>
          </xdr:grpSpPr>
          <xdr:sp macro="" textlink="">
            <xdr:nvSpPr>
              <xdr:cNvPr id="306" name="CuadroTexto 305">
                <a:extLst>
                  <a:ext uri="{FF2B5EF4-FFF2-40B4-BE49-F238E27FC236}">
                    <a16:creationId xmlns:a16="http://schemas.microsoft.com/office/drawing/2014/main" id="{00000000-0008-0000-0D00-000032010000}"/>
                  </a:ext>
                </a:extLst>
              </xdr:cNvPr>
              <xdr:cNvSpPr txBox="1"/>
            </xdr:nvSpPr>
            <xdr:spPr>
              <a:xfrm>
                <a:off x="4144663" y="13167670"/>
                <a:ext cx="2201047" cy="283176"/>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s-MX" sz="1100"/>
                  <a:t>Niv:</a:t>
                </a:r>
              </a:p>
            </xdr:txBody>
          </xdr:sp>
          <xdr:grpSp>
            <xdr:nvGrpSpPr>
              <xdr:cNvPr id="316" name="Grupo 315">
                <a:extLst>
                  <a:ext uri="{FF2B5EF4-FFF2-40B4-BE49-F238E27FC236}">
                    <a16:creationId xmlns:a16="http://schemas.microsoft.com/office/drawing/2014/main" id="{00000000-0008-0000-0D00-00003C010000}"/>
                  </a:ext>
                </a:extLst>
              </xdr:cNvPr>
              <xdr:cNvGrpSpPr/>
            </xdr:nvGrpSpPr>
            <xdr:grpSpPr>
              <a:xfrm>
                <a:off x="115845" y="12033914"/>
                <a:ext cx="7143750" cy="1828821"/>
                <a:chOff x="358609" y="10473610"/>
                <a:chExt cx="6543675" cy="1760855"/>
              </a:xfrm>
              <a:grpFill/>
            </xdr:grpSpPr>
            <xdr:grpSp>
              <xdr:nvGrpSpPr>
                <xdr:cNvPr id="315" name="Grupo 314">
                  <a:extLst>
                    <a:ext uri="{FF2B5EF4-FFF2-40B4-BE49-F238E27FC236}">
                      <a16:creationId xmlns:a16="http://schemas.microsoft.com/office/drawing/2014/main" id="{00000000-0008-0000-0D00-00003B010000}"/>
                    </a:ext>
                  </a:extLst>
                </xdr:cNvPr>
                <xdr:cNvGrpSpPr/>
              </xdr:nvGrpSpPr>
              <xdr:grpSpPr>
                <a:xfrm>
                  <a:off x="358609" y="10473610"/>
                  <a:ext cx="6543675" cy="1760855"/>
                  <a:chOff x="358609" y="10473610"/>
                  <a:chExt cx="6543675" cy="1760855"/>
                </a:xfrm>
                <a:grpFill/>
              </xdr:grpSpPr>
              <xdr:grpSp>
                <xdr:nvGrpSpPr>
                  <xdr:cNvPr id="314" name="Grupo 313">
                    <a:extLst>
                      <a:ext uri="{FF2B5EF4-FFF2-40B4-BE49-F238E27FC236}">
                        <a16:creationId xmlns:a16="http://schemas.microsoft.com/office/drawing/2014/main" id="{00000000-0008-0000-0D00-00003A010000}"/>
                      </a:ext>
                    </a:extLst>
                  </xdr:cNvPr>
                  <xdr:cNvGrpSpPr/>
                </xdr:nvGrpSpPr>
                <xdr:grpSpPr>
                  <a:xfrm>
                    <a:off x="358609" y="10473610"/>
                    <a:ext cx="6543675" cy="1760855"/>
                    <a:chOff x="358609" y="10473610"/>
                    <a:chExt cx="6543675" cy="1760855"/>
                  </a:xfrm>
                  <a:grpFill/>
                </xdr:grpSpPr>
                <xdr:grpSp>
                  <xdr:nvGrpSpPr>
                    <xdr:cNvPr id="311" name="Grupo 310">
                      <a:extLst>
                        <a:ext uri="{FF2B5EF4-FFF2-40B4-BE49-F238E27FC236}">
                          <a16:creationId xmlns:a16="http://schemas.microsoft.com/office/drawing/2014/main" id="{00000000-0008-0000-0D00-000037010000}"/>
                        </a:ext>
                      </a:extLst>
                    </xdr:cNvPr>
                    <xdr:cNvGrpSpPr/>
                  </xdr:nvGrpSpPr>
                  <xdr:grpSpPr>
                    <a:xfrm>
                      <a:off x="358609" y="10473610"/>
                      <a:ext cx="6543675" cy="1760855"/>
                      <a:chOff x="358609" y="10473610"/>
                      <a:chExt cx="6543675" cy="1760855"/>
                    </a:xfrm>
                    <a:grpFill/>
                  </xdr:grpSpPr>
                  <xdr:grpSp>
                    <xdr:nvGrpSpPr>
                      <xdr:cNvPr id="85" name="Group 58">
                        <a:extLst>
                          <a:ext uri="{FF2B5EF4-FFF2-40B4-BE49-F238E27FC236}">
                            <a16:creationId xmlns:a16="http://schemas.microsoft.com/office/drawing/2014/main" id="{00000000-0008-0000-0D00-000055000000}"/>
                          </a:ext>
                        </a:extLst>
                      </xdr:cNvPr>
                      <xdr:cNvGrpSpPr/>
                    </xdr:nvGrpSpPr>
                    <xdr:grpSpPr>
                      <a:xfrm>
                        <a:off x="358609" y="10473610"/>
                        <a:ext cx="6543675" cy="1760855"/>
                        <a:chOff x="12700" y="335148"/>
                        <a:chExt cx="6543675" cy="1760855"/>
                      </a:xfrm>
                      <a:grpFill/>
                    </xdr:grpSpPr>
                    <xdr:sp macro="" textlink="">
                      <xdr:nvSpPr>
                        <xdr:cNvPr id="89" name="Shape 62">
                          <a:extLst>
                            <a:ext uri="{FF2B5EF4-FFF2-40B4-BE49-F238E27FC236}">
                              <a16:creationId xmlns:a16="http://schemas.microsoft.com/office/drawing/2014/main" id="{00000000-0008-0000-0D00-000059000000}"/>
                            </a:ext>
                          </a:extLst>
                        </xdr:cNvPr>
                        <xdr:cNvSpPr/>
                      </xdr:nvSpPr>
                      <xdr:spPr>
                        <a:xfrm>
                          <a:off x="12700" y="335148"/>
                          <a:ext cx="6543675" cy="447675"/>
                        </a:xfrm>
                        <a:custGeom>
                          <a:avLst/>
                          <a:gdLst/>
                          <a:ahLst/>
                          <a:cxnLst/>
                          <a:rect l="0" t="0" r="0" b="0"/>
                          <a:pathLst>
                            <a:path w="6543675" h="447675">
                              <a:moveTo>
                                <a:pt x="6543675" y="0"/>
                              </a:moveTo>
                              <a:lnTo>
                                <a:pt x="74929" y="0"/>
                              </a:lnTo>
                              <a:lnTo>
                                <a:pt x="0" y="74295"/>
                              </a:lnTo>
                              <a:lnTo>
                                <a:pt x="0" y="447675"/>
                              </a:lnTo>
                              <a:lnTo>
                                <a:pt x="6468745" y="447675"/>
                              </a:lnTo>
                              <a:lnTo>
                                <a:pt x="6543675" y="372745"/>
                              </a:lnTo>
                              <a:lnTo>
                                <a:pt x="6543675" y="0"/>
                              </a:lnTo>
                              <a:close/>
                            </a:path>
                          </a:pathLst>
                        </a:custGeom>
                        <a:grpFill/>
                      </xdr:spPr>
                    </xdr:sp>
                    <xdr:sp macro="" textlink="">
                      <xdr:nvSpPr>
                        <xdr:cNvPr id="90" name="Shape 63">
                          <a:extLst>
                            <a:ext uri="{FF2B5EF4-FFF2-40B4-BE49-F238E27FC236}">
                              <a16:creationId xmlns:a16="http://schemas.microsoft.com/office/drawing/2014/main" id="{00000000-0008-0000-0D00-00005A000000}"/>
                            </a:ext>
                          </a:extLst>
                        </xdr:cNvPr>
                        <xdr:cNvSpPr/>
                      </xdr:nvSpPr>
                      <xdr:spPr>
                        <a:xfrm>
                          <a:off x="12700" y="335148"/>
                          <a:ext cx="6543675" cy="447675"/>
                        </a:xfrm>
                        <a:custGeom>
                          <a:avLst/>
                          <a:gdLst/>
                          <a:ahLst/>
                          <a:cxnLst/>
                          <a:rect l="0" t="0" r="0" b="0"/>
                          <a:pathLst>
                            <a:path w="6543675" h="447675">
                              <a:moveTo>
                                <a:pt x="0" y="447675"/>
                              </a:moveTo>
                              <a:lnTo>
                                <a:pt x="6468745" y="447675"/>
                              </a:lnTo>
                              <a:lnTo>
                                <a:pt x="6543675" y="372745"/>
                              </a:lnTo>
                              <a:lnTo>
                                <a:pt x="6543675" y="0"/>
                              </a:lnTo>
                              <a:lnTo>
                                <a:pt x="74929" y="0"/>
                              </a:lnTo>
                              <a:lnTo>
                                <a:pt x="0" y="74295"/>
                              </a:lnTo>
                              <a:lnTo>
                                <a:pt x="0" y="447675"/>
                              </a:lnTo>
                              <a:close/>
                            </a:path>
                          </a:pathLst>
                        </a:custGeom>
                        <a:grpFill/>
                        <a:ln w="25400">
                          <a:solidFill>
                            <a:srgbClr val="385D88"/>
                          </a:solidFill>
                        </a:ln>
                      </xdr:spPr>
                    </xdr:sp>
                    <xdr:sp macro="" textlink="">
                      <xdr:nvSpPr>
                        <xdr:cNvPr id="93" name="Shape 66">
                          <a:extLst>
                            <a:ext uri="{FF2B5EF4-FFF2-40B4-BE49-F238E27FC236}">
                              <a16:creationId xmlns:a16="http://schemas.microsoft.com/office/drawing/2014/main" id="{00000000-0008-0000-0D00-00005D000000}"/>
                            </a:ext>
                          </a:extLst>
                        </xdr:cNvPr>
                        <xdr:cNvSpPr/>
                      </xdr:nvSpPr>
                      <xdr:spPr>
                        <a:xfrm>
                          <a:off x="12700" y="848228"/>
                          <a:ext cx="6543675" cy="1247775"/>
                        </a:xfrm>
                        <a:custGeom>
                          <a:avLst/>
                          <a:gdLst/>
                          <a:ahLst/>
                          <a:cxnLst/>
                          <a:rect l="0" t="0" r="0" b="0"/>
                          <a:pathLst>
                            <a:path w="6543675" h="1247775">
                              <a:moveTo>
                                <a:pt x="0" y="0"/>
                              </a:moveTo>
                              <a:lnTo>
                                <a:pt x="6335395" y="0"/>
                              </a:lnTo>
                              <a:lnTo>
                                <a:pt x="6543675" y="207645"/>
                              </a:lnTo>
                              <a:lnTo>
                                <a:pt x="6543675" y="1247775"/>
                              </a:lnTo>
                              <a:lnTo>
                                <a:pt x="208279" y="1247775"/>
                              </a:lnTo>
                              <a:lnTo>
                                <a:pt x="0" y="1039495"/>
                              </a:lnTo>
                              <a:lnTo>
                                <a:pt x="0" y="0"/>
                              </a:lnTo>
                              <a:close/>
                            </a:path>
                          </a:pathLst>
                        </a:custGeom>
                        <a:grpFill/>
                        <a:ln w="25400">
                          <a:solidFill>
                            <a:srgbClr val="385D88"/>
                          </a:solidFill>
                        </a:ln>
                      </xdr:spPr>
                    </xdr:sp>
                    <xdr:sp macro="" textlink="">
                      <xdr:nvSpPr>
                        <xdr:cNvPr id="191" name="Textbox 73">
                          <a:extLst>
                            <a:ext uri="{FF2B5EF4-FFF2-40B4-BE49-F238E27FC236}">
                              <a16:creationId xmlns:a16="http://schemas.microsoft.com/office/drawing/2014/main" id="{00000000-0008-0000-0D00-0000BF000000}"/>
                            </a:ext>
                          </a:extLst>
                        </xdr:cNvPr>
                        <xdr:cNvSpPr txBox="1"/>
                      </xdr:nvSpPr>
                      <xdr:spPr>
                        <a:xfrm>
                          <a:off x="486492" y="478254"/>
                          <a:ext cx="2119427" cy="203862"/>
                        </a:xfrm>
                        <a:prstGeom prst="rect">
                          <a:avLst/>
                        </a:prstGeom>
                        <a:grpFill/>
                      </xdr:spPr>
                      <xdr:style>
                        <a:lnRef idx="2">
                          <a:schemeClr val="dk1"/>
                        </a:lnRef>
                        <a:fillRef idx="1">
                          <a:schemeClr val="lt1"/>
                        </a:fillRef>
                        <a:effectRef idx="0">
                          <a:schemeClr val="dk1"/>
                        </a:effectRef>
                        <a:fontRef idx="minor">
                          <a:schemeClr val="dk1"/>
                        </a:fontRef>
                      </xdr:style>
                      <xdr:txBody>
                        <a:bodyPr vertOverflow="clip" lIns="0" tIns="0" rIns="0" bIns="0" anchor="ctr"/>
                        <a:lstStyle/>
                        <a:p>
                          <a:pPr algn="l"/>
                          <a:r>
                            <a:rPr lang="es-MX" sz="1050" b="0">
                              <a:latin typeface="Calibri"/>
                              <a:cs typeface="Calibri"/>
                            </a:rPr>
                            <a:t>  </a:t>
                          </a:r>
                          <a:r>
                            <a:rPr sz="1050" b="0">
                              <a:latin typeface="Calibri"/>
                              <a:cs typeface="Calibri"/>
                            </a:rPr>
                            <a:t>N</a:t>
                          </a:r>
                          <a:r>
                            <a:rPr sz="1050" b="0" spc="-5">
                              <a:latin typeface="Calibri"/>
                              <a:cs typeface="Calibri"/>
                            </a:rPr>
                            <a:t>o</a:t>
                          </a:r>
                          <a:r>
                            <a:rPr sz="1050" b="0" spc="0">
                              <a:latin typeface="Calibri"/>
                              <a:cs typeface="Calibri"/>
                            </a:rPr>
                            <a:t>.</a:t>
                          </a:r>
                          <a:r>
                            <a:rPr sz="1050" b="0" spc="-5">
                              <a:latin typeface="Calibri"/>
                              <a:cs typeface="Calibri"/>
                            </a:rPr>
                            <a:t> </a:t>
                          </a:r>
                          <a:r>
                            <a:rPr sz="1050" b="0" spc="5">
                              <a:latin typeface="Calibri"/>
                              <a:cs typeface="Calibri"/>
                            </a:rPr>
                            <a:t>D</a:t>
                          </a:r>
                          <a:r>
                            <a:rPr sz="1050" b="0" spc="0">
                              <a:latin typeface="Calibri"/>
                              <a:cs typeface="Calibri"/>
                            </a:rPr>
                            <a:t>e c</a:t>
                          </a:r>
                          <a:r>
                            <a:rPr sz="1050" b="0" spc="-5">
                              <a:latin typeface="Calibri"/>
                              <a:cs typeface="Calibri"/>
                            </a:rPr>
                            <a:t>on</a:t>
                          </a:r>
                          <a:r>
                            <a:rPr sz="1050" b="0" spc="0">
                              <a:latin typeface="Calibri"/>
                              <a:cs typeface="Calibri"/>
                            </a:rPr>
                            <a:t>s</a:t>
                          </a:r>
                          <a:r>
                            <a:rPr sz="1050" b="0" spc="-10">
                              <a:latin typeface="Calibri"/>
                              <a:cs typeface="Calibri"/>
                            </a:rPr>
                            <a:t>t</a:t>
                          </a:r>
                          <a:r>
                            <a:rPr sz="1050" b="0" spc="-5">
                              <a:latin typeface="Calibri"/>
                              <a:cs typeface="Calibri"/>
                            </a:rPr>
                            <a:t>ancia</a:t>
                          </a:r>
                          <a:r>
                            <a:rPr sz="1050" b="0" spc="0">
                              <a:latin typeface="Calibri"/>
                              <a:cs typeface="Calibri"/>
                            </a:rPr>
                            <a:t>:</a:t>
                          </a:r>
                          <a:r>
                            <a:rPr sz="1050" b="0" spc="10">
                              <a:latin typeface="Calibri"/>
                              <a:cs typeface="Calibri"/>
                            </a:rPr>
                            <a:t> </a:t>
                          </a:r>
                          <a:endParaRPr sz="1050" b="0" spc="0">
                            <a:latin typeface="Calibri"/>
                            <a:cs typeface="Calibri"/>
                          </a:endParaRPr>
                        </a:p>
                      </xdr:txBody>
                    </xdr:sp>
                    <xdr:sp macro="" textlink="">
                      <xdr:nvSpPr>
                        <xdr:cNvPr id="193" name="Textbox 75">
                          <a:extLst>
                            <a:ext uri="{FF2B5EF4-FFF2-40B4-BE49-F238E27FC236}">
                              <a16:creationId xmlns:a16="http://schemas.microsoft.com/office/drawing/2014/main" id="{00000000-0008-0000-0D00-0000C1000000}"/>
                            </a:ext>
                          </a:extLst>
                        </xdr:cNvPr>
                        <xdr:cNvSpPr txBox="1"/>
                      </xdr:nvSpPr>
                      <xdr:spPr>
                        <a:xfrm>
                          <a:off x="506411" y="929438"/>
                          <a:ext cx="5476791" cy="175461"/>
                        </a:xfrm>
                        <a:prstGeom prst="rect">
                          <a:avLst/>
                        </a:prstGeom>
                        <a:grpFill/>
                      </xdr:spPr>
                      <xdr:txBody>
                        <a:bodyPr vertOverflow="clip" lIns="0" tIns="0" rIns="0" bIns="0" anchor="t"/>
                        <a:lstStyle/>
                        <a:p>
                          <a:r>
                            <a:rPr sz="1050" b="0">
                              <a:latin typeface="Calibri"/>
                              <a:cs typeface="Calibri"/>
                            </a:rPr>
                            <a:t>B</a:t>
                          </a:r>
                          <a:r>
                            <a:rPr sz="1050" b="0" spc="-5">
                              <a:latin typeface="Calibri"/>
                              <a:cs typeface="Calibri"/>
                            </a:rPr>
                            <a:t>a</a:t>
                          </a:r>
                          <a:r>
                            <a:rPr sz="1050" b="0" spc="5">
                              <a:latin typeface="Calibri"/>
                              <a:cs typeface="Calibri"/>
                            </a:rPr>
                            <a:t>j</a:t>
                          </a:r>
                          <a:r>
                            <a:rPr sz="1050" b="0" spc="0">
                              <a:latin typeface="Calibri"/>
                              <a:cs typeface="Calibri"/>
                            </a:rPr>
                            <a:t>o</a:t>
                          </a:r>
                          <a:r>
                            <a:rPr sz="1050" b="0" spc="-5">
                              <a:latin typeface="Calibri"/>
                              <a:cs typeface="Calibri"/>
                            </a:rPr>
                            <a:t> propue</a:t>
                          </a:r>
                          <a:r>
                            <a:rPr sz="1050" b="0" spc="5">
                              <a:latin typeface="Calibri"/>
                              <a:cs typeface="Calibri"/>
                            </a:rPr>
                            <a:t>s</a:t>
                          </a:r>
                          <a:r>
                            <a:rPr sz="1050" b="0" spc="-10">
                              <a:latin typeface="Calibri"/>
                              <a:cs typeface="Calibri"/>
                            </a:rPr>
                            <a:t>t</a:t>
                          </a:r>
                          <a:r>
                            <a:rPr sz="1050" b="0" spc="0">
                              <a:latin typeface="Calibri"/>
                              <a:cs typeface="Calibri"/>
                            </a:rPr>
                            <a:t>a</a:t>
                          </a:r>
                          <a:r>
                            <a:rPr sz="1050" b="0" spc="-5">
                              <a:latin typeface="Calibri"/>
                              <a:cs typeface="Calibri"/>
                            </a:rPr>
                            <a:t> d</a:t>
                          </a:r>
                          <a:r>
                            <a:rPr sz="1050" b="0" spc="0">
                              <a:latin typeface="Calibri"/>
                              <a:cs typeface="Calibri"/>
                            </a:rPr>
                            <a:t>e</a:t>
                          </a:r>
                          <a:r>
                            <a:rPr sz="1050" b="0" spc="-5">
                              <a:latin typeface="Calibri"/>
                              <a:cs typeface="Calibri"/>
                            </a:rPr>
                            <a:t> de</a:t>
                          </a:r>
                          <a:r>
                            <a:rPr sz="1050" b="0" spc="0">
                              <a:latin typeface="Calibri"/>
                              <a:cs typeface="Calibri"/>
                            </a:rPr>
                            <a:t>c</a:t>
                          </a:r>
                          <a:r>
                            <a:rPr sz="1050" b="0" spc="-5">
                              <a:latin typeface="Calibri"/>
                              <a:cs typeface="Calibri"/>
                            </a:rPr>
                            <a:t>i</a:t>
                          </a:r>
                          <a:r>
                            <a:rPr sz="1050" b="0" spc="0">
                              <a:latin typeface="Calibri"/>
                              <a:cs typeface="Calibri"/>
                            </a:rPr>
                            <a:t>r verd</a:t>
                          </a:r>
                          <a:r>
                            <a:rPr sz="1050" b="0" spc="-5">
                              <a:latin typeface="Calibri"/>
                              <a:cs typeface="Calibri"/>
                            </a:rPr>
                            <a:t>ad</a:t>
                          </a:r>
                          <a:r>
                            <a:rPr sz="1050" b="0" spc="0">
                              <a:latin typeface="Calibri"/>
                              <a:cs typeface="Calibri"/>
                            </a:rPr>
                            <a:t>,</a:t>
                          </a:r>
                          <a:r>
                            <a:rPr sz="1050" b="0" spc="-5">
                              <a:latin typeface="Calibri"/>
                              <a:cs typeface="Calibri"/>
                            </a:rPr>
                            <a:t> po</a:t>
                          </a:r>
                          <a:r>
                            <a:rPr sz="1050" b="0" spc="0">
                              <a:latin typeface="Calibri"/>
                              <a:cs typeface="Calibri"/>
                            </a:rPr>
                            <a:t>r med</a:t>
                          </a:r>
                          <a:r>
                            <a:rPr sz="1050" b="0" spc="-5">
                              <a:latin typeface="Calibri"/>
                              <a:cs typeface="Calibri"/>
                            </a:rPr>
                            <a:t>i</a:t>
                          </a:r>
                          <a:r>
                            <a:rPr sz="1050" b="0" spc="0">
                              <a:latin typeface="Calibri"/>
                              <a:cs typeface="Calibri"/>
                            </a:rPr>
                            <a:t>o</a:t>
                          </a:r>
                          <a:r>
                            <a:rPr sz="1050" b="0" spc="-5">
                              <a:latin typeface="Calibri"/>
                              <a:cs typeface="Calibri"/>
                            </a:rPr>
                            <a:t> d</a:t>
                          </a:r>
                          <a:r>
                            <a:rPr sz="1050" b="0" spc="0">
                              <a:latin typeface="Calibri"/>
                              <a:cs typeface="Calibri"/>
                            </a:rPr>
                            <a:t>e</a:t>
                          </a:r>
                          <a:r>
                            <a:rPr sz="1050" b="0" spc="-5">
                              <a:latin typeface="Calibri"/>
                              <a:cs typeface="Calibri"/>
                            </a:rPr>
                            <a:t> l</a:t>
                          </a:r>
                          <a:r>
                            <a:rPr sz="1050" b="0" spc="0">
                              <a:latin typeface="Calibri"/>
                              <a:cs typeface="Calibri"/>
                            </a:rPr>
                            <a:t>a</a:t>
                          </a:r>
                          <a:r>
                            <a:rPr sz="1050" b="0" spc="-5">
                              <a:latin typeface="Calibri"/>
                              <a:cs typeface="Calibri"/>
                            </a:rPr>
                            <a:t> pre</a:t>
                          </a:r>
                          <a:r>
                            <a:rPr sz="1050" b="0" spc="5">
                              <a:latin typeface="Calibri"/>
                              <a:cs typeface="Calibri"/>
                            </a:rPr>
                            <a:t>s</a:t>
                          </a:r>
                          <a:r>
                            <a:rPr sz="1050" b="0" spc="0">
                              <a:latin typeface="Calibri"/>
                              <a:cs typeface="Calibri"/>
                            </a:rPr>
                            <a:t>en</a:t>
                          </a:r>
                          <a:r>
                            <a:rPr sz="1050" b="0" spc="-10">
                              <a:latin typeface="Calibri"/>
                              <a:cs typeface="Calibri"/>
                            </a:rPr>
                            <a:t>t</a:t>
                          </a:r>
                          <a:r>
                            <a:rPr sz="1050" b="0" spc="0">
                              <a:latin typeface="Calibri"/>
                              <a:cs typeface="Calibri"/>
                            </a:rPr>
                            <a:t>e </a:t>
                          </a:r>
                          <a:r>
                            <a:rPr sz="1050" b="0" spc="-5">
                              <a:latin typeface="Calibri"/>
                              <a:cs typeface="Calibri"/>
                            </a:rPr>
                            <a:t>hacemo</a:t>
                          </a:r>
                          <a:r>
                            <a:rPr sz="1050" b="0" spc="0">
                              <a:latin typeface="Calibri"/>
                              <a:cs typeface="Calibri"/>
                            </a:rPr>
                            <a:t>s</a:t>
                          </a:r>
                          <a:r>
                            <a:rPr sz="1050" b="0" spc="5">
                              <a:latin typeface="Calibri"/>
                              <a:cs typeface="Calibri"/>
                            </a:rPr>
                            <a:t> </a:t>
                          </a:r>
                          <a:r>
                            <a:rPr sz="1050" b="0" spc="0">
                              <a:latin typeface="Calibri"/>
                              <a:cs typeface="Calibri"/>
                            </a:rPr>
                            <a:t>con</a:t>
                          </a:r>
                          <a:r>
                            <a:rPr sz="1050" b="0" spc="5">
                              <a:latin typeface="Calibri"/>
                              <a:cs typeface="Calibri"/>
                            </a:rPr>
                            <a:t>s</a:t>
                          </a:r>
                          <a:r>
                            <a:rPr sz="1050" b="0" spc="-10">
                              <a:latin typeface="Calibri"/>
                              <a:cs typeface="Calibri"/>
                            </a:rPr>
                            <a:t>t</a:t>
                          </a:r>
                          <a:r>
                            <a:rPr sz="1050" b="0" spc="-5">
                              <a:latin typeface="Calibri"/>
                              <a:cs typeface="Calibri"/>
                            </a:rPr>
                            <a:t>a</a:t>
                          </a:r>
                          <a:r>
                            <a:rPr sz="1050" b="0" spc="0">
                              <a:latin typeface="Calibri"/>
                              <a:cs typeface="Calibri"/>
                            </a:rPr>
                            <a:t>r </a:t>
                          </a:r>
                          <a:r>
                            <a:rPr sz="1050" b="0" spc="-5">
                              <a:latin typeface="Calibri"/>
                              <a:cs typeface="Calibri"/>
                            </a:rPr>
                            <a:t>qu</a:t>
                          </a:r>
                          <a:r>
                            <a:rPr sz="1050" b="0" spc="0">
                              <a:latin typeface="Calibri"/>
                              <a:cs typeface="Calibri"/>
                            </a:rPr>
                            <a:t>e</a:t>
                          </a:r>
                          <a:r>
                            <a:rPr sz="1050" b="0" spc="-5">
                              <a:latin typeface="Calibri"/>
                              <a:cs typeface="Calibri"/>
                            </a:rPr>
                            <a:t> </a:t>
                          </a:r>
                          <a:r>
                            <a:rPr sz="1050" b="0" spc="0">
                              <a:latin typeface="Calibri"/>
                              <a:cs typeface="Calibri"/>
                            </a:rPr>
                            <a:t>el</a:t>
                          </a:r>
                          <a:r>
                            <a:rPr sz="1050" b="0" spc="-5">
                              <a:latin typeface="Calibri"/>
                              <a:cs typeface="Calibri"/>
                            </a:rPr>
                            <a:t> </a:t>
                          </a:r>
                          <a:r>
                            <a:rPr sz="1050" b="0" spc="5">
                              <a:latin typeface="Calibri"/>
                              <a:cs typeface="Calibri"/>
                            </a:rPr>
                            <a:t>s</a:t>
                          </a:r>
                          <a:r>
                            <a:rPr sz="1050" b="0" spc="0">
                              <a:latin typeface="Calibri"/>
                              <a:cs typeface="Calibri"/>
                            </a:rPr>
                            <a:t>emirremo</a:t>
                          </a:r>
                          <a:r>
                            <a:rPr sz="1050" b="0" spc="-5">
                              <a:latin typeface="Calibri"/>
                              <a:cs typeface="Calibri"/>
                            </a:rPr>
                            <a:t>lque:</a:t>
                          </a:r>
                        </a:p>
                      </xdr:txBody>
                    </xdr:sp>
                    <xdr:sp macro="" textlink="">
                      <xdr:nvSpPr>
                        <xdr:cNvPr id="194" name="Textbox 76">
                          <a:extLst>
                            <a:ext uri="{FF2B5EF4-FFF2-40B4-BE49-F238E27FC236}">
                              <a16:creationId xmlns:a16="http://schemas.microsoft.com/office/drawing/2014/main" id="{00000000-0008-0000-0D00-0000C2000000}"/>
                            </a:ext>
                          </a:extLst>
                        </xdr:cNvPr>
                        <xdr:cNvSpPr txBox="1"/>
                      </xdr:nvSpPr>
                      <xdr:spPr>
                        <a:xfrm>
                          <a:off x="305802" y="1154690"/>
                          <a:ext cx="1867401" cy="213059"/>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lIns="0" tIns="0" rIns="0" bIns="0" anchor="ctr"/>
                        <a:lstStyle/>
                        <a:p>
                          <a:r>
                            <a:rPr lang="es-MX" sz="1050" b="0" spc="5">
                              <a:latin typeface="Calibri"/>
                              <a:cs typeface="Calibri"/>
                            </a:rPr>
                            <a:t>  </a:t>
                          </a:r>
                          <a:r>
                            <a:rPr sz="1050" b="0" spc="5">
                              <a:latin typeface="Calibri"/>
                              <a:cs typeface="Calibri"/>
                            </a:rPr>
                            <a:t>Mar</a:t>
                          </a:r>
                          <a:r>
                            <a:rPr sz="1050" b="0" spc="-25">
                              <a:latin typeface="Calibri"/>
                              <a:cs typeface="Calibri"/>
                            </a:rPr>
                            <a:t>c</a:t>
                          </a:r>
                          <a:r>
                            <a:rPr sz="1050" b="0" spc="5">
                              <a:latin typeface="Calibri"/>
                              <a:cs typeface="Calibri"/>
                            </a:rPr>
                            <a:t>a</a:t>
                          </a:r>
                          <a:r>
                            <a:rPr sz="1050" b="0" spc="0">
                              <a:latin typeface="Calibri"/>
                              <a:cs typeface="Calibri"/>
                            </a:rPr>
                            <a:t>:</a:t>
                          </a:r>
                          <a:r>
                            <a:rPr sz="1050" b="0" spc="-5">
                              <a:latin typeface="Calibri"/>
                              <a:cs typeface="Calibri"/>
                            </a:rPr>
                            <a:t> </a:t>
                          </a:r>
                        </a:p>
                      </xdr:txBody>
                    </xdr:sp>
                    <xdr:sp macro="" textlink="">
                      <xdr:nvSpPr>
                        <xdr:cNvPr id="195" name="Textbox 77">
                          <a:extLst>
                            <a:ext uri="{FF2B5EF4-FFF2-40B4-BE49-F238E27FC236}">
                              <a16:creationId xmlns:a16="http://schemas.microsoft.com/office/drawing/2014/main" id="{00000000-0008-0000-0D00-0000C3000000}"/>
                            </a:ext>
                          </a:extLst>
                        </xdr:cNvPr>
                        <xdr:cNvSpPr txBox="1"/>
                      </xdr:nvSpPr>
                      <xdr:spPr>
                        <a:xfrm>
                          <a:off x="2549190" y="1155030"/>
                          <a:ext cx="1541546" cy="213059"/>
                        </a:xfrm>
                        <a:prstGeom prst="rect">
                          <a:avLst/>
                        </a:prstGeom>
                        <a:grpFill/>
                      </xdr:spPr>
                      <xdr:style>
                        <a:lnRef idx="2">
                          <a:schemeClr val="dk1"/>
                        </a:lnRef>
                        <a:fillRef idx="1">
                          <a:schemeClr val="lt1"/>
                        </a:fillRef>
                        <a:effectRef idx="0">
                          <a:schemeClr val="dk1"/>
                        </a:effectRef>
                        <a:fontRef idx="minor">
                          <a:schemeClr val="dk1"/>
                        </a:fontRef>
                      </xdr:style>
                      <xdr:txBody>
                        <a:bodyPr vertOverflow="clip" lIns="0" tIns="0" rIns="0" bIns="0" anchor="ctr"/>
                        <a:lstStyle/>
                        <a:p>
                          <a:r>
                            <a:rPr lang="es-MX" sz="1050" b="0" spc="-5">
                              <a:latin typeface="Calibri"/>
                              <a:cs typeface="Calibri"/>
                            </a:rPr>
                            <a:t>  </a:t>
                          </a:r>
                          <a:r>
                            <a:rPr sz="1050" b="0" spc="-5">
                              <a:latin typeface="Calibri"/>
                              <a:cs typeface="Calibri"/>
                            </a:rPr>
                            <a:t>T</a:t>
                          </a:r>
                          <a:r>
                            <a:rPr sz="1050" b="0" spc="-10">
                              <a:latin typeface="Calibri"/>
                              <a:cs typeface="Calibri"/>
                            </a:rPr>
                            <a:t>i</a:t>
                          </a:r>
                          <a:r>
                            <a:rPr sz="1050" b="0" spc="5">
                              <a:latin typeface="Calibri"/>
                              <a:cs typeface="Calibri"/>
                            </a:rPr>
                            <a:t>p</a:t>
                          </a:r>
                          <a:r>
                            <a:rPr sz="1050" b="0" spc="0">
                              <a:latin typeface="Calibri"/>
                              <a:cs typeface="Calibri"/>
                            </a:rPr>
                            <a:t>o:</a:t>
                          </a:r>
                          <a:r>
                            <a:rPr sz="1050" b="0" spc="-5">
                              <a:latin typeface="Calibri"/>
                              <a:cs typeface="Calibri"/>
                            </a:rPr>
                            <a:t> </a:t>
                          </a:r>
                          <a:endParaRPr sz="1050" b="0" spc="0">
                            <a:latin typeface="Calibri"/>
                            <a:cs typeface="Calibri"/>
                          </a:endParaRPr>
                        </a:p>
                      </xdr:txBody>
                    </xdr:sp>
                    <xdr:sp macro="" textlink="">
                      <xdr:nvSpPr>
                        <xdr:cNvPr id="197" name="Textbox 79">
                          <a:extLst>
                            <a:ext uri="{FF2B5EF4-FFF2-40B4-BE49-F238E27FC236}">
                              <a16:creationId xmlns:a16="http://schemas.microsoft.com/office/drawing/2014/main" id="{00000000-0008-0000-0D00-0000C5000000}"/>
                            </a:ext>
                          </a:extLst>
                        </xdr:cNvPr>
                        <xdr:cNvSpPr txBox="1"/>
                      </xdr:nvSpPr>
                      <xdr:spPr>
                        <a:xfrm>
                          <a:off x="280737" y="1756609"/>
                          <a:ext cx="6241380" cy="326881"/>
                        </a:xfrm>
                        <a:prstGeom prst="rect">
                          <a:avLst/>
                        </a:prstGeom>
                        <a:grpFill/>
                      </xdr:spPr>
                      <xdr:txBody>
                        <a:bodyPr vertOverflow="clip" lIns="0" tIns="0" rIns="0" bIns="0" anchor="t"/>
                        <a:lstStyle/>
                        <a:p>
                          <a:r>
                            <a:rPr sz="900" b="0" spc="-10">
                              <a:latin typeface="Calibri"/>
                              <a:cs typeface="Calibri"/>
                            </a:rPr>
                            <a:t>C</a:t>
                          </a:r>
                          <a:r>
                            <a:rPr sz="900" b="0" spc="-5">
                              <a:latin typeface="Calibri"/>
                              <a:cs typeface="Calibri"/>
                            </a:rPr>
                            <a:t>umpl</a:t>
                          </a:r>
                          <a:r>
                            <a:rPr sz="900" b="0" spc="0">
                              <a:latin typeface="Calibri"/>
                              <a:cs typeface="Calibri"/>
                            </a:rPr>
                            <a:t>e c</a:t>
                          </a:r>
                          <a:r>
                            <a:rPr sz="900" b="0" spc="-5">
                              <a:latin typeface="Calibri"/>
                              <a:cs typeface="Calibri"/>
                            </a:rPr>
                            <a:t>o</a:t>
                          </a:r>
                          <a:r>
                            <a:rPr sz="900" b="0" spc="0">
                              <a:latin typeface="Calibri"/>
                              <a:cs typeface="Calibri"/>
                            </a:rPr>
                            <a:t>n</a:t>
                          </a:r>
                          <a:r>
                            <a:rPr sz="900" b="0" spc="-5">
                              <a:latin typeface="Calibri"/>
                              <a:cs typeface="Calibri"/>
                            </a:rPr>
                            <a:t> lo</a:t>
                          </a:r>
                          <a:r>
                            <a:rPr sz="900" b="0" spc="0">
                              <a:latin typeface="Calibri"/>
                              <a:cs typeface="Calibri"/>
                            </a:rPr>
                            <a:t>s</a:t>
                          </a:r>
                          <a:r>
                            <a:rPr sz="900" b="0" spc="5">
                              <a:latin typeface="Calibri"/>
                              <a:cs typeface="Calibri"/>
                            </a:rPr>
                            <a:t> </a:t>
                          </a:r>
                          <a:r>
                            <a:rPr sz="900" b="0" spc="0">
                              <a:latin typeface="Calibri"/>
                              <a:cs typeface="Calibri"/>
                            </a:rPr>
                            <a:t>re</a:t>
                          </a:r>
                          <a:r>
                            <a:rPr sz="900" b="0" spc="-5">
                              <a:latin typeface="Calibri"/>
                              <a:cs typeface="Calibri"/>
                            </a:rPr>
                            <a:t>que</a:t>
                          </a:r>
                          <a:r>
                            <a:rPr sz="900" b="0" spc="0">
                              <a:latin typeface="Calibri"/>
                              <a:cs typeface="Calibri"/>
                            </a:rPr>
                            <a:t>r</a:t>
                          </a:r>
                          <a:r>
                            <a:rPr sz="900" b="0" spc="-5">
                              <a:latin typeface="Calibri"/>
                              <a:cs typeface="Calibri"/>
                            </a:rPr>
                            <a:t>i</a:t>
                          </a:r>
                          <a:r>
                            <a:rPr sz="900" b="0" spc="0">
                              <a:latin typeface="Calibri"/>
                              <a:cs typeface="Calibri"/>
                            </a:rPr>
                            <a:t>m</a:t>
                          </a:r>
                          <a:r>
                            <a:rPr sz="900" b="0" spc="-5">
                              <a:latin typeface="Calibri"/>
                              <a:cs typeface="Calibri"/>
                            </a:rPr>
                            <a:t>i</a:t>
                          </a:r>
                          <a:r>
                            <a:rPr sz="900" b="0" spc="0">
                              <a:latin typeface="Calibri"/>
                              <a:cs typeface="Calibri"/>
                            </a:rPr>
                            <a:t>en</a:t>
                          </a:r>
                          <a:r>
                            <a:rPr sz="900" b="0" spc="-10">
                              <a:latin typeface="Calibri"/>
                              <a:cs typeface="Calibri"/>
                            </a:rPr>
                            <a:t>t</a:t>
                          </a:r>
                          <a:r>
                            <a:rPr sz="900" b="0" spc="-5">
                              <a:latin typeface="Calibri"/>
                              <a:cs typeface="Calibri"/>
                            </a:rPr>
                            <a:t>o</a:t>
                          </a:r>
                          <a:r>
                            <a:rPr sz="900" b="0" spc="0">
                              <a:latin typeface="Calibri"/>
                              <a:cs typeface="Calibri"/>
                            </a:rPr>
                            <a:t>s </a:t>
                          </a:r>
                          <a:r>
                            <a:rPr sz="900" b="0" spc="-5">
                              <a:latin typeface="Calibri"/>
                              <a:cs typeface="Calibri"/>
                            </a:rPr>
                            <a:t>d</a:t>
                          </a:r>
                          <a:r>
                            <a:rPr sz="900" b="0" spc="0">
                              <a:latin typeface="Calibri"/>
                              <a:cs typeface="Calibri"/>
                            </a:rPr>
                            <a:t>e</a:t>
                          </a:r>
                          <a:r>
                            <a:rPr sz="900" b="0" spc="-5">
                              <a:latin typeface="Calibri"/>
                              <a:cs typeface="Calibri"/>
                            </a:rPr>
                            <a:t> </a:t>
                          </a:r>
                          <a:r>
                            <a:rPr sz="900" b="0" spc="5">
                              <a:latin typeface="Calibri"/>
                              <a:cs typeface="Calibri"/>
                            </a:rPr>
                            <a:t>s</a:t>
                          </a:r>
                          <a:r>
                            <a:rPr sz="900" b="0" spc="0">
                              <a:latin typeface="Calibri"/>
                              <a:cs typeface="Calibri"/>
                            </a:rPr>
                            <a:t>eg</a:t>
                          </a:r>
                          <a:r>
                            <a:rPr sz="900" b="0" spc="-5">
                              <a:latin typeface="Calibri"/>
                              <a:cs typeface="Calibri"/>
                            </a:rPr>
                            <a:t>urida</a:t>
                          </a:r>
                          <a:r>
                            <a:rPr sz="900" b="0" spc="0">
                              <a:latin typeface="Calibri"/>
                              <a:cs typeface="Calibri"/>
                            </a:rPr>
                            <a:t>d</a:t>
                          </a:r>
                          <a:r>
                            <a:rPr sz="900" b="0" spc="-5">
                              <a:latin typeface="Calibri"/>
                              <a:cs typeface="Calibri"/>
                            </a:rPr>
                            <a:t> </a:t>
                          </a:r>
                          <a:r>
                            <a:rPr sz="900" b="0" spc="0">
                              <a:latin typeface="Calibri"/>
                              <a:cs typeface="Calibri"/>
                            </a:rPr>
                            <a:t>e</a:t>
                          </a:r>
                          <a:r>
                            <a:rPr sz="900" b="0" spc="5">
                              <a:latin typeface="Calibri"/>
                              <a:cs typeface="Calibri"/>
                            </a:rPr>
                            <a:t>s</a:t>
                          </a:r>
                          <a:r>
                            <a:rPr sz="900" b="0" spc="-10">
                              <a:latin typeface="Calibri"/>
                              <a:cs typeface="Calibri"/>
                            </a:rPr>
                            <a:t>t</a:t>
                          </a:r>
                          <a:r>
                            <a:rPr sz="900" b="0" spc="-5">
                              <a:latin typeface="Calibri"/>
                              <a:cs typeface="Calibri"/>
                            </a:rPr>
                            <a:t>abl</a:t>
                          </a:r>
                          <a:r>
                            <a:rPr sz="900" b="0" spc="0">
                              <a:latin typeface="Calibri"/>
                              <a:cs typeface="Calibri"/>
                            </a:rPr>
                            <a:t>ec</a:t>
                          </a:r>
                          <a:r>
                            <a:rPr sz="900" b="0" spc="-5">
                              <a:latin typeface="Calibri"/>
                              <a:cs typeface="Calibri"/>
                            </a:rPr>
                            <a:t>ido</a:t>
                          </a:r>
                          <a:r>
                            <a:rPr sz="900" b="0" spc="0">
                              <a:latin typeface="Calibri"/>
                              <a:cs typeface="Calibri"/>
                            </a:rPr>
                            <a:t>s en </a:t>
                          </a:r>
                          <a:r>
                            <a:rPr sz="900" b="0" spc="15">
                              <a:latin typeface="Calibri"/>
                              <a:cs typeface="Calibri"/>
                            </a:rPr>
                            <a:t>l</a:t>
                          </a:r>
                          <a:r>
                            <a:rPr sz="900" b="0" spc="0">
                              <a:latin typeface="Calibri"/>
                              <a:cs typeface="Calibri"/>
                            </a:rPr>
                            <a:t>a</a:t>
                          </a:r>
                          <a:r>
                            <a:rPr sz="900" b="0" spc="-5">
                              <a:latin typeface="Calibri"/>
                              <a:cs typeface="Calibri"/>
                            </a:rPr>
                            <a:t> </a:t>
                          </a:r>
                          <a:r>
                            <a:rPr sz="900" b="0" spc="0">
                              <a:latin typeface="Calibri"/>
                              <a:cs typeface="Calibri"/>
                            </a:rPr>
                            <a:t>N</a:t>
                          </a:r>
                          <a:r>
                            <a:rPr sz="900" b="0" spc="5">
                              <a:latin typeface="Calibri"/>
                              <a:cs typeface="Calibri"/>
                            </a:rPr>
                            <a:t>O</a:t>
                          </a:r>
                          <a:r>
                            <a:rPr sz="900" b="0" spc="10">
                              <a:latin typeface="Calibri"/>
                              <a:cs typeface="Calibri"/>
                            </a:rPr>
                            <a:t>M</a:t>
                          </a:r>
                          <a:r>
                            <a:rPr sz="900" b="0" spc="-5">
                              <a:latin typeface="Calibri"/>
                              <a:cs typeface="Calibri"/>
                            </a:rPr>
                            <a:t>-</a:t>
                          </a:r>
                          <a:r>
                            <a:rPr sz="900" b="0" spc="-10">
                              <a:latin typeface="Calibri"/>
                              <a:cs typeface="Calibri"/>
                            </a:rPr>
                            <a:t>035</a:t>
                          </a:r>
                          <a:r>
                            <a:rPr sz="900" b="0" spc="-5">
                              <a:latin typeface="Calibri"/>
                              <a:cs typeface="Calibri"/>
                            </a:rPr>
                            <a:t>-</a:t>
                          </a:r>
                          <a:r>
                            <a:rPr sz="900" b="0" spc="10">
                              <a:latin typeface="Calibri"/>
                              <a:cs typeface="Calibri"/>
                            </a:rPr>
                            <a:t>S</a:t>
                          </a:r>
                          <a:r>
                            <a:rPr sz="900" b="0" spc="-10">
                              <a:latin typeface="Calibri"/>
                              <a:cs typeface="Calibri"/>
                            </a:rPr>
                            <a:t>C</a:t>
                          </a:r>
                          <a:r>
                            <a:rPr sz="900" b="0" spc="5">
                              <a:latin typeface="Calibri"/>
                              <a:cs typeface="Calibri"/>
                            </a:rPr>
                            <a:t>T</a:t>
                          </a:r>
                          <a:r>
                            <a:rPr sz="900" b="0" spc="-5">
                              <a:latin typeface="Calibri"/>
                              <a:cs typeface="Calibri"/>
                            </a:rPr>
                            <a:t>2-</a:t>
                          </a:r>
                          <a:r>
                            <a:rPr sz="900" b="0" spc="-10">
                              <a:latin typeface="Calibri"/>
                              <a:cs typeface="Calibri"/>
                            </a:rPr>
                            <a:t>2</a:t>
                          </a:r>
                          <a:r>
                            <a:rPr sz="900" b="0" spc="10">
                              <a:latin typeface="Calibri"/>
                              <a:cs typeface="Calibri"/>
                            </a:rPr>
                            <a:t>0</a:t>
                          </a:r>
                          <a:r>
                            <a:rPr sz="900" b="0" spc="-10">
                              <a:latin typeface="Calibri"/>
                              <a:cs typeface="Calibri"/>
                            </a:rPr>
                            <a:t>1</a:t>
                          </a:r>
                          <a:r>
                            <a:rPr sz="900" b="0" spc="0">
                              <a:latin typeface="Calibri"/>
                              <a:cs typeface="Calibri"/>
                            </a:rPr>
                            <a:t>0</a:t>
                          </a:r>
                          <a:r>
                            <a:rPr sz="900" b="0" spc="-10">
                              <a:latin typeface="Calibri"/>
                              <a:cs typeface="Calibri"/>
                            </a:rPr>
                            <a:t> </a:t>
                          </a:r>
                          <a:r>
                            <a:rPr sz="900" b="0" spc="0">
                              <a:latin typeface="Calibri"/>
                              <a:cs typeface="Calibri"/>
                            </a:rPr>
                            <a:t>y</a:t>
                          </a:r>
                          <a:r>
                            <a:rPr sz="900" b="0" spc="-5">
                              <a:latin typeface="Calibri"/>
                              <a:cs typeface="Calibri"/>
                            </a:rPr>
                            <a:t> la</a:t>
                          </a:r>
                          <a:r>
                            <a:rPr sz="900" b="0" spc="0">
                              <a:latin typeface="Calibri"/>
                              <a:cs typeface="Calibri"/>
                            </a:rPr>
                            <a:t>s</a:t>
                          </a:r>
                          <a:r>
                            <a:rPr sz="900" b="0" spc="5">
                              <a:latin typeface="Calibri"/>
                              <a:cs typeface="Calibri"/>
                            </a:rPr>
                            <a:t> </a:t>
                          </a:r>
                          <a:r>
                            <a:rPr sz="900" b="0" spc="-5">
                              <a:latin typeface="Calibri"/>
                              <a:cs typeface="Calibri"/>
                            </a:rPr>
                            <a:t>prueba</a:t>
                          </a:r>
                          <a:r>
                            <a:rPr sz="900" b="0" spc="0">
                              <a:latin typeface="Calibri"/>
                              <a:cs typeface="Calibri"/>
                            </a:rPr>
                            <a:t>s </a:t>
                          </a:r>
                          <a:r>
                            <a:rPr sz="900" b="0" spc="-5">
                              <a:latin typeface="Calibri"/>
                              <a:cs typeface="Calibri"/>
                            </a:rPr>
                            <a:t>de</a:t>
                          </a:r>
                          <a:r>
                            <a:rPr sz="900" b="0" spc="5">
                              <a:latin typeface="Calibri"/>
                              <a:cs typeface="Calibri"/>
                            </a:rPr>
                            <a:t>s</a:t>
                          </a:r>
                          <a:r>
                            <a:rPr sz="900" b="0" spc="0">
                              <a:latin typeface="Calibri"/>
                              <a:cs typeface="Calibri"/>
                            </a:rPr>
                            <a:t>cr</a:t>
                          </a:r>
                          <a:r>
                            <a:rPr sz="900" b="0" spc="-5">
                              <a:latin typeface="Calibri"/>
                              <a:cs typeface="Calibri"/>
                            </a:rPr>
                            <a:t>i</a:t>
                          </a:r>
                          <a:r>
                            <a:rPr sz="900" b="0" spc="-10">
                              <a:latin typeface="Calibri"/>
                              <a:cs typeface="Calibri"/>
                            </a:rPr>
                            <a:t>t</a:t>
                          </a:r>
                          <a:r>
                            <a:rPr sz="900" b="0" spc="-5">
                              <a:latin typeface="Calibri"/>
                              <a:cs typeface="Calibri"/>
                            </a:rPr>
                            <a:t>a</a:t>
                          </a:r>
                          <a:r>
                            <a:rPr sz="900" b="0" spc="0">
                              <a:latin typeface="Calibri"/>
                              <a:cs typeface="Calibri"/>
                            </a:rPr>
                            <a:t>s</a:t>
                          </a:r>
                          <a:r>
                            <a:rPr sz="900" b="0" spc="5">
                              <a:latin typeface="Calibri"/>
                              <a:cs typeface="Calibri"/>
                            </a:rPr>
                            <a:t> </a:t>
                          </a:r>
                          <a:r>
                            <a:rPr sz="900" b="0" spc="0">
                              <a:latin typeface="Calibri"/>
                              <a:cs typeface="Calibri"/>
                            </a:rPr>
                            <a:t>en </a:t>
                          </a:r>
                          <a:r>
                            <a:rPr sz="900" b="0" spc="-5">
                              <a:latin typeface="Calibri"/>
                              <a:cs typeface="Calibri"/>
                            </a:rPr>
                            <a:t>di</a:t>
                          </a:r>
                          <a:r>
                            <a:rPr sz="900" b="0" spc="0">
                              <a:latin typeface="Calibri"/>
                              <a:cs typeface="Calibri"/>
                            </a:rPr>
                            <a:t>cha N</a:t>
                          </a:r>
                          <a:r>
                            <a:rPr sz="900" b="0" spc="10">
                              <a:latin typeface="Calibri"/>
                              <a:cs typeface="Calibri"/>
                            </a:rPr>
                            <a:t>O</a:t>
                          </a:r>
                          <a:r>
                            <a:rPr sz="900" b="0" spc="0">
                              <a:latin typeface="Calibri"/>
                              <a:cs typeface="Calibri"/>
                            </a:rPr>
                            <a:t>M</a:t>
                          </a:r>
                          <a:r>
                            <a:rPr sz="900" b="0" spc="-5">
                              <a:latin typeface="Calibri"/>
                              <a:cs typeface="Calibri"/>
                            </a:rPr>
                            <a:t> ha</a:t>
                          </a:r>
                          <a:r>
                            <a:rPr sz="900" b="0" spc="0">
                              <a:latin typeface="Calibri"/>
                              <a:cs typeface="Calibri"/>
                            </a:rPr>
                            <a:t>n</a:t>
                          </a:r>
                          <a:r>
                            <a:rPr sz="900" b="0" spc="-5">
                              <a:latin typeface="Calibri"/>
                              <a:cs typeface="Calibri"/>
                            </a:rPr>
                            <a:t> </a:t>
                          </a:r>
                          <a:r>
                            <a:rPr sz="900" b="0" spc="5">
                              <a:latin typeface="Calibri"/>
                              <a:cs typeface="Calibri"/>
                            </a:rPr>
                            <a:t>s</a:t>
                          </a:r>
                          <a:r>
                            <a:rPr sz="900" b="0" spc="-5">
                              <a:latin typeface="Calibri"/>
                              <a:cs typeface="Calibri"/>
                            </a:rPr>
                            <a:t>id</a:t>
                          </a:r>
                          <a:r>
                            <a:rPr sz="900" b="0" spc="0">
                              <a:latin typeface="Calibri"/>
                              <a:cs typeface="Calibri"/>
                            </a:rPr>
                            <a:t>o</a:t>
                          </a:r>
                          <a:r>
                            <a:rPr sz="900" b="0" spc="-5">
                              <a:latin typeface="Calibri"/>
                              <a:cs typeface="Calibri"/>
                            </a:rPr>
                            <a:t> </a:t>
                          </a:r>
                          <a:r>
                            <a:rPr sz="900" b="0" spc="0">
                              <a:latin typeface="Calibri"/>
                              <a:cs typeface="Calibri"/>
                            </a:rPr>
                            <a:t>re</a:t>
                          </a:r>
                          <a:r>
                            <a:rPr sz="900" b="0" spc="-5">
                              <a:latin typeface="Calibri"/>
                              <a:cs typeface="Calibri"/>
                            </a:rPr>
                            <a:t>ali</a:t>
                          </a:r>
                          <a:r>
                            <a:rPr sz="900" b="0" spc="0">
                              <a:latin typeface="Calibri"/>
                              <a:cs typeface="Calibri"/>
                            </a:rPr>
                            <a:t>z</a:t>
                          </a:r>
                          <a:r>
                            <a:rPr sz="900" b="0" spc="-5">
                              <a:latin typeface="Calibri"/>
                              <a:cs typeface="Calibri"/>
                            </a:rPr>
                            <a:t>ada</a:t>
                          </a:r>
                          <a:r>
                            <a:rPr sz="900" b="0" spc="0">
                              <a:latin typeface="Calibri"/>
                              <a:cs typeface="Calibri"/>
                            </a:rPr>
                            <a:t>s </a:t>
                          </a:r>
                          <a:r>
                            <a:rPr sz="900" b="0" spc="5">
                              <a:latin typeface="Calibri"/>
                              <a:cs typeface="Calibri"/>
                            </a:rPr>
                            <a:t>s</a:t>
                          </a:r>
                          <a:r>
                            <a:rPr sz="900" b="0" spc="-5">
                              <a:latin typeface="Calibri"/>
                              <a:cs typeface="Calibri"/>
                            </a:rPr>
                            <a:t>a</a:t>
                          </a:r>
                          <a:r>
                            <a:rPr sz="900" b="0" spc="-10">
                              <a:latin typeface="Calibri"/>
                              <a:cs typeface="Calibri"/>
                            </a:rPr>
                            <a:t>t</a:t>
                          </a:r>
                          <a:r>
                            <a:rPr sz="900" b="0" spc="-5">
                              <a:latin typeface="Calibri"/>
                              <a:cs typeface="Calibri"/>
                            </a:rPr>
                            <a:t>i</a:t>
                          </a:r>
                          <a:r>
                            <a:rPr sz="900" b="0" spc="5">
                              <a:latin typeface="Calibri"/>
                              <a:cs typeface="Calibri"/>
                            </a:rPr>
                            <a:t>s</a:t>
                          </a:r>
                          <a:r>
                            <a:rPr sz="900" b="0" spc="-5">
                              <a:latin typeface="Calibri"/>
                              <a:cs typeface="Calibri"/>
                            </a:rPr>
                            <a:t>fa</a:t>
                          </a:r>
                          <a:r>
                            <a:rPr sz="900" b="0" spc="0">
                              <a:latin typeface="Calibri"/>
                              <a:cs typeface="Calibri"/>
                            </a:rPr>
                            <a:t>c</a:t>
                          </a:r>
                          <a:r>
                            <a:rPr sz="900" b="0" spc="-10">
                              <a:latin typeface="Calibri"/>
                              <a:cs typeface="Calibri"/>
                            </a:rPr>
                            <a:t>t</a:t>
                          </a:r>
                          <a:r>
                            <a:rPr sz="900" b="0" spc="-5">
                              <a:latin typeface="Calibri"/>
                              <a:cs typeface="Calibri"/>
                            </a:rPr>
                            <a:t>or</a:t>
                          </a:r>
                          <a:r>
                            <a:rPr sz="900" b="0" spc="-10">
                              <a:latin typeface="Calibri"/>
                              <a:cs typeface="Calibri"/>
                            </a:rPr>
                            <a:t>i</a:t>
                          </a:r>
                          <a:r>
                            <a:rPr sz="900" b="0" spc="-5">
                              <a:latin typeface="Calibri"/>
                              <a:cs typeface="Calibri"/>
                            </a:rPr>
                            <a:t>a</a:t>
                          </a:r>
                          <a:r>
                            <a:rPr sz="900" b="0" spc="0">
                              <a:latin typeface="Calibri"/>
                              <a:cs typeface="Calibri"/>
                            </a:rPr>
                            <a:t>men</a:t>
                          </a:r>
                          <a:r>
                            <a:rPr sz="900" b="0" spc="-10">
                              <a:latin typeface="Calibri"/>
                              <a:cs typeface="Calibri"/>
                            </a:rPr>
                            <a:t>t</a:t>
                          </a:r>
                          <a:r>
                            <a:rPr sz="900" b="0" spc="0">
                              <a:latin typeface="Calibri"/>
                              <a:cs typeface="Calibri"/>
                            </a:rPr>
                            <a:t>e. L</a:t>
                          </a:r>
                          <a:r>
                            <a:rPr sz="900" b="0" spc="-5">
                              <a:latin typeface="Calibri"/>
                              <a:cs typeface="Calibri"/>
                            </a:rPr>
                            <a:t>o</a:t>
                          </a:r>
                          <a:r>
                            <a:rPr sz="900" b="0" spc="0">
                              <a:latin typeface="Calibri"/>
                              <a:cs typeface="Calibri"/>
                            </a:rPr>
                            <a:t>s </a:t>
                          </a:r>
                          <a:r>
                            <a:rPr sz="900" b="0" spc="-5">
                              <a:latin typeface="Calibri"/>
                              <a:cs typeface="Calibri"/>
                            </a:rPr>
                            <a:t>do</a:t>
                          </a:r>
                          <a:r>
                            <a:rPr sz="900" b="0" spc="0">
                              <a:latin typeface="Calibri"/>
                              <a:cs typeface="Calibri"/>
                            </a:rPr>
                            <a:t>cumen</a:t>
                          </a:r>
                          <a:r>
                            <a:rPr sz="900" b="0" spc="-10">
                              <a:latin typeface="Calibri"/>
                              <a:cs typeface="Calibri"/>
                            </a:rPr>
                            <a:t>t</a:t>
                          </a:r>
                          <a:r>
                            <a:rPr sz="900" b="0" spc="-5">
                              <a:latin typeface="Calibri"/>
                              <a:cs typeface="Calibri"/>
                            </a:rPr>
                            <a:t>o</a:t>
                          </a:r>
                          <a:r>
                            <a:rPr sz="900" b="0" spc="0">
                              <a:latin typeface="Calibri"/>
                              <a:cs typeface="Calibri"/>
                            </a:rPr>
                            <a:t>s </a:t>
                          </a:r>
                          <a:r>
                            <a:rPr sz="900" b="0" spc="-5">
                              <a:latin typeface="Calibri"/>
                              <a:cs typeface="Calibri"/>
                            </a:rPr>
                            <a:t>qu</a:t>
                          </a:r>
                          <a:r>
                            <a:rPr sz="900" b="0" spc="0">
                              <a:latin typeface="Calibri"/>
                              <a:cs typeface="Calibri"/>
                            </a:rPr>
                            <a:t>e</a:t>
                          </a:r>
                          <a:r>
                            <a:rPr sz="900" b="0" spc="-5">
                              <a:latin typeface="Calibri"/>
                              <a:cs typeface="Calibri"/>
                            </a:rPr>
                            <a:t> </a:t>
                          </a:r>
                          <a:r>
                            <a:rPr sz="900" b="0" spc="0">
                              <a:latin typeface="Calibri"/>
                              <a:cs typeface="Calibri"/>
                            </a:rPr>
                            <a:t>re</a:t>
                          </a:r>
                          <a:r>
                            <a:rPr sz="900" b="0" spc="5">
                              <a:latin typeface="Calibri"/>
                              <a:cs typeface="Calibri"/>
                            </a:rPr>
                            <a:t>s</a:t>
                          </a:r>
                          <a:r>
                            <a:rPr sz="900" b="0" spc="-5">
                              <a:latin typeface="Calibri"/>
                              <a:cs typeface="Calibri"/>
                            </a:rPr>
                            <a:t>palda</a:t>
                          </a:r>
                          <a:r>
                            <a:rPr sz="900" b="0" spc="0">
                              <a:latin typeface="Calibri"/>
                              <a:cs typeface="Calibri"/>
                            </a:rPr>
                            <a:t>n</a:t>
                          </a:r>
                          <a:r>
                            <a:rPr sz="900" b="0" spc="-5">
                              <a:latin typeface="Calibri"/>
                              <a:cs typeface="Calibri"/>
                            </a:rPr>
                            <a:t> </a:t>
                          </a:r>
                          <a:r>
                            <a:rPr sz="900" b="0" spc="0">
                              <a:latin typeface="Calibri"/>
                              <a:cs typeface="Calibri"/>
                            </a:rPr>
                            <a:t>a</a:t>
                          </a:r>
                          <a:r>
                            <a:rPr sz="900" b="0" spc="-5">
                              <a:latin typeface="Calibri"/>
                              <a:cs typeface="Calibri"/>
                            </a:rPr>
                            <a:t> </a:t>
                          </a:r>
                          <a:r>
                            <a:rPr sz="900" b="0" spc="0">
                              <a:latin typeface="Calibri"/>
                              <a:cs typeface="Calibri"/>
                            </a:rPr>
                            <a:t>e</a:t>
                          </a:r>
                          <a:r>
                            <a:rPr sz="900" b="0" spc="5">
                              <a:latin typeface="Calibri"/>
                              <a:cs typeface="Calibri"/>
                            </a:rPr>
                            <a:t>s</a:t>
                          </a:r>
                          <a:r>
                            <a:rPr sz="900" b="0" spc="-10">
                              <a:latin typeface="Calibri"/>
                              <a:cs typeface="Calibri"/>
                            </a:rPr>
                            <a:t>t</a:t>
                          </a:r>
                          <a:r>
                            <a:rPr sz="900" b="0" spc="0">
                              <a:latin typeface="Calibri"/>
                              <a:cs typeface="Calibri"/>
                            </a:rPr>
                            <a:t>a</a:t>
                          </a:r>
                          <a:r>
                            <a:rPr sz="900" b="0" spc="-5">
                              <a:latin typeface="Calibri"/>
                              <a:cs typeface="Calibri"/>
                            </a:rPr>
                            <a:t> </a:t>
                          </a:r>
                          <a:r>
                            <a:rPr sz="900" b="0" spc="20">
                              <a:latin typeface="Calibri"/>
                              <a:cs typeface="Calibri"/>
                            </a:rPr>
                            <a:t>c</a:t>
                          </a:r>
                          <a:r>
                            <a:rPr sz="900" b="0" spc="-5">
                              <a:latin typeface="Calibri"/>
                              <a:cs typeface="Calibri"/>
                            </a:rPr>
                            <a:t>on</a:t>
                          </a:r>
                          <a:r>
                            <a:rPr sz="900" b="0" spc="0">
                              <a:latin typeface="Calibri"/>
                              <a:cs typeface="Calibri"/>
                            </a:rPr>
                            <a:t>s</a:t>
                          </a:r>
                          <a:r>
                            <a:rPr sz="900" b="0" spc="-10">
                              <a:latin typeface="Calibri"/>
                              <a:cs typeface="Calibri"/>
                            </a:rPr>
                            <a:t>t</a:t>
                          </a:r>
                          <a:r>
                            <a:rPr sz="900" b="0" spc="-5">
                              <a:latin typeface="Calibri"/>
                              <a:cs typeface="Calibri"/>
                            </a:rPr>
                            <a:t>anci</a:t>
                          </a:r>
                          <a:r>
                            <a:rPr sz="900" b="0" spc="0">
                              <a:latin typeface="Calibri"/>
                              <a:cs typeface="Calibri"/>
                            </a:rPr>
                            <a:t>a</a:t>
                          </a:r>
                          <a:r>
                            <a:rPr sz="900" b="0" spc="-5">
                              <a:latin typeface="Calibri"/>
                              <a:cs typeface="Calibri"/>
                            </a:rPr>
                            <a:t> </a:t>
                          </a:r>
                          <a:r>
                            <a:rPr sz="900" b="0" spc="5">
                              <a:latin typeface="Calibri"/>
                              <a:cs typeface="Calibri"/>
                            </a:rPr>
                            <a:t>s</a:t>
                          </a:r>
                          <a:r>
                            <a:rPr sz="900" b="0" spc="0">
                              <a:latin typeface="Calibri"/>
                              <a:cs typeface="Calibri"/>
                            </a:rPr>
                            <a:t>e e</a:t>
                          </a:r>
                          <a:r>
                            <a:rPr sz="900" b="0" spc="-5">
                              <a:latin typeface="Calibri"/>
                              <a:cs typeface="Calibri"/>
                            </a:rPr>
                            <a:t>ncu</a:t>
                          </a:r>
                          <a:r>
                            <a:rPr sz="900" b="0" spc="0">
                              <a:latin typeface="Calibri"/>
                              <a:cs typeface="Calibri"/>
                            </a:rPr>
                            <a:t>e</a:t>
                          </a:r>
                          <a:r>
                            <a:rPr sz="900" b="0" spc="-5">
                              <a:latin typeface="Calibri"/>
                              <a:cs typeface="Calibri"/>
                            </a:rPr>
                            <a:t>n</a:t>
                          </a:r>
                          <a:r>
                            <a:rPr sz="900" b="0" spc="-10">
                              <a:latin typeface="Calibri"/>
                              <a:cs typeface="Calibri"/>
                            </a:rPr>
                            <a:t>t</a:t>
                          </a:r>
                          <a:r>
                            <a:rPr sz="900" b="0" spc="0">
                              <a:latin typeface="Calibri"/>
                              <a:cs typeface="Calibri"/>
                            </a:rPr>
                            <a:t>ran</a:t>
                          </a:r>
                          <a:r>
                            <a:rPr sz="900" b="0" spc="-5">
                              <a:latin typeface="Calibri"/>
                              <a:cs typeface="Calibri"/>
                            </a:rPr>
                            <a:t> </a:t>
                          </a:r>
                          <a:r>
                            <a:rPr sz="900" b="0" spc="0">
                              <a:latin typeface="Calibri"/>
                              <a:cs typeface="Calibri"/>
                            </a:rPr>
                            <a:t>en </a:t>
                          </a:r>
                          <a:r>
                            <a:rPr sz="900" b="0" spc="-5">
                              <a:latin typeface="Calibri"/>
                              <a:cs typeface="Calibri"/>
                            </a:rPr>
                            <a:t>nu</a:t>
                          </a:r>
                          <a:r>
                            <a:rPr sz="900" b="0" spc="0">
                              <a:latin typeface="Calibri"/>
                              <a:cs typeface="Calibri"/>
                            </a:rPr>
                            <a:t>e</a:t>
                          </a:r>
                          <a:r>
                            <a:rPr sz="900" b="0" spc="5">
                              <a:latin typeface="Calibri"/>
                              <a:cs typeface="Calibri"/>
                            </a:rPr>
                            <a:t>s</a:t>
                          </a:r>
                          <a:r>
                            <a:rPr sz="900" b="0" spc="-10">
                              <a:latin typeface="Calibri"/>
                              <a:cs typeface="Calibri"/>
                            </a:rPr>
                            <a:t>t</a:t>
                          </a:r>
                          <a:r>
                            <a:rPr sz="900" b="0" spc="0">
                              <a:latin typeface="Calibri"/>
                              <a:cs typeface="Calibri"/>
                            </a:rPr>
                            <a:t>ros</a:t>
                          </a:r>
                          <a:r>
                            <a:rPr sz="900" b="0" spc="5">
                              <a:latin typeface="Calibri"/>
                              <a:cs typeface="Calibri"/>
                            </a:rPr>
                            <a:t> </a:t>
                          </a:r>
                          <a:r>
                            <a:rPr sz="900" b="0" spc="-5">
                              <a:latin typeface="Calibri"/>
                              <a:cs typeface="Calibri"/>
                            </a:rPr>
                            <a:t>a</a:t>
                          </a:r>
                          <a:r>
                            <a:rPr sz="900" b="0" spc="0">
                              <a:latin typeface="Calibri"/>
                              <a:cs typeface="Calibri"/>
                            </a:rPr>
                            <a:t>rc</a:t>
                          </a:r>
                          <a:r>
                            <a:rPr sz="900" b="0" spc="-5">
                              <a:latin typeface="Calibri"/>
                              <a:cs typeface="Calibri"/>
                            </a:rPr>
                            <a:t>hi</a:t>
                          </a:r>
                          <a:r>
                            <a:rPr sz="900" b="0" spc="0">
                              <a:latin typeface="Calibri"/>
                              <a:cs typeface="Calibri"/>
                            </a:rPr>
                            <a:t>v</a:t>
                          </a:r>
                          <a:r>
                            <a:rPr sz="900" b="0" spc="-5">
                              <a:latin typeface="Calibri"/>
                              <a:cs typeface="Calibri"/>
                            </a:rPr>
                            <a:t>o</a:t>
                          </a:r>
                          <a:r>
                            <a:rPr sz="900" b="0" spc="5">
                              <a:latin typeface="Calibri"/>
                              <a:cs typeface="Calibri"/>
                            </a:rPr>
                            <a:t>s</a:t>
                          </a:r>
                          <a:r>
                            <a:rPr sz="900" b="0" spc="0">
                              <a:latin typeface="Calibri"/>
                              <a:cs typeface="Calibri"/>
                            </a:rPr>
                            <a:t>.</a:t>
                          </a:r>
                        </a:p>
                      </xdr:txBody>
                    </xdr:sp>
                  </xdr:grpSp>
                  <xdr:sp macro="" textlink="'END PRESUPUESTO'!H16">
                    <xdr:nvSpPr>
                      <xdr:cNvPr id="299" name="Textbox 73">
                        <a:extLst>
                          <a:ext uri="{FF2B5EF4-FFF2-40B4-BE49-F238E27FC236}">
                            <a16:creationId xmlns:a16="http://schemas.microsoft.com/office/drawing/2014/main" id="{00000000-0008-0000-0D00-00002B010000}"/>
                          </a:ext>
                        </a:extLst>
                      </xdr:cNvPr>
                      <xdr:cNvSpPr txBox="1"/>
                    </xdr:nvSpPr>
                    <xdr:spPr>
                      <a:xfrm>
                        <a:off x="1901952" y="10644492"/>
                        <a:ext cx="668986" cy="193075"/>
                      </a:xfrm>
                      <a:prstGeom prst="rect">
                        <a:avLst/>
                      </a:prstGeom>
                      <a:grpFill/>
                    </xdr:spPr>
                    <xdr:txBody>
                      <a:bodyPr vertOverflow="clip" lIns="0" tIns="0" rIns="0" bIns="0" anchor="ctr"/>
                      <a:lstStyle/>
                      <a:p>
                        <a:pPr algn="l"/>
                        <a:fld id="{496FC932-EF14-4765-98E0-089DECE6BBE1}" type="TxLink">
                          <a:rPr lang="en-US" sz="1050" b="0" i="0" u="none" strike="noStrike" spc="0">
                            <a:solidFill>
                              <a:srgbClr val="000000"/>
                            </a:solidFill>
                            <a:latin typeface="Calibri"/>
                            <a:ea typeface="Calibri"/>
                            <a:cs typeface="Calibri"/>
                          </a:rPr>
                          <a:pPr algn="l"/>
                          <a:t> </a:t>
                        </a:fld>
                        <a:endParaRPr sz="700" b="0" spc="0">
                          <a:latin typeface="Calibri"/>
                          <a:cs typeface="Calibri"/>
                        </a:endParaRPr>
                      </a:p>
                    </xdr:txBody>
                  </xdr:sp>
                </xdr:grpSp>
                <xdr:sp macro="" textlink="">
                  <xdr:nvSpPr>
                    <xdr:cNvPr id="297" name="CuadroTexto 296">
                      <a:extLst>
                        <a:ext uri="{FF2B5EF4-FFF2-40B4-BE49-F238E27FC236}">
                          <a16:creationId xmlns:a16="http://schemas.microsoft.com/office/drawing/2014/main" id="{00000000-0008-0000-0D00-000029010000}"/>
                        </a:ext>
                      </a:extLst>
                    </xdr:cNvPr>
                    <xdr:cNvSpPr txBox="1"/>
                  </xdr:nvSpPr>
                  <xdr:spPr>
                    <a:xfrm>
                      <a:off x="4265925" y="10614346"/>
                      <a:ext cx="2311473" cy="223560"/>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l"/>
                      <a:r>
                        <a:rPr lang="es-MX" sz="1050">
                          <a:latin typeface="+mn-lt"/>
                        </a:rPr>
                        <a:t>Fecha</a:t>
                      </a:r>
                      <a:r>
                        <a:rPr lang="es-MX" sz="1050" baseline="0">
                          <a:latin typeface="+mn-lt"/>
                        </a:rPr>
                        <a:t> de emision:</a:t>
                      </a:r>
                      <a:endParaRPr lang="es-MX" sz="1050">
                        <a:latin typeface="+mn-lt"/>
                      </a:endParaRPr>
                    </a:p>
                  </xdr:txBody>
                </xdr:sp>
                <xdr:sp macro="" textlink="$N$2">
                  <xdr:nvSpPr>
                    <xdr:cNvPr id="298" name="CuadroTexto 297">
                      <a:extLst>
                        <a:ext uri="{FF2B5EF4-FFF2-40B4-BE49-F238E27FC236}">
                          <a16:creationId xmlns:a16="http://schemas.microsoft.com/office/drawing/2014/main" id="{00000000-0008-0000-0D00-00002A010000}"/>
                        </a:ext>
                      </a:extLst>
                    </xdr:cNvPr>
                    <xdr:cNvSpPr txBox="1"/>
                  </xdr:nvSpPr>
                  <xdr:spPr>
                    <a:xfrm>
                      <a:off x="5388810" y="10657025"/>
                      <a:ext cx="1132335" cy="18054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25183620-7825-482A-96ED-65C26C81431F}" type="TxLink">
                        <a:rPr lang="en-US" sz="1100" b="0" i="0" u="none" strike="noStrike" baseline="0">
                          <a:solidFill>
                            <a:srgbClr val="000000"/>
                          </a:solidFill>
                          <a:latin typeface="Calibri"/>
                          <a:ea typeface="Calibri"/>
                          <a:cs typeface="Calibri"/>
                        </a:rPr>
                        <a:pPr algn="l"/>
                        <a:t>22/09/2026</a:t>
                      </a:fld>
                      <a:endParaRPr lang="es-MX" sz="1000">
                        <a:solidFill>
                          <a:schemeClr val="tx1"/>
                        </a:solidFill>
                        <a:latin typeface="+mn-lt"/>
                      </a:endParaRPr>
                    </a:p>
                  </xdr:txBody>
                </xdr:sp>
              </xdr:grpSp>
              <xdr:sp macro="" textlink="Ajustes!B16">
                <xdr:nvSpPr>
                  <xdr:cNvPr id="300" name="Textbox 76">
                    <a:extLst>
                      <a:ext uri="{FF2B5EF4-FFF2-40B4-BE49-F238E27FC236}">
                        <a16:creationId xmlns:a16="http://schemas.microsoft.com/office/drawing/2014/main" id="{00000000-0008-0000-0D00-00002C010000}"/>
                      </a:ext>
                    </a:extLst>
                  </xdr:cNvPr>
                  <xdr:cNvSpPr txBox="1"/>
                </xdr:nvSpPr>
                <xdr:spPr>
                  <a:xfrm>
                    <a:off x="1153601" y="11324267"/>
                    <a:ext cx="1355684" cy="166703"/>
                  </a:xfrm>
                  <a:prstGeom prst="rect">
                    <a:avLst/>
                  </a:prstGeom>
                  <a:grpFill/>
                </xdr:spPr>
                <xdr:txBody>
                  <a:bodyPr vertOverflow="clip" lIns="0" tIns="0" rIns="0" bIns="0" anchor="t"/>
                  <a:lstStyle/>
                  <a:p>
                    <a:fld id="{DDFFE27D-5CC8-47BF-860D-22BBEBF528CC}" type="TxLink">
                      <a:rPr lang="en-US" sz="1050" b="0" i="0" u="none" strike="noStrike" spc="-5">
                        <a:solidFill>
                          <a:srgbClr val="000000"/>
                        </a:solidFill>
                        <a:latin typeface="Calibri"/>
                        <a:ea typeface="Calibri"/>
                        <a:cs typeface="Calibri"/>
                      </a:rPr>
                      <a:pPr/>
                      <a:t>"REMOLQUES LEOLCA"</a:t>
                    </a:fld>
                    <a:endParaRPr sz="1050" b="0" spc="-5">
                      <a:latin typeface="Calibri"/>
                      <a:cs typeface="Calibri"/>
                    </a:endParaRPr>
                  </a:p>
                </xdr:txBody>
              </xdr:sp>
            </xdr:grpSp>
            <xdr:sp macro="" textlink="Ajustes!B10">
              <xdr:nvSpPr>
                <xdr:cNvPr id="301" name="Textbox 77">
                  <a:extLst>
                    <a:ext uri="{FF2B5EF4-FFF2-40B4-BE49-F238E27FC236}">
                      <a16:creationId xmlns:a16="http://schemas.microsoft.com/office/drawing/2014/main" id="{00000000-0008-0000-0D00-00002D010000}"/>
                    </a:ext>
                  </a:extLst>
                </xdr:cNvPr>
                <xdr:cNvSpPr txBox="1"/>
              </xdr:nvSpPr>
              <xdr:spPr>
                <a:xfrm>
                  <a:off x="3310275" y="11309950"/>
                  <a:ext cx="1143645" cy="179237"/>
                </a:xfrm>
                <a:prstGeom prst="rect">
                  <a:avLst/>
                </a:prstGeom>
                <a:grpFill/>
              </xdr:spPr>
              <xdr:txBody>
                <a:bodyPr vertOverflow="clip" lIns="0" tIns="0" rIns="0" bIns="0" anchor="ctr"/>
                <a:lstStyle/>
                <a:p>
                  <a:fld id="{22E8A3E6-840D-40F6-A420-048171D53008}" type="TxLink">
                    <a:rPr lang="en-US" sz="1100" b="0" i="0" u="none" strike="noStrike" spc="0">
                      <a:solidFill>
                        <a:srgbClr val="000000"/>
                      </a:solidFill>
                      <a:latin typeface="Calibri"/>
                      <a:ea typeface="Calibri"/>
                      <a:cs typeface="Calibri"/>
                    </a:rPr>
                    <a:pPr/>
                    <a:t>PLATAFORMA</a:t>
                  </a:fld>
                  <a:endParaRPr sz="1050" b="0" spc="0">
                    <a:latin typeface="Calibri"/>
                    <a:cs typeface="Calibri"/>
                  </a:endParaRPr>
                </a:p>
              </xdr:txBody>
            </xdr:sp>
            <xdr:sp macro="" textlink="Ajustes!B17">
              <xdr:nvSpPr>
                <xdr:cNvPr id="303" name="Textbox 78">
                  <a:extLst>
                    <a:ext uri="{FF2B5EF4-FFF2-40B4-BE49-F238E27FC236}">
                      <a16:creationId xmlns:a16="http://schemas.microsoft.com/office/drawing/2014/main" id="{00000000-0008-0000-0D00-00002F010000}"/>
                    </a:ext>
                  </a:extLst>
                </xdr:cNvPr>
                <xdr:cNvSpPr txBox="1"/>
              </xdr:nvSpPr>
              <xdr:spPr>
                <a:xfrm>
                  <a:off x="5139611" y="11288946"/>
                  <a:ext cx="1223573" cy="201924"/>
                </a:xfrm>
                <a:prstGeom prst="rect">
                  <a:avLst/>
                </a:prstGeom>
                <a:grpFill/>
              </xdr:spPr>
              <xdr:txBody>
                <a:bodyPr vertOverflow="clip" lIns="0" tIns="0" rIns="0" bIns="0" anchor="t"/>
                <a:lstStyle/>
                <a:p>
                  <a:fld id="{DD25CBAF-CF29-463C-B1D1-1BF1D2C4C575}" type="TxLink">
                    <a:rPr lang="en-US" sz="1100" b="0" i="0" u="none" strike="noStrike" spc="-5">
                      <a:solidFill>
                        <a:srgbClr val="000000"/>
                      </a:solidFill>
                      <a:latin typeface="Calibri"/>
                      <a:ea typeface="Calibri"/>
                      <a:cs typeface="Calibri"/>
                    </a:rPr>
                    <a:pPr/>
                    <a:t>México</a:t>
                  </a:fld>
                  <a:endParaRPr sz="1050" b="0" spc="0">
                    <a:latin typeface="Calibri"/>
                    <a:cs typeface="Calibri"/>
                  </a:endParaRPr>
                </a:p>
              </xdr:txBody>
            </xdr:sp>
            <xdr:sp macro="" textlink="$N$4">
              <xdr:nvSpPr>
                <xdr:cNvPr id="305" name="CuadroTexto 304">
                  <a:extLst>
                    <a:ext uri="{FF2B5EF4-FFF2-40B4-BE49-F238E27FC236}">
                      <a16:creationId xmlns:a16="http://schemas.microsoft.com/office/drawing/2014/main" id="{00000000-0008-0000-0D00-000031010000}"/>
                    </a:ext>
                  </a:extLst>
                </xdr:cNvPr>
                <xdr:cNvSpPr txBox="1"/>
              </xdr:nvSpPr>
              <xdr:spPr>
                <a:xfrm>
                  <a:off x="2158320" y="11624031"/>
                  <a:ext cx="1042601" cy="193074"/>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fld id="{F81591C8-64E2-4F7F-B279-9EDD1B1210CF}" type="TxLink">
                    <a:rPr lang="en-US" sz="1100" b="0" i="0" u="none" strike="noStrike">
                      <a:solidFill>
                        <a:srgbClr val="000000"/>
                      </a:solidFill>
                      <a:latin typeface="Calibri"/>
                      <a:ea typeface="Calibri"/>
                      <a:cs typeface="Calibri"/>
                    </a:rPr>
                    <a:pPr/>
                    <a:t>12/07/2023</a:t>
                  </a:fld>
                  <a:endParaRPr lang="es-MX" sz="1000"/>
                </a:p>
              </xdr:txBody>
            </xdr:sp>
            <xdr:sp macro="" textlink="$G$28">
              <xdr:nvSpPr>
                <xdr:cNvPr id="307" name="CuadroTexto 306">
                  <a:extLst>
                    <a:ext uri="{FF2B5EF4-FFF2-40B4-BE49-F238E27FC236}">
                      <a16:creationId xmlns:a16="http://schemas.microsoft.com/office/drawing/2014/main" id="{00000000-0008-0000-0D00-000033010000}"/>
                    </a:ext>
                  </a:extLst>
                </xdr:cNvPr>
                <xdr:cNvSpPr txBox="1"/>
              </xdr:nvSpPr>
              <xdr:spPr>
                <a:xfrm>
                  <a:off x="4402718" y="11590016"/>
                  <a:ext cx="1632999" cy="223079"/>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fld id="{00E90E8A-B5AA-49A3-B9D7-B3B5D83FC3CD}" type="TxLink">
                    <a:rPr lang="en-US" sz="1100" b="0" i="0" u="none" strike="noStrike">
                      <a:solidFill>
                        <a:srgbClr val="000000"/>
                      </a:solidFill>
                      <a:latin typeface="Calibri"/>
                      <a:ea typeface="Calibri"/>
                      <a:cs typeface="Calibri"/>
                    </a:rPr>
                    <a:pPr/>
                    <a:t>3A9HU38581RM299032</a:t>
                  </a:fld>
                  <a:endParaRPr lang="es-MX" sz="1050"/>
                </a:p>
              </xdr:txBody>
            </xdr:sp>
          </xdr:grpSp>
        </xdr:grpSp>
      </xdr:grpSp>
    </xdr:grpSp>
    <xdr:clientData/>
  </xdr:twoCellAnchor>
  <xdr:twoCellAnchor>
    <xdr:from>
      <xdr:col>1</xdr:col>
      <xdr:colOff>135410</xdr:colOff>
      <xdr:row>57</xdr:row>
      <xdr:rowOff>2057</xdr:rowOff>
    </xdr:from>
    <xdr:to>
      <xdr:col>8</xdr:col>
      <xdr:colOff>96795</xdr:colOff>
      <xdr:row>65</xdr:row>
      <xdr:rowOff>40673</xdr:rowOff>
    </xdr:to>
    <xdr:grpSp>
      <xdr:nvGrpSpPr>
        <xdr:cNvPr id="368" name="Grupo 367">
          <a:extLst>
            <a:ext uri="{FF2B5EF4-FFF2-40B4-BE49-F238E27FC236}">
              <a16:creationId xmlns:a16="http://schemas.microsoft.com/office/drawing/2014/main" id="{00000000-0008-0000-0D00-000070010000}"/>
            </a:ext>
          </a:extLst>
        </xdr:cNvPr>
        <xdr:cNvGrpSpPr/>
      </xdr:nvGrpSpPr>
      <xdr:grpSpPr>
        <a:xfrm>
          <a:off x="760250" y="10616717"/>
          <a:ext cx="5615425" cy="1501656"/>
          <a:chOff x="810913" y="10014119"/>
          <a:chExt cx="5496182" cy="1583211"/>
        </a:xfrm>
      </xdr:grpSpPr>
      <xdr:pic>
        <xdr:nvPicPr>
          <xdr:cNvPr id="366" name="image1.png">
            <a:extLst>
              <a:ext uri="{FF2B5EF4-FFF2-40B4-BE49-F238E27FC236}">
                <a16:creationId xmlns:a16="http://schemas.microsoft.com/office/drawing/2014/main" id="{00000000-0008-0000-0D00-00006E010000}"/>
              </a:ext>
            </a:extLst>
          </xdr:cNvPr>
          <xdr:cNvPicPr>
            <a:picLocks noChangeAspect="1"/>
          </xdr:cNvPicPr>
        </xdr:nvPicPr>
        <xdr:blipFill>
          <a:blip xmlns:r="http://schemas.openxmlformats.org/officeDocument/2006/relationships" r:embed="rId2">
            <a:clrChange>
              <a:clrFrom>
                <a:srgbClr val="7F7F7F">
                  <a:alpha val="49804"/>
                </a:srgbClr>
              </a:clrFrom>
              <a:clrTo>
                <a:srgbClr val="7F7F7F">
                  <a:alpha val="0"/>
                </a:srgbClr>
              </a:clrTo>
            </a:clrChange>
            <a:biLevel thresh="50000"/>
            <a:extLst>
              <a:ext uri="{BEBA8EAE-BF5A-486C-A8C5-ECC9F3942E4B}">
                <a14:imgProps xmlns:a14="http://schemas.microsoft.com/office/drawing/2010/main">
                  <a14:imgLayer r:embed="rId3">
                    <a14:imgEffect>
                      <a14:sharpenSoften amount="50000"/>
                    </a14:imgEffect>
                    <a14:imgEffect>
                      <a14:colorTemperature colorTemp="8800"/>
                    </a14:imgEffect>
                    <a14:imgEffect>
                      <a14:saturation sat="66000"/>
                    </a14:imgEffect>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1106959" y="10014119"/>
            <a:ext cx="4904739" cy="818515"/>
          </a:xfrm>
          <a:prstGeom prst="rect">
            <a:avLst/>
          </a:prstGeom>
        </xdr:spPr>
      </xdr:pic>
      <xdr:sp macro="" textlink="">
        <xdr:nvSpPr>
          <xdr:cNvPr id="367" name="CuadroTexto 366">
            <a:extLst>
              <a:ext uri="{FF2B5EF4-FFF2-40B4-BE49-F238E27FC236}">
                <a16:creationId xmlns:a16="http://schemas.microsoft.com/office/drawing/2014/main" id="{00000000-0008-0000-0D00-00006F010000}"/>
              </a:ext>
            </a:extLst>
          </xdr:cNvPr>
          <xdr:cNvSpPr txBox="1"/>
        </xdr:nvSpPr>
        <xdr:spPr>
          <a:xfrm>
            <a:off x="810913" y="10657702"/>
            <a:ext cx="5496182" cy="939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100"/>
              <a:t>FABRICACIÓN Y REPARACIÓN DE REMOLQUES Y SEMIRREMOLQUES</a:t>
            </a:r>
          </a:p>
          <a:p>
            <a:pPr algn="ctr"/>
            <a:r>
              <a:rPr lang="es-MX" sz="1100"/>
              <a:t>R.F.C. ALE1808225X5</a:t>
            </a:r>
          </a:p>
          <a:p>
            <a:pPr algn="ctr"/>
            <a:r>
              <a:rPr lang="es-MX" sz="1100"/>
              <a:t>Col. San Miguel Ayotla C.P. 73180, Ahuazotepec, Puebla.</a:t>
            </a:r>
          </a:p>
        </xdr:txBody>
      </xdr:sp>
    </xdr:grpSp>
    <xdr:clientData/>
  </xdr:twoCellAnchor>
  <xdr:twoCellAnchor>
    <xdr:from>
      <xdr:col>0</xdr:col>
      <xdr:colOff>77036</xdr:colOff>
      <xdr:row>76</xdr:row>
      <xdr:rowOff>71676</xdr:rowOff>
    </xdr:from>
    <xdr:to>
      <xdr:col>9</xdr:col>
      <xdr:colOff>311864</xdr:colOff>
      <xdr:row>102</xdr:row>
      <xdr:rowOff>6065</xdr:rowOff>
    </xdr:to>
    <xdr:grpSp>
      <xdr:nvGrpSpPr>
        <xdr:cNvPr id="4" name="Grupo 3">
          <a:extLst>
            <a:ext uri="{FF2B5EF4-FFF2-40B4-BE49-F238E27FC236}">
              <a16:creationId xmlns:a16="http://schemas.microsoft.com/office/drawing/2014/main" id="{00000000-0008-0000-0D00-000004000000}"/>
            </a:ext>
          </a:extLst>
        </xdr:cNvPr>
        <xdr:cNvGrpSpPr/>
      </xdr:nvGrpSpPr>
      <xdr:grpSpPr>
        <a:xfrm>
          <a:off x="77036" y="14161056"/>
          <a:ext cx="7153788" cy="4689269"/>
          <a:chOff x="166623" y="14262383"/>
          <a:chExt cx="7104927" cy="4954322"/>
        </a:xfrm>
      </xdr:grpSpPr>
      <xdr:grpSp>
        <xdr:nvGrpSpPr>
          <xdr:cNvPr id="3" name="Grupo 2">
            <a:extLst>
              <a:ext uri="{FF2B5EF4-FFF2-40B4-BE49-F238E27FC236}">
                <a16:creationId xmlns:a16="http://schemas.microsoft.com/office/drawing/2014/main" id="{00000000-0008-0000-0D00-000003000000}"/>
              </a:ext>
            </a:extLst>
          </xdr:cNvPr>
          <xdr:cNvGrpSpPr/>
        </xdr:nvGrpSpPr>
        <xdr:grpSpPr>
          <a:xfrm>
            <a:off x="166623" y="14262383"/>
            <a:ext cx="7104927" cy="4954322"/>
            <a:chOff x="166623" y="14262383"/>
            <a:chExt cx="7104927" cy="4954322"/>
          </a:xfrm>
        </xdr:grpSpPr>
        <xdr:grpSp>
          <xdr:nvGrpSpPr>
            <xdr:cNvPr id="247" name="Group 9">
              <a:extLst>
                <a:ext uri="{FF2B5EF4-FFF2-40B4-BE49-F238E27FC236}">
                  <a16:creationId xmlns:a16="http://schemas.microsoft.com/office/drawing/2014/main" id="{00000000-0008-0000-0D00-0000F7000000}"/>
                </a:ext>
              </a:extLst>
            </xdr:cNvPr>
            <xdr:cNvGrpSpPr/>
          </xdr:nvGrpSpPr>
          <xdr:grpSpPr>
            <a:xfrm>
              <a:off x="166623" y="14262383"/>
              <a:ext cx="7104927" cy="4954322"/>
              <a:chOff x="12700" y="12700"/>
              <a:chExt cx="6544309" cy="4661535"/>
            </a:xfrm>
          </xdr:grpSpPr>
          <xdr:pic>
            <xdr:nvPicPr>
              <xdr:cNvPr id="248" name="image3.jpeg">
                <a:extLst>
                  <a:ext uri="{FF2B5EF4-FFF2-40B4-BE49-F238E27FC236}">
                    <a16:creationId xmlns:a16="http://schemas.microsoft.com/office/drawing/2014/main" id="{00000000-0008-0000-0D00-0000F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45819" y="274954"/>
                <a:ext cx="5278120" cy="1778000"/>
              </a:xfrm>
              <a:prstGeom prst="rect">
                <a:avLst/>
              </a:prstGeom>
            </xdr:spPr>
          </xdr:pic>
          <xdr:sp macro="" textlink="">
            <xdr:nvSpPr>
              <xdr:cNvPr id="249" name="Shape 11">
                <a:extLst>
                  <a:ext uri="{FF2B5EF4-FFF2-40B4-BE49-F238E27FC236}">
                    <a16:creationId xmlns:a16="http://schemas.microsoft.com/office/drawing/2014/main" id="{00000000-0008-0000-0D00-0000F9000000}"/>
                  </a:ext>
                </a:extLst>
              </xdr:cNvPr>
              <xdr:cNvSpPr/>
            </xdr:nvSpPr>
            <xdr:spPr>
              <a:xfrm>
                <a:off x="12700" y="12700"/>
                <a:ext cx="6544309" cy="4661535"/>
              </a:xfrm>
              <a:custGeom>
                <a:avLst/>
                <a:gdLst/>
                <a:ahLst/>
                <a:cxnLst/>
                <a:rect l="0" t="0" r="0" b="0"/>
                <a:pathLst>
                  <a:path w="6544309" h="4661535">
                    <a:moveTo>
                      <a:pt x="634" y="1809750"/>
                    </a:moveTo>
                    <a:lnTo>
                      <a:pt x="6242684" y="1809750"/>
                    </a:lnTo>
                    <a:lnTo>
                      <a:pt x="6544309" y="1508125"/>
                    </a:lnTo>
                    <a:lnTo>
                      <a:pt x="6544309" y="0"/>
                    </a:lnTo>
                    <a:lnTo>
                      <a:pt x="302259" y="0"/>
                    </a:lnTo>
                    <a:lnTo>
                      <a:pt x="634" y="301625"/>
                    </a:lnTo>
                    <a:lnTo>
                      <a:pt x="634" y="1809750"/>
                    </a:lnTo>
                    <a:close/>
                  </a:path>
                  <a:path w="6544309" h="4661535">
                    <a:moveTo>
                      <a:pt x="0" y="1894204"/>
                    </a:moveTo>
                    <a:lnTo>
                      <a:pt x="6082665" y="1894204"/>
                    </a:lnTo>
                    <a:lnTo>
                      <a:pt x="6543675" y="2355215"/>
                    </a:lnTo>
                    <a:lnTo>
                      <a:pt x="6543675" y="4661535"/>
                    </a:lnTo>
                    <a:lnTo>
                      <a:pt x="461009" y="4661535"/>
                    </a:lnTo>
                    <a:lnTo>
                      <a:pt x="0" y="4200525"/>
                    </a:lnTo>
                    <a:lnTo>
                      <a:pt x="0" y="1894204"/>
                    </a:lnTo>
                    <a:close/>
                  </a:path>
                </a:pathLst>
              </a:custGeom>
              <a:ln w="25400">
                <a:solidFill>
                  <a:srgbClr val="385D88"/>
                </a:solidFill>
              </a:ln>
            </xdr:spPr>
          </xdr:sp>
          <xdr:sp macro="" textlink="">
            <xdr:nvSpPr>
              <xdr:cNvPr id="277" name="Textbox 39">
                <a:extLst>
                  <a:ext uri="{FF2B5EF4-FFF2-40B4-BE49-F238E27FC236}">
                    <a16:creationId xmlns:a16="http://schemas.microsoft.com/office/drawing/2014/main" id="{00000000-0008-0000-0D00-000015010000}"/>
                  </a:ext>
                </a:extLst>
              </xdr:cNvPr>
              <xdr:cNvSpPr txBox="1"/>
            </xdr:nvSpPr>
            <xdr:spPr>
              <a:xfrm>
                <a:off x="465756" y="65336"/>
                <a:ext cx="5724561" cy="188993"/>
              </a:xfrm>
              <a:prstGeom prst="rect">
                <a:avLst/>
              </a:prstGeom>
            </xdr:spPr>
            <xdr:txBody>
              <a:bodyPr vertOverflow="clip" lIns="0" tIns="0" rIns="0" bIns="0" anchor="t"/>
              <a:lstStyle/>
              <a:p>
                <a:r>
                  <a:rPr sz="1050" b="0" spc="-5">
                    <a:latin typeface="Calibri"/>
                    <a:cs typeface="Calibri"/>
                  </a:rPr>
                  <a:t>E</a:t>
                </a:r>
                <a:r>
                  <a:rPr sz="1050" b="0" spc="0">
                    <a:latin typeface="Calibri"/>
                    <a:cs typeface="Calibri"/>
                  </a:rPr>
                  <a:t>l</a:t>
                </a:r>
                <a:r>
                  <a:rPr sz="1050" b="0" spc="-10">
                    <a:latin typeface="Calibri"/>
                    <a:cs typeface="Calibri"/>
                  </a:rPr>
                  <a:t> </a:t>
                </a:r>
                <a:r>
                  <a:rPr sz="1050" b="0" spc="5">
                    <a:latin typeface="Calibri"/>
                    <a:cs typeface="Calibri"/>
                  </a:rPr>
                  <a:t>s</a:t>
                </a:r>
                <a:r>
                  <a:rPr sz="1050" b="0" spc="-10">
                    <a:latin typeface="Calibri"/>
                    <a:cs typeface="Calibri"/>
                  </a:rPr>
                  <a:t>e</a:t>
                </a:r>
                <a:r>
                  <a:rPr sz="1050" b="0" spc="0">
                    <a:latin typeface="Calibri"/>
                    <a:cs typeface="Calibri"/>
                  </a:rPr>
                  <a:t>m</a:t>
                </a:r>
                <a:r>
                  <a:rPr sz="1050" b="0" spc="-10">
                    <a:latin typeface="Calibri"/>
                    <a:cs typeface="Calibri"/>
                  </a:rPr>
                  <a:t>i</a:t>
                </a:r>
                <a:r>
                  <a:rPr sz="1050" b="0" spc="5">
                    <a:latin typeface="Calibri"/>
                    <a:cs typeface="Calibri"/>
                  </a:rPr>
                  <a:t>rr</a:t>
                </a:r>
                <a:r>
                  <a:rPr sz="1050" b="0" spc="-10">
                    <a:latin typeface="Calibri"/>
                    <a:cs typeface="Calibri"/>
                  </a:rPr>
                  <a:t>e</a:t>
                </a:r>
                <a:r>
                  <a:rPr sz="1050" b="0" spc="0">
                    <a:latin typeface="Calibri"/>
                    <a:cs typeface="Calibri"/>
                  </a:rPr>
                  <a:t>m</a:t>
                </a:r>
                <a:r>
                  <a:rPr sz="1050" b="0" spc="5">
                    <a:latin typeface="Calibri"/>
                    <a:cs typeface="Calibri"/>
                  </a:rPr>
                  <a:t>o</a:t>
                </a:r>
                <a:r>
                  <a:rPr sz="1050" b="0" spc="-10">
                    <a:latin typeface="Calibri"/>
                    <a:cs typeface="Calibri"/>
                  </a:rPr>
                  <a:t>l</a:t>
                </a:r>
                <a:r>
                  <a:rPr sz="1050" b="0" spc="5">
                    <a:latin typeface="Calibri"/>
                    <a:cs typeface="Calibri"/>
                  </a:rPr>
                  <a:t>qu</a:t>
                </a:r>
                <a:r>
                  <a:rPr sz="1050" b="0" spc="0">
                    <a:latin typeface="Calibri"/>
                    <a:cs typeface="Calibri"/>
                  </a:rPr>
                  <a:t>e</a:t>
                </a:r>
                <a:r>
                  <a:rPr sz="1050" b="0" spc="-15">
                    <a:latin typeface="Calibri"/>
                    <a:cs typeface="Calibri"/>
                  </a:rPr>
                  <a:t> </a:t>
                </a:r>
                <a:r>
                  <a:rPr sz="1050" b="0" spc="0">
                    <a:latin typeface="Calibri"/>
                    <a:cs typeface="Calibri"/>
                  </a:rPr>
                  <a:t>c</a:t>
                </a:r>
                <a:r>
                  <a:rPr sz="1050" b="0" spc="5">
                    <a:latin typeface="Calibri"/>
                    <a:cs typeface="Calibri"/>
                  </a:rPr>
                  <a:t>u</a:t>
                </a:r>
                <a:r>
                  <a:rPr sz="1050" b="0" spc="-10">
                    <a:latin typeface="Calibri"/>
                    <a:cs typeface="Calibri"/>
                  </a:rPr>
                  <a:t>e</a:t>
                </a:r>
                <a:r>
                  <a:rPr sz="1050" b="0" spc="5">
                    <a:latin typeface="Calibri"/>
                    <a:cs typeface="Calibri"/>
                  </a:rPr>
                  <a:t>n</a:t>
                </a:r>
                <a:r>
                  <a:rPr sz="1050" b="0" spc="0">
                    <a:latin typeface="Calibri"/>
                    <a:cs typeface="Calibri"/>
                  </a:rPr>
                  <a:t>ta con </a:t>
                </a:r>
                <a:r>
                  <a:rPr sz="1050" b="0" spc="-10">
                    <a:latin typeface="Calibri"/>
                    <a:cs typeface="Calibri"/>
                  </a:rPr>
                  <a:t>l</a:t>
                </a:r>
                <a:r>
                  <a:rPr sz="1050" b="0" spc="5">
                    <a:latin typeface="Calibri"/>
                    <a:cs typeface="Calibri"/>
                  </a:rPr>
                  <a:t>a</a:t>
                </a:r>
                <a:r>
                  <a:rPr sz="1050" b="0" spc="0">
                    <a:latin typeface="Calibri"/>
                    <a:cs typeface="Calibri"/>
                  </a:rPr>
                  <a:t>s </a:t>
                </a:r>
                <a:r>
                  <a:rPr sz="1050" b="0" spc="5">
                    <a:latin typeface="Calibri"/>
                    <a:cs typeface="Calibri"/>
                  </a:rPr>
                  <a:t>s</a:t>
                </a:r>
                <a:r>
                  <a:rPr sz="1050" b="0" spc="-10">
                    <a:latin typeface="Calibri"/>
                    <a:cs typeface="Calibri"/>
                  </a:rPr>
                  <a:t>i</a:t>
                </a:r>
                <a:r>
                  <a:rPr sz="1050" b="0" spc="-5">
                    <a:latin typeface="Calibri"/>
                    <a:cs typeface="Calibri"/>
                  </a:rPr>
                  <a:t>g</a:t>
                </a:r>
                <a:r>
                  <a:rPr sz="1050" b="0" spc="5">
                    <a:latin typeface="Calibri"/>
                    <a:cs typeface="Calibri"/>
                  </a:rPr>
                  <a:t>u</a:t>
                </a:r>
                <a:r>
                  <a:rPr sz="1050" b="0" spc="-10">
                    <a:latin typeface="Calibri"/>
                    <a:cs typeface="Calibri"/>
                  </a:rPr>
                  <a:t>ie</a:t>
                </a:r>
                <a:r>
                  <a:rPr sz="1050" b="0" spc="5">
                    <a:latin typeface="Calibri"/>
                    <a:cs typeface="Calibri"/>
                  </a:rPr>
                  <a:t>n</a:t>
                </a:r>
                <a:r>
                  <a:rPr sz="1050" b="0" spc="0">
                    <a:latin typeface="Calibri"/>
                    <a:cs typeface="Calibri"/>
                  </a:rPr>
                  <a:t>t</a:t>
                </a:r>
                <a:r>
                  <a:rPr sz="1050" b="0" spc="-10">
                    <a:latin typeface="Calibri"/>
                    <a:cs typeface="Calibri"/>
                  </a:rPr>
                  <a:t>e</a:t>
                </a:r>
                <a:r>
                  <a:rPr sz="1050" b="0" spc="0">
                    <a:latin typeface="Calibri"/>
                    <a:cs typeface="Calibri"/>
                  </a:rPr>
                  <a:t>s </a:t>
                </a:r>
                <a:r>
                  <a:rPr sz="1050" b="0" spc="-10">
                    <a:latin typeface="Calibri"/>
                    <a:cs typeface="Calibri"/>
                  </a:rPr>
                  <a:t>e</a:t>
                </a:r>
                <a:r>
                  <a:rPr sz="1050" b="0" spc="5">
                    <a:latin typeface="Calibri"/>
                    <a:cs typeface="Calibri"/>
                  </a:rPr>
                  <a:t>sp</a:t>
                </a:r>
                <a:r>
                  <a:rPr sz="1050" b="0" spc="-10">
                    <a:latin typeface="Calibri"/>
                    <a:cs typeface="Calibri"/>
                  </a:rPr>
                  <a:t>e</a:t>
                </a:r>
                <a:r>
                  <a:rPr sz="1050" b="0" spc="0">
                    <a:latin typeface="Calibri"/>
                    <a:cs typeface="Calibri"/>
                  </a:rPr>
                  <a:t>c</a:t>
                </a:r>
                <a:r>
                  <a:rPr sz="1050" b="0" spc="-10">
                    <a:latin typeface="Calibri"/>
                    <a:cs typeface="Calibri"/>
                  </a:rPr>
                  <a:t>i</a:t>
                </a:r>
                <a:r>
                  <a:rPr sz="1050" b="0" spc="0">
                    <a:latin typeface="Calibri"/>
                    <a:cs typeface="Calibri"/>
                  </a:rPr>
                  <a:t>f</a:t>
                </a:r>
                <a:r>
                  <a:rPr sz="1050" b="0" spc="-10">
                    <a:latin typeface="Calibri"/>
                    <a:cs typeface="Calibri"/>
                  </a:rPr>
                  <a:t>i</a:t>
                </a:r>
                <a:r>
                  <a:rPr sz="1050" b="0" spc="0">
                    <a:latin typeface="Calibri"/>
                    <a:cs typeface="Calibri"/>
                  </a:rPr>
                  <a:t>c</a:t>
                </a:r>
                <a:r>
                  <a:rPr sz="1050" b="0" spc="5">
                    <a:latin typeface="Calibri"/>
                    <a:cs typeface="Calibri"/>
                  </a:rPr>
                  <a:t>a</a:t>
                </a:r>
                <a:r>
                  <a:rPr sz="1050" b="0" spc="0">
                    <a:latin typeface="Calibri"/>
                    <a:cs typeface="Calibri"/>
                  </a:rPr>
                  <a:t>c</a:t>
                </a:r>
                <a:r>
                  <a:rPr sz="1050" b="0" spc="-10">
                    <a:latin typeface="Calibri"/>
                    <a:cs typeface="Calibri"/>
                  </a:rPr>
                  <a:t>i</a:t>
                </a:r>
                <a:r>
                  <a:rPr sz="1050" b="0" spc="0">
                    <a:latin typeface="Calibri"/>
                    <a:cs typeface="Calibri"/>
                  </a:rPr>
                  <a:t>o</a:t>
                </a:r>
                <a:r>
                  <a:rPr sz="1050" b="0" spc="5">
                    <a:latin typeface="Calibri"/>
                    <a:cs typeface="Calibri"/>
                  </a:rPr>
                  <a:t>n</a:t>
                </a:r>
                <a:r>
                  <a:rPr sz="1050" b="0" spc="-10">
                    <a:latin typeface="Calibri"/>
                    <a:cs typeface="Calibri"/>
                  </a:rPr>
                  <a:t>e</a:t>
                </a:r>
                <a:r>
                  <a:rPr sz="1050" b="0" spc="0">
                    <a:latin typeface="Calibri"/>
                    <a:cs typeface="Calibri"/>
                  </a:rPr>
                  <a:t>s t</a:t>
                </a:r>
                <a:r>
                  <a:rPr sz="1050" b="0" spc="-10">
                    <a:latin typeface="Calibri"/>
                    <a:cs typeface="Calibri"/>
                  </a:rPr>
                  <a:t>é</a:t>
                </a:r>
                <a:r>
                  <a:rPr sz="1050" b="0" spc="0">
                    <a:latin typeface="Calibri"/>
                    <a:cs typeface="Calibri"/>
                  </a:rPr>
                  <a:t>c</a:t>
                </a:r>
                <a:r>
                  <a:rPr sz="1050" b="0" spc="5">
                    <a:latin typeface="Calibri"/>
                    <a:cs typeface="Calibri"/>
                  </a:rPr>
                  <a:t>n</a:t>
                </a:r>
                <a:r>
                  <a:rPr sz="1050" b="0" spc="-10">
                    <a:latin typeface="Calibri"/>
                    <a:cs typeface="Calibri"/>
                  </a:rPr>
                  <a:t>i</a:t>
                </a:r>
                <a:r>
                  <a:rPr sz="1050" b="0" spc="0">
                    <a:latin typeface="Calibri"/>
                    <a:cs typeface="Calibri"/>
                  </a:rPr>
                  <a:t>c</a:t>
                </a:r>
                <a:r>
                  <a:rPr sz="1050" b="0" spc="5">
                    <a:latin typeface="Calibri"/>
                    <a:cs typeface="Calibri"/>
                  </a:rPr>
                  <a:t>a</a:t>
                </a:r>
                <a:r>
                  <a:rPr sz="1050" b="0" spc="0">
                    <a:latin typeface="Calibri"/>
                    <a:cs typeface="Calibri"/>
                  </a:rPr>
                  <a:t>s y</a:t>
                </a:r>
                <a:r>
                  <a:rPr sz="1050" b="0" spc="-15">
                    <a:latin typeface="Calibri"/>
                    <a:cs typeface="Calibri"/>
                  </a:rPr>
                  <a:t> </a:t>
                </a:r>
                <a:r>
                  <a:rPr sz="1050" b="0" spc="5">
                    <a:latin typeface="Calibri"/>
                    <a:cs typeface="Calibri"/>
                  </a:rPr>
                  <a:t>d</a:t>
                </a:r>
                <a:r>
                  <a:rPr sz="1050" b="0" spc="0">
                    <a:latin typeface="Calibri"/>
                    <a:cs typeface="Calibri"/>
                  </a:rPr>
                  <a:t>e</a:t>
                </a:r>
                <a:r>
                  <a:rPr sz="1050" b="0" spc="-15">
                    <a:latin typeface="Calibri"/>
                    <a:cs typeface="Calibri"/>
                  </a:rPr>
                  <a:t> </a:t>
                </a:r>
                <a:r>
                  <a:rPr sz="1050" b="0" spc="5">
                    <a:latin typeface="Calibri"/>
                    <a:cs typeface="Calibri"/>
                  </a:rPr>
                  <a:t>s</a:t>
                </a:r>
                <a:r>
                  <a:rPr sz="1050" b="0" spc="-10">
                    <a:latin typeface="Calibri"/>
                    <a:cs typeface="Calibri"/>
                  </a:rPr>
                  <a:t>e</a:t>
                </a:r>
                <a:r>
                  <a:rPr sz="1050" b="0" spc="-5">
                    <a:latin typeface="Calibri"/>
                    <a:cs typeface="Calibri"/>
                  </a:rPr>
                  <a:t>g</a:t>
                </a:r>
                <a:r>
                  <a:rPr sz="1050" b="0" spc="5">
                    <a:latin typeface="Calibri"/>
                    <a:cs typeface="Calibri"/>
                  </a:rPr>
                  <a:t>ur</a:t>
                </a:r>
                <a:r>
                  <a:rPr sz="1050" b="0" spc="-10">
                    <a:latin typeface="Calibri"/>
                    <a:cs typeface="Calibri"/>
                  </a:rPr>
                  <a:t>i</a:t>
                </a:r>
                <a:r>
                  <a:rPr sz="1050" b="0" spc="5">
                    <a:latin typeface="Calibri"/>
                    <a:cs typeface="Calibri"/>
                  </a:rPr>
                  <a:t>dad</a:t>
                </a:r>
                <a:r>
                  <a:rPr sz="1050" b="0" spc="0">
                    <a:latin typeface="Calibri"/>
                    <a:cs typeface="Calibri"/>
                  </a:rPr>
                  <a:t>:</a:t>
                </a:r>
              </a:p>
            </xdr:txBody>
          </xdr:sp>
        </xdr:grpSp>
        <xdr:grpSp>
          <xdr:nvGrpSpPr>
            <xdr:cNvPr id="319" name="Grupo 318">
              <a:extLst>
                <a:ext uri="{FF2B5EF4-FFF2-40B4-BE49-F238E27FC236}">
                  <a16:creationId xmlns:a16="http://schemas.microsoft.com/office/drawing/2014/main" id="{00000000-0008-0000-0D00-00003F010000}"/>
                </a:ext>
              </a:extLst>
            </xdr:cNvPr>
            <xdr:cNvGrpSpPr/>
          </xdr:nvGrpSpPr>
          <xdr:grpSpPr>
            <a:xfrm>
              <a:off x="404635" y="14544932"/>
              <a:ext cx="2079587" cy="244561"/>
              <a:chOff x="617838" y="13013210"/>
              <a:chExt cx="1737669" cy="218818"/>
            </a:xfrm>
            <a:noFill/>
          </xdr:grpSpPr>
          <xdr:sp macro="" textlink="">
            <xdr:nvSpPr>
              <xdr:cNvPr id="317" name="CuadroTexto 316">
                <a:extLst>
                  <a:ext uri="{FF2B5EF4-FFF2-40B4-BE49-F238E27FC236}">
                    <a16:creationId xmlns:a16="http://schemas.microsoft.com/office/drawing/2014/main" id="{00000000-0008-0000-0D00-00003D010000}"/>
                  </a:ext>
                </a:extLst>
              </xdr:cNvPr>
              <xdr:cNvSpPr txBox="1"/>
            </xdr:nvSpPr>
            <xdr:spPr>
              <a:xfrm>
                <a:off x="617838" y="13013210"/>
                <a:ext cx="1737669" cy="218818"/>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r>
                  <a:rPr lang="es-MX" sz="1100"/>
                  <a:t>Peso</a:t>
                </a:r>
                <a:r>
                  <a:rPr lang="es-MX" sz="1100" baseline="0"/>
                  <a:t> vehicular:</a:t>
                </a:r>
                <a:endParaRPr lang="es-MX" sz="1100"/>
              </a:p>
            </xdr:txBody>
          </xdr:sp>
          <xdr:sp macro="" textlink="Ajustes!B21">
            <xdr:nvSpPr>
              <xdr:cNvPr id="318" name="CuadroTexto 317">
                <a:extLst>
                  <a:ext uri="{FF2B5EF4-FFF2-40B4-BE49-F238E27FC236}">
                    <a16:creationId xmlns:a16="http://schemas.microsoft.com/office/drawing/2014/main" id="{00000000-0008-0000-0D00-00003E010000}"/>
                  </a:ext>
                </a:extLst>
              </xdr:cNvPr>
              <xdr:cNvSpPr txBox="1"/>
            </xdr:nvSpPr>
            <xdr:spPr>
              <a:xfrm>
                <a:off x="1608952" y="13038953"/>
                <a:ext cx="733683" cy="180201"/>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E6DC517E-95A8-483C-AF4A-CD26C5B68A23}" type="TxLink">
                  <a:rPr lang="en-US" sz="1100" b="0" i="0" u="none" strike="noStrike">
                    <a:solidFill>
                      <a:srgbClr val="000000"/>
                    </a:solidFill>
                    <a:latin typeface="Calibri"/>
                    <a:ea typeface="Calibri"/>
                    <a:cs typeface="Calibri"/>
                  </a:rPr>
                  <a:pPr/>
                  <a:t>0,000 kg</a:t>
                </a:fld>
                <a:endParaRPr lang="es-MX" sz="1100"/>
              </a:p>
            </xdr:txBody>
          </xdr:sp>
        </xdr:grpSp>
        <xdr:grpSp>
          <xdr:nvGrpSpPr>
            <xdr:cNvPr id="320" name="Grupo 319">
              <a:extLst>
                <a:ext uri="{FF2B5EF4-FFF2-40B4-BE49-F238E27FC236}">
                  <a16:creationId xmlns:a16="http://schemas.microsoft.com/office/drawing/2014/main" id="{00000000-0008-0000-0D00-000040010000}"/>
                </a:ext>
              </a:extLst>
            </xdr:cNvPr>
            <xdr:cNvGrpSpPr/>
          </xdr:nvGrpSpPr>
          <xdr:grpSpPr>
            <a:xfrm>
              <a:off x="402402" y="14864662"/>
              <a:ext cx="2081820" cy="246623"/>
              <a:chOff x="617838" y="13013210"/>
              <a:chExt cx="1737669" cy="218818"/>
            </a:xfrm>
            <a:noFill/>
          </xdr:grpSpPr>
          <xdr:sp macro="" textlink="">
            <xdr:nvSpPr>
              <xdr:cNvPr id="321" name="CuadroTexto 320">
                <a:extLst>
                  <a:ext uri="{FF2B5EF4-FFF2-40B4-BE49-F238E27FC236}">
                    <a16:creationId xmlns:a16="http://schemas.microsoft.com/office/drawing/2014/main" id="{00000000-0008-0000-0D00-000041010000}"/>
                  </a:ext>
                </a:extLst>
              </xdr:cNvPr>
              <xdr:cNvSpPr txBox="1"/>
            </xdr:nvSpPr>
            <xdr:spPr>
              <a:xfrm>
                <a:off x="617838" y="13013210"/>
                <a:ext cx="1737669" cy="218818"/>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r>
                  <a:rPr lang="es-MX" sz="1100"/>
                  <a:t>CDE ejes delanteros: </a:t>
                </a:r>
              </a:p>
            </xdr:txBody>
          </xdr:sp>
          <xdr:sp macro="" textlink="Ajustes!B22">
            <xdr:nvSpPr>
              <xdr:cNvPr id="322" name="CuadroTexto 321">
                <a:extLst>
                  <a:ext uri="{FF2B5EF4-FFF2-40B4-BE49-F238E27FC236}">
                    <a16:creationId xmlns:a16="http://schemas.microsoft.com/office/drawing/2014/main" id="{00000000-0008-0000-0D00-000042010000}"/>
                  </a:ext>
                </a:extLst>
              </xdr:cNvPr>
              <xdr:cNvSpPr txBox="1"/>
            </xdr:nvSpPr>
            <xdr:spPr>
              <a:xfrm>
                <a:off x="1773023" y="13038953"/>
                <a:ext cx="559186" cy="170234"/>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3183187A-04FE-48AE-B84D-744480169351}" type="TxLink">
                  <a:rPr lang="en-US" sz="1100" b="0" i="0" u="none" strike="noStrike">
                    <a:solidFill>
                      <a:srgbClr val="000000"/>
                    </a:solidFill>
                    <a:latin typeface="Calibri"/>
                    <a:ea typeface="Calibri"/>
                    <a:cs typeface="Calibri"/>
                  </a:rPr>
                  <a:pPr/>
                  <a:t>N/A</a:t>
                </a:fld>
                <a:endParaRPr lang="es-MX" sz="1050"/>
              </a:p>
            </xdr:txBody>
          </xdr:sp>
        </xdr:grpSp>
        <xdr:grpSp>
          <xdr:nvGrpSpPr>
            <xdr:cNvPr id="323" name="Grupo 322">
              <a:extLst>
                <a:ext uri="{FF2B5EF4-FFF2-40B4-BE49-F238E27FC236}">
                  <a16:creationId xmlns:a16="http://schemas.microsoft.com/office/drawing/2014/main" id="{00000000-0008-0000-0D00-000043010000}"/>
                </a:ext>
              </a:extLst>
            </xdr:cNvPr>
            <xdr:cNvGrpSpPr/>
          </xdr:nvGrpSpPr>
          <xdr:grpSpPr>
            <a:xfrm>
              <a:off x="401254" y="15184394"/>
              <a:ext cx="2070097" cy="235808"/>
              <a:chOff x="617838" y="13013209"/>
              <a:chExt cx="1909119" cy="235807"/>
            </a:xfrm>
            <a:noFill/>
          </xdr:grpSpPr>
          <xdr:sp macro="" textlink="">
            <xdr:nvSpPr>
              <xdr:cNvPr id="324" name="CuadroTexto 323">
                <a:extLst>
                  <a:ext uri="{FF2B5EF4-FFF2-40B4-BE49-F238E27FC236}">
                    <a16:creationId xmlns:a16="http://schemas.microsoft.com/office/drawing/2014/main" id="{00000000-0008-0000-0D00-000044010000}"/>
                  </a:ext>
                </a:extLst>
              </xdr:cNvPr>
              <xdr:cNvSpPr txBox="1"/>
            </xdr:nvSpPr>
            <xdr:spPr>
              <a:xfrm>
                <a:off x="617838" y="13013209"/>
                <a:ext cx="1909119" cy="235807"/>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r>
                  <a:rPr lang="es-MX" sz="1050"/>
                  <a:t>CDE ejes traseros: </a:t>
                </a:r>
              </a:p>
            </xdr:txBody>
          </xdr:sp>
          <xdr:sp macro="" textlink="Ajustes!B23">
            <xdr:nvSpPr>
              <xdr:cNvPr id="325" name="CuadroTexto 324">
                <a:extLst>
                  <a:ext uri="{FF2B5EF4-FFF2-40B4-BE49-F238E27FC236}">
                    <a16:creationId xmlns:a16="http://schemas.microsoft.com/office/drawing/2014/main" id="{00000000-0008-0000-0D00-000045010000}"/>
                  </a:ext>
                </a:extLst>
              </xdr:cNvPr>
              <xdr:cNvSpPr txBox="1"/>
            </xdr:nvSpPr>
            <xdr:spPr>
              <a:xfrm>
                <a:off x="1648528" y="13038952"/>
                <a:ext cx="865560" cy="197191"/>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C86F235-93BE-44E8-83AB-094D1D076265}" type="TxLink">
                  <a:rPr lang="en-US" sz="1000" b="0" i="0" u="none" strike="noStrike">
                    <a:solidFill>
                      <a:srgbClr val="000000"/>
                    </a:solidFill>
                    <a:latin typeface="Calibri"/>
                    <a:ea typeface="Calibri"/>
                    <a:cs typeface="Calibri"/>
                  </a:rPr>
                  <a:pPr/>
                  <a:t>0,000 kg</a:t>
                </a:fld>
                <a:endParaRPr lang="es-MX" sz="1000"/>
              </a:p>
            </xdr:txBody>
          </xdr:sp>
        </xdr:grpSp>
        <xdr:grpSp>
          <xdr:nvGrpSpPr>
            <xdr:cNvPr id="326" name="Grupo 325">
              <a:extLst>
                <a:ext uri="{FF2B5EF4-FFF2-40B4-BE49-F238E27FC236}">
                  <a16:creationId xmlns:a16="http://schemas.microsoft.com/office/drawing/2014/main" id="{00000000-0008-0000-0D00-000046010000}"/>
                </a:ext>
              </a:extLst>
            </xdr:cNvPr>
            <xdr:cNvGrpSpPr/>
          </xdr:nvGrpSpPr>
          <xdr:grpSpPr>
            <a:xfrm>
              <a:off x="399020" y="15516996"/>
              <a:ext cx="2072331" cy="237869"/>
              <a:chOff x="617838" y="13013210"/>
              <a:chExt cx="1737669" cy="218818"/>
            </a:xfrm>
            <a:noFill/>
          </xdr:grpSpPr>
          <xdr:sp macro="" textlink="">
            <xdr:nvSpPr>
              <xdr:cNvPr id="327" name="CuadroTexto 326">
                <a:extLst>
                  <a:ext uri="{FF2B5EF4-FFF2-40B4-BE49-F238E27FC236}">
                    <a16:creationId xmlns:a16="http://schemas.microsoft.com/office/drawing/2014/main" id="{00000000-0008-0000-0D00-000047010000}"/>
                  </a:ext>
                </a:extLst>
              </xdr:cNvPr>
              <xdr:cNvSpPr txBox="1"/>
            </xdr:nvSpPr>
            <xdr:spPr>
              <a:xfrm>
                <a:off x="617838" y="13013210"/>
                <a:ext cx="1737669" cy="218818"/>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r>
                  <a:rPr lang="es-MX" sz="1100"/>
                  <a:t>Longitud:</a:t>
                </a:r>
              </a:p>
            </xdr:txBody>
          </xdr:sp>
          <xdr:sp macro="" textlink="Ajustes!C11">
            <xdr:nvSpPr>
              <xdr:cNvPr id="328" name="CuadroTexto 327">
                <a:extLst>
                  <a:ext uri="{FF2B5EF4-FFF2-40B4-BE49-F238E27FC236}">
                    <a16:creationId xmlns:a16="http://schemas.microsoft.com/office/drawing/2014/main" id="{00000000-0008-0000-0D00-000048010000}"/>
                  </a:ext>
                </a:extLst>
              </xdr:cNvPr>
              <xdr:cNvSpPr txBox="1"/>
            </xdr:nvSpPr>
            <xdr:spPr>
              <a:xfrm>
                <a:off x="1189867" y="13038953"/>
                <a:ext cx="1152769" cy="169394"/>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FA4C147-765E-4627-9961-9010FBF5B35C}" type="TxLink">
                  <a:rPr lang="en-US" sz="1100" b="0" i="0" u="none" strike="noStrike">
                    <a:solidFill>
                      <a:srgbClr val="000000"/>
                    </a:solidFill>
                    <a:latin typeface="Calibri"/>
                    <a:ea typeface="Calibri"/>
                    <a:cs typeface="Calibri"/>
                  </a:rPr>
                  <a:pPr/>
                  <a:t>10.668 M</a:t>
                </a:fld>
                <a:endParaRPr lang="es-MX" sz="1100"/>
              </a:p>
            </xdr:txBody>
          </xdr:sp>
        </xdr:grpSp>
        <xdr:grpSp>
          <xdr:nvGrpSpPr>
            <xdr:cNvPr id="329" name="Grupo 328">
              <a:extLst>
                <a:ext uri="{FF2B5EF4-FFF2-40B4-BE49-F238E27FC236}">
                  <a16:creationId xmlns:a16="http://schemas.microsoft.com/office/drawing/2014/main" id="{00000000-0008-0000-0D00-000049010000}"/>
                </a:ext>
              </a:extLst>
            </xdr:cNvPr>
            <xdr:cNvGrpSpPr/>
          </xdr:nvGrpSpPr>
          <xdr:grpSpPr>
            <a:xfrm>
              <a:off x="2726724" y="14568618"/>
              <a:ext cx="1926110" cy="227052"/>
              <a:chOff x="617838" y="13013210"/>
              <a:chExt cx="1737669" cy="218818"/>
            </a:xfrm>
            <a:noFill/>
          </xdr:grpSpPr>
          <xdr:sp macro="" textlink="">
            <xdr:nvSpPr>
              <xdr:cNvPr id="330" name="CuadroTexto 329">
                <a:extLst>
                  <a:ext uri="{FF2B5EF4-FFF2-40B4-BE49-F238E27FC236}">
                    <a16:creationId xmlns:a16="http://schemas.microsoft.com/office/drawing/2014/main" id="{00000000-0008-0000-0D00-00004A010000}"/>
                  </a:ext>
                </a:extLst>
              </xdr:cNvPr>
              <xdr:cNvSpPr txBox="1"/>
            </xdr:nvSpPr>
            <xdr:spPr>
              <a:xfrm>
                <a:off x="617838" y="13013210"/>
                <a:ext cx="1737669" cy="218818"/>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r>
                  <a:rPr lang="es-MX" sz="1100"/>
                  <a:t>No.</a:t>
                </a:r>
                <a:r>
                  <a:rPr lang="es-MX" sz="1100" baseline="0"/>
                  <a:t> de Ejes:</a:t>
                </a:r>
                <a:endParaRPr lang="es-MX" sz="1100"/>
              </a:p>
            </xdr:txBody>
          </xdr:sp>
          <xdr:sp macro="" textlink="Ajustes!B15">
            <xdr:nvSpPr>
              <xdr:cNvPr id="331" name="CuadroTexto 330">
                <a:extLst>
                  <a:ext uri="{FF2B5EF4-FFF2-40B4-BE49-F238E27FC236}">
                    <a16:creationId xmlns:a16="http://schemas.microsoft.com/office/drawing/2014/main" id="{00000000-0008-0000-0D00-00004B010000}"/>
                  </a:ext>
                </a:extLst>
              </xdr:cNvPr>
              <xdr:cNvSpPr txBox="1"/>
            </xdr:nvSpPr>
            <xdr:spPr>
              <a:xfrm>
                <a:off x="1608952" y="13038953"/>
                <a:ext cx="733683" cy="180201"/>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BB7321E6-50A0-4DD7-BB5B-613012AFF272}" type="TxLink">
                  <a:rPr lang="en-US" sz="1100" b="0" i="0" u="none" strike="noStrike">
                    <a:solidFill>
                      <a:srgbClr val="000000"/>
                    </a:solidFill>
                    <a:latin typeface="Calibri"/>
                    <a:ea typeface="Calibri"/>
                    <a:cs typeface="Calibri"/>
                  </a:rPr>
                  <a:pPr/>
                  <a:t>2</a:t>
                </a:fld>
                <a:endParaRPr lang="es-MX" sz="1100"/>
              </a:p>
            </xdr:txBody>
          </xdr:sp>
        </xdr:grpSp>
        <xdr:grpSp>
          <xdr:nvGrpSpPr>
            <xdr:cNvPr id="332" name="Grupo 331">
              <a:extLst>
                <a:ext uri="{FF2B5EF4-FFF2-40B4-BE49-F238E27FC236}">
                  <a16:creationId xmlns:a16="http://schemas.microsoft.com/office/drawing/2014/main" id="{00000000-0008-0000-0D00-00004C010000}"/>
                </a:ext>
              </a:extLst>
            </xdr:cNvPr>
            <xdr:cNvGrpSpPr/>
          </xdr:nvGrpSpPr>
          <xdr:grpSpPr>
            <a:xfrm>
              <a:off x="2724665" y="14888349"/>
              <a:ext cx="1926110" cy="227053"/>
              <a:chOff x="617838" y="13013210"/>
              <a:chExt cx="1737669" cy="218818"/>
            </a:xfrm>
            <a:noFill/>
          </xdr:grpSpPr>
          <xdr:sp macro="" textlink="">
            <xdr:nvSpPr>
              <xdr:cNvPr id="333" name="CuadroTexto 332">
                <a:extLst>
                  <a:ext uri="{FF2B5EF4-FFF2-40B4-BE49-F238E27FC236}">
                    <a16:creationId xmlns:a16="http://schemas.microsoft.com/office/drawing/2014/main" id="{00000000-0008-0000-0D00-00004D010000}"/>
                  </a:ext>
                </a:extLst>
              </xdr:cNvPr>
              <xdr:cNvSpPr txBox="1"/>
            </xdr:nvSpPr>
            <xdr:spPr>
              <a:xfrm>
                <a:off x="617838" y="13013210"/>
                <a:ext cx="1737669" cy="218818"/>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r>
                  <a:rPr lang="es-MX" sz="1100" baseline="0"/>
                  <a:t>Tamaño de llantas:</a:t>
                </a:r>
                <a:endParaRPr lang="es-MX" sz="1100"/>
              </a:p>
            </xdr:txBody>
          </xdr:sp>
          <xdr:sp macro="" textlink="Ajustes!B26">
            <xdr:nvSpPr>
              <xdr:cNvPr id="334" name="CuadroTexto 333">
                <a:extLst>
                  <a:ext uri="{FF2B5EF4-FFF2-40B4-BE49-F238E27FC236}">
                    <a16:creationId xmlns:a16="http://schemas.microsoft.com/office/drawing/2014/main" id="{00000000-0008-0000-0D00-00004E010000}"/>
                  </a:ext>
                </a:extLst>
              </xdr:cNvPr>
              <xdr:cNvSpPr txBox="1"/>
            </xdr:nvSpPr>
            <xdr:spPr>
              <a:xfrm>
                <a:off x="1733131" y="13038954"/>
                <a:ext cx="609505" cy="175664"/>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741E14B0-EBDC-4B3E-BF3A-36D2D31F5F85}" type="TxLink">
                  <a:rPr lang="en-US" sz="1100" b="0" i="0" u="none" strike="noStrike">
                    <a:solidFill>
                      <a:srgbClr val="000000"/>
                    </a:solidFill>
                    <a:latin typeface="Calibri"/>
                    <a:ea typeface="Calibri"/>
                    <a:cs typeface="Calibri"/>
                  </a:rPr>
                  <a:pPr/>
                  <a:t>N/A</a:t>
                </a:fld>
                <a:endParaRPr lang="es-MX" sz="1100"/>
              </a:p>
            </xdr:txBody>
          </xdr:sp>
        </xdr:grpSp>
        <xdr:grpSp>
          <xdr:nvGrpSpPr>
            <xdr:cNvPr id="338" name="Grupo 337">
              <a:extLst>
                <a:ext uri="{FF2B5EF4-FFF2-40B4-BE49-F238E27FC236}">
                  <a16:creationId xmlns:a16="http://schemas.microsoft.com/office/drawing/2014/main" id="{00000000-0008-0000-0D00-000052010000}"/>
                </a:ext>
              </a:extLst>
            </xdr:cNvPr>
            <xdr:cNvGrpSpPr/>
          </xdr:nvGrpSpPr>
          <xdr:grpSpPr>
            <a:xfrm>
              <a:off x="2720545" y="15540683"/>
              <a:ext cx="1926110" cy="227053"/>
              <a:chOff x="617838" y="13013210"/>
              <a:chExt cx="1737669" cy="218818"/>
            </a:xfrm>
            <a:noFill/>
          </xdr:grpSpPr>
          <xdr:sp macro="" textlink="">
            <xdr:nvSpPr>
              <xdr:cNvPr id="339" name="CuadroTexto 338">
                <a:extLst>
                  <a:ext uri="{FF2B5EF4-FFF2-40B4-BE49-F238E27FC236}">
                    <a16:creationId xmlns:a16="http://schemas.microsoft.com/office/drawing/2014/main" id="{00000000-0008-0000-0D00-000053010000}"/>
                  </a:ext>
                </a:extLst>
              </xdr:cNvPr>
              <xdr:cNvSpPr txBox="1"/>
            </xdr:nvSpPr>
            <xdr:spPr>
              <a:xfrm>
                <a:off x="617838" y="13013210"/>
                <a:ext cx="1737669" cy="218818"/>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r>
                  <a:rPr lang="es-MX" sz="1100"/>
                  <a:t>Ancho:</a:t>
                </a:r>
              </a:p>
            </xdr:txBody>
          </xdr:sp>
          <xdr:sp macro="" textlink="Ajustes!B28">
            <xdr:nvSpPr>
              <xdr:cNvPr id="340" name="CuadroTexto 339">
                <a:extLst>
                  <a:ext uri="{FF2B5EF4-FFF2-40B4-BE49-F238E27FC236}">
                    <a16:creationId xmlns:a16="http://schemas.microsoft.com/office/drawing/2014/main" id="{00000000-0008-0000-0D00-000054010000}"/>
                  </a:ext>
                </a:extLst>
              </xdr:cNvPr>
              <xdr:cNvSpPr txBox="1"/>
            </xdr:nvSpPr>
            <xdr:spPr>
              <a:xfrm>
                <a:off x="1078151" y="13038953"/>
                <a:ext cx="1264484" cy="168266"/>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BF0ABC46-7869-475E-9E3B-4D4AEFB02798}" type="TxLink">
                  <a:rPr lang="en-US" sz="1100" b="0" i="0" u="none" strike="noStrike">
                    <a:solidFill>
                      <a:srgbClr val="000000"/>
                    </a:solidFill>
                    <a:latin typeface="Calibri"/>
                    <a:ea typeface="Calibri"/>
                    <a:cs typeface="Calibri"/>
                  </a:rPr>
                  <a:pPr/>
                  <a:t>2.6 M.</a:t>
                </a:fld>
                <a:endParaRPr lang="es-MX" sz="1100"/>
              </a:p>
            </xdr:txBody>
          </xdr:sp>
        </xdr:grpSp>
        <xdr:grpSp>
          <xdr:nvGrpSpPr>
            <xdr:cNvPr id="341" name="Grupo 340">
              <a:extLst>
                <a:ext uri="{FF2B5EF4-FFF2-40B4-BE49-F238E27FC236}">
                  <a16:creationId xmlns:a16="http://schemas.microsoft.com/office/drawing/2014/main" id="{00000000-0008-0000-0D00-000055010000}"/>
                </a:ext>
              </a:extLst>
            </xdr:cNvPr>
            <xdr:cNvGrpSpPr/>
          </xdr:nvGrpSpPr>
          <xdr:grpSpPr>
            <a:xfrm>
              <a:off x="4848482" y="14566558"/>
              <a:ext cx="2018271" cy="229113"/>
              <a:chOff x="617838" y="13013210"/>
              <a:chExt cx="1737669" cy="218818"/>
            </a:xfrm>
            <a:noFill/>
          </xdr:grpSpPr>
          <xdr:sp macro="" textlink="">
            <xdr:nvSpPr>
              <xdr:cNvPr id="342" name="CuadroTexto 341">
                <a:extLst>
                  <a:ext uri="{FF2B5EF4-FFF2-40B4-BE49-F238E27FC236}">
                    <a16:creationId xmlns:a16="http://schemas.microsoft.com/office/drawing/2014/main" id="{00000000-0008-0000-0D00-000056010000}"/>
                  </a:ext>
                </a:extLst>
              </xdr:cNvPr>
              <xdr:cNvSpPr txBox="1"/>
            </xdr:nvSpPr>
            <xdr:spPr>
              <a:xfrm>
                <a:off x="617838" y="13013210"/>
                <a:ext cx="1737669" cy="218818"/>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r>
                  <a:rPr lang="es-MX" sz="1100"/>
                  <a:t>PBVD: </a:t>
                </a:r>
              </a:p>
            </xdr:txBody>
          </xdr:sp>
          <xdr:sp macro="" textlink="Ajustes!B30">
            <xdr:nvSpPr>
              <xdr:cNvPr id="343" name="CuadroTexto 342">
                <a:extLst>
                  <a:ext uri="{FF2B5EF4-FFF2-40B4-BE49-F238E27FC236}">
                    <a16:creationId xmlns:a16="http://schemas.microsoft.com/office/drawing/2014/main" id="{00000000-0008-0000-0D00-000057010000}"/>
                  </a:ext>
                </a:extLst>
              </xdr:cNvPr>
              <xdr:cNvSpPr txBox="1"/>
            </xdr:nvSpPr>
            <xdr:spPr>
              <a:xfrm>
                <a:off x="1608952" y="13038953"/>
                <a:ext cx="733683" cy="180201"/>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A084D5C-6487-4E82-8CA5-96A690E75344}" type="TxLink">
                  <a:rPr lang="en-US" sz="1100" b="0" i="0" u="none" strike="noStrike">
                    <a:solidFill>
                      <a:srgbClr val="000000"/>
                    </a:solidFill>
                    <a:latin typeface="Calibri"/>
                    <a:ea typeface="Calibri"/>
                    <a:cs typeface="Calibri"/>
                  </a:rPr>
                  <a:pPr/>
                  <a:t>0,000 kg</a:t>
                </a:fld>
                <a:endParaRPr lang="es-MX" sz="1100"/>
              </a:p>
            </xdr:txBody>
          </xdr:sp>
        </xdr:grpSp>
        <xdr:grpSp>
          <xdr:nvGrpSpPr>
            <xdr:cNvPr id="344" name="Grupo 343">
              <a:extLst>
                <a:ext uri="{FF2B5EF4-FFF2-40B4-BE49-F238E27FC236}">
                  <a16:creationId xmlns:a16="http://schemas.microsoft.com/office/drawing/2014/main" id="{00000000-0008-0000-0D00-000058010000}"/>
                </a:ext>
              </a:extLst>
            </xdr:cNvPr>
            <xdr:cNvGrpSpPr/>
          </xdr:nvGrpSpPr>
          <xdr:grpSpPr>
            <a:xfrm>
              <a:off x="4846423" y="14886289"/>
              <a:ext cx="2018271" cy="229114"/>
              <a:chOff x="617838" y="13013210"/>
              <a:chExt cx="1737669" cy="218818"/>
            </a:xfrm>
            <a:noFill/>
          </xdr:grpSpPr>
          <xdr:sp macro="" textlink="">
            <xdr:nvSpPr>
              <xdr:cNvPr id="345" name="CuadroTexto 344">
                <a:extLst>
                  <a:ext uri="{FF2B5EF4-FFF2-40B4-BE49-F238E27FC236}">
                    <a16:creationId xmlns:a16="http://schemas.microsoft.com/office/drawing/2014/main" id="{00000000-0008-0000-0D00-000059010000}"/>
                  </a:ext>
                </a:extLst>
              </xdr:cNvPr>
              <xdr:cNvSpPr txBox="1"/>
            </xdr:nvSpPr>
            <xdr:spPr>
              <a:xfrm>
                <a:off x="617838" y="13013210"/>
                <a:ext cx="1737669" cy="218818"/>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l"/>
                <a:r>
                  <a:rPr lang="es-MX" sz="1100"/>
                  <a:t>Presión de inflado:</a:t>
                </a:r>
              </a:p>
            </xdr:txBody>
          </xdr:sp>
          <xdr:sp macro="" textlink="Ajustes!B31">
            <xdr:nvSpPr>
              <xdr:cNvPr id="346" name="CuadroTexto 345">
                <a:extLst>
                  <a:ext uri="{FF2B5EF4-FFF2-40B4-BE49-F238E27FC236}">
                    <a16:creationId xmlns:a16="http://schemas.microsoft.com/office/drawing/2014/main" id="{00000000-0008-0000-0D00-00005A010000}"/>
                  </a:ext>
                </a:extLst>
              </xdr:cNvPr>
              <xdr:cNvSpPr txBox="1"/>
            </xdr:nvSpPr>
            <xdr:spPr>
              <a:xfrm>
                <a:off x="1670722" y="13038952"/>
                <a:ext cx="671911" cy="175821"/>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04745B0A-8B7F-4F0A-950F-98DC1C39958B}" type="TxLink">
                  <a:rPr lang="en-US" sz="1100" b="0" i="0" u="none" strike="noStrike">
                    <a:solidFill>
                      <a:srgbClr val="000000"/>
                    </a:solidFill>
                    <a:latin typeface="Calibri"/>
                    <a:ea typeface="Calibri"/>
                    <a:cs typeface="Calibri"/>
                  </a:rPr>
                  <a:pPr/>
                  <a:t>N/A</a:t>
                </a:fld>
                <a:endParaRPr lang="es-MX" sz="1100"/>
              </a:p>
            </xdr:txBody>
          </xdr:sp>
        </xdr:grpSp>
        <xdr:grpSp>
          <xdr:nvGrpSpPr>
            <xdr:cNvPr id="350" name="Grupo 349">
              <a:extLst>
                <a:ext uri="{FF2B5EF4-FFF2-40B4-BE49-F238E27FC236}">
                  <a16:creationId xmlns:a16="http://schemas.microsoft.com/office/drawing/2014/main" id="{00000000-0008-0000-0D00-00005E010000}"/>
                </a:ext>
              </a:extLst>
            </xdr:cNvPr>
            <xdr:cNvGrpSpPr/>
          </xdr:nvGrpSpPr>
          <xdr:grpSpPr>
            <a:xfrm>
              <a:off x="4842303" y="15538623"/>
              <a:ext cx="2018271" cy="229114"/>
              <a:chOff x="617838" y="13013210"/>
              <a:chExt cx="1737669" cy="218818"/>
            </a:xfrm>
            <a:noFill/>
          </xdr:grpSpPr>
          <xdr:sp macro="" textlink="">
            <xdr:nvSpPr>
              <xdr:cNvPr id="351" name="CuadroTexto 350">
                <a:extLst>
                  <a:ext uri="{FF2B5EF4-FFF2-40B4-BE49-F238E27FC236}">
                    <a16:creationId xmlns:a16="http://schemas.microsoft.com/office/drawing/2014/main" id="{00000000-0008-0000-0D00-00005F010000}"/>
                  </a:ext>
                </a:extLst>
              </xdr:cNvPr>
              <xdr:cNvSpPr txBox="1"/>
            </xdr:nvSpPr>
            <xdr:spPr>
              <a:xfrm>
                <a:off x="617838" y="13013210"/>
                <a:ext cx="1737669" cy="218818"/>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r>
                  <a:rPr lang="es-MX" sz="1100"/>
                  <a:t>Alto: </a:t>
                </a:r>
              </a:p>
            </xdr:txBody>
          </xdr:sp>
          <xdr:sp macro="" textlink="Ajustes!B33">
            <xdr:nvSpPr>
              <xdr:cNvPr id="352" name="CuadroTexto 351">
                <a:extLst>
                  <a:ext uri="{FF2B5EF4-FFF2-40B4-BE49-F238E27FC236}">
                    <a16:creationId xmlns:a16="http://schemas.microsoft.com/office/drawing/2014/main" id="{00000000-0008-0000-0D00-000060010000}"/>
                  </a:ext>
                </a:extLst>
              </xdr:cNvPr>
              <xdr:cNvSpPr txBox="1"/>
            </xdr:nvSpPr>
            <xdr:spPr>
              <a:xfrm>
                <a:off x="1047824" y="13038953"/>
                <a:ext cx="1294811" cy="168489"/>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B4A3CDAC-28C1-439D-949A-8EB3F511C09C}" type="TxLink">
                  <a:rPr lang="en-US" sz="1100" b="0" i="0" u="none" strike="noStrike">
                    <a:solidFill>
                      <a:srgbClr val="000000"/>
                    </a:solidFill>
                    <a:latin typeface="Calibri"/>
                    <a:ea typeface="Calibri"/>
                    <a:cs typeface="Calibri"/>
                  </a:rPr>
                  <a:pPr/>
                  <a:t>1.30 M.</a:t>
                </a:fld>
                <a:endParaRPr lang="es-MX" sz="1100"/>
              </a:p>
            </xdr:txBody>
          </xdr:sp>
        </xdr:grpSp>
        <xdr:grpSp>
          <xdr:nvGrpSpPr>
            <xdr:cNvPr id="353" name="Grupo 352">
              <a:extLst>
                <a:ext uri="{FF2B5EF4-FFF2-40B4-BE49-F238E27FC236}">
                  <a16:creationId xmlns:a16="http://schemas.microsoft.com/office/drawing/2014/main" id="{00000000-0008-0000-0D00-000061010000}"/>
                </a:ext>
              </a:extLst>
            </xdr:cNvPr>
            <xdr:cNvGrpSpPr/>
          </xdr:nvGrpSpPr>
          <xdr:grpSpPr>
            <a:xfrm>
              <a:off x="2722605" y="15208079"/>
              <a:ext cx="1926110" cy="227052"/>
              <a:chOff x="617838" y="13013210"/>
              <a:chExt cx="1737669" cy="218818"/>
            </a:xfrm>
            <a:noFill/>
          </xdr:grpSpPr>
          <xdr:sp macro="" textlink="">
            <xdr:nvSpPr>
              <xdr:cNvPr id="354" name="CuadroTexto 353">
                <a:extLst>
                  <a:ext uri="{FF2B5EF4-FFF2-40B4-BE49-F238E27FC236}">
                    <a16:creationId xmlns:a16="http://schemas.microsoft.com/office/drawing/2014/main" id="{00000000-0008-0000-0D00-000062010000}"/>
                  </a:ext>
                </a:extLst>
              </xdr:cNvPr>
              <xdr:cNvSpPr txBox="1"/>
            </xdr:nvSpPr>
            <xdr:spPr>
              <a:xfrm>
                <a:off x="617838" y="13013210"/>
                <a:ext cx="1737669" cy="218818"/>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r>
                  <a:rPr lang="es-MX" sz="1100" baseline="0"/>
                  <a:t>Tamaño de llantas:</a:t>
                </a:r>
                <a:endParaRPr lang="es-MX" sz="1100"/>
              </a:p>
            </xdr:txBody>
          </xdr:sp>
          <xdr:sp macro="" textlink="Ajustes!B27">
            <xdr:nvSpPr>
              <xdr:cNvPr id="355" name="CuadroTexto 354">
                <a:extLst>
                  <a:ext uri="{FF2B5EF4-FFF2-40B4-BE49-F238E27FC236}">
                    <a16:creationId xmlns:a16="http://schemas.microsoft.com/office/drawing/2014/main" id="{00000000-0008-0000-0D00-000063010000}"/>
                  </a:ext>
                </a:extLst>
              </xdr:cNvPr>
              <xdr:cNvSpPr txBox="1"/>
            </xdr:nvSpPr>
            <xdr:spPr>
              <a:xfrm>
                <a:off x="1724725" y="13038954"/>
                <a:ext cx="617910" cy="164297"/>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385750D-8E2A-4EB6-A608-0F7A07354F7F}" type="TxLink">
                  <a:rPr lang="en-US" sz="1100" b="0" i="0" u="none" strike="noStrike">
                    <a:solidFill>
                      <a:srgbClr val="000000"/>
                    </a:solidFill>
                    <a:latin typeface="Calibri"/>
                    <a:ea typeface="Calibri"/>
                    <a:cs typeface="Calibri"/>
                  </a:rPr>
                  <a:pPr/>
                  <a:t>11R24.5</a:t>
                </a:fld>
                <a:endParaRPr lang="es-MX" sz="1100"/>
              </a:p>
            </xdr:txBody>
          </xdr:sp>
        </xdr:grpSp>
        <xdr:grpSp>
          <xdr:nvGrpSpPr>
            <xdr:cNvPr id="356" name="Grupo 355">
              <a:extLst>
                <a:ext uri="{FF2B5EF4-FFF2-40B4-BE49-F238E27FC236}">
                  <a16:creationId xmlns:a16="http://schemas.microsoft.com/office/drawing/2014/main" id="{00000000-0008-0000-0D00-000064010000}"/>
                </a:ext>
              </a:extLst>
            </xdr:cNvPr>
            <xdr:cNvGrpSpPr/>
          </xdr:nvGrpSpPr>
          <xdr:grpSpPr>
            <a:xfrm>
              <a:off x="4857234" y="15218892"/>
              <a:ext cx="2018271" cy="229113"/>
              <a:chOff x="617838" y="13013210"/>
              <a:chExt cx="1737669" cy="218818"/>
            </a:xfrm>
            <a:noFill/>
          </xdr:grpSpPr>
          <xdr:sp macro="" textlink="">
            <xdr:nvSpPr>
              <xdr:cNvPr id="357" name="CuadroTexto 356">
                <a:extLst>
                  <a:ext uri="{FF2B5EF4-FFF2-40B4-BE49-F238E27FC236}">
                    <a16:creationId xmlns:a16="http://schemas.microsoft.com/office/drawing/2014/main" id="{00000000-0008-0000-0D00-000065010000}"/>
                  </a:ext>
                </a:extLst>
              </xdr:cNvPr>
              <xdr:cNvSpPr txBox="1"/>
            </xdr:nvSpPr>
            <xdr:spPr>
              <a:xfrm>
                <a:off x="617838" y="13013210"/>
                <a:ext cx="1737669" cy="218818"/>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r>
                  <a:rPr lang="es-MX" sz="1100"/>
                  <a:t>Presión de inflado:</a:t>
                </a:r>
              </a:p>
            </xdr:txBody>
          </xdr:sp>
          <xdr:sp macro="" textlink="Ajustes!B32">
            <xdr:nvSpPr>
              <xdr:cNvPr id="358" name="CuadroTexto 357">
                <a:extLst>
                  <a:ext uri="{FF2B5EF4-FFF2-40B4-BE49-F238E27FC236}">
                    <a16:creationId xmlns:a16="http://schemas.microsoft.com/office/drawing/2014/main" id="{00000000-0008-0000-0D00-000066010000}"/>
                  </a:ext>
                </a:extLst>
              </xdr:cNvPr>
              <xdr:cNvSpPr txBox="1"/>
            </xdr:nvSpPr>
            <xdr:spPr>
              <a:xfrm>
                <a:off x="1653790" y="13038953"/>
                <a:ext cx="688845" cy="164555"/>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9D8EEAE-9B6F-40CC-9B0E-D7A735D9153C}" type="TxLink">
                  <a:rPr lang="en-US" sz="1100" b="0" i="0" u="none" strike="noStrike">
                    <a:solidFill>
                      <a:srgbClr val="000000"/>
                    </a:solidFill>
                    <a:latin typeface="Calibri"/>
                    <a:ea typeface="Calibri"/>
                    <a:cs typeface="Calibri"/>
                  </a:rPr>
                  <a:pPr/>
                  <a:t>830 KPa.</a:t>
                </a:fld>
                <a:endParaRPr lang="es-MX" sz="1100"/>
              </a:p>
            </xdr:txBody>
          </xdr:sp>
        </xdr:grpSp>
        <xdr:grpSp>
          <xdr:nvGrpSpPr>
            <xdr:cNvPr id="359" name="Grupo 358">
              <a:extLst>
                <a:ext uri="{FF2B5EF4-FFF2-40B4-BE49-F238E27FC236}">
                  <a16:creationId xmlns:a16="http://schemas.microsoft.com/office/drawing/2014/main" id="{00000000-0008-0000-0D00-000067010000}"/>
                </a:ext>
              </a:extLst>
            </xdr:cNvPr>
            <xdr:cNvGrpSpPr/>
          </xdr:nvGrpSpPr>
          <xdr:grpSpPr>
            <a:xfrm>
              <a:off x="1042602" y="15836715"/>
              <a:ext cx="2289089" cy="214198"/>
              <a:chOff x="617838" y="13013198"/>
              <a:chExt cx="1737669" cy="218818"/>
            </a:xfrm>
            <a:noFill/>
          </xdr:grpSpPr>
          <xdr:sp macro="" textlink="">
            <xdr:nvSpPr>
              <xdr:cNvPr id="360" name="CuadroTexto 359">
                <a:extLst>
                  <a:ext uri="{FF2B5EF4-FFF2-40B4-BE49-F238E27FC236}">
                    <a16:creationId xmlns:a16="http://schemas.microsoft.com/office/drawing/2014/main" id="{00000000-0008-0000-0D00-000068010000}"/>
                  </a:ext>
                </a:extLst>
              </xdr:cNvPr>
              <xdr:cNvSpPr txBox="1"/>
            </xdr:nvSpPr>
            <xdr:spPr>
              <a:xfrm>
                <a:off x="617838" y="13013198"/>
                <a:ext cx="1737669" cy="218818"/>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r>
                  <a:rPr lang="es-MX" sz="1100"/>
                  <a:t>Modelo ABS:</a:t>
                </a:r>
              </a:p>
            </xdr:txBody>
          </xdr:sp>
          <xdr:sp macro="" textlink="Ajustes!B35">
            <xdr:nvSpPr>
              <xdr:cNvPr id="361" name="CuadroTexto 360">
                <a:extLst>
                  <a:ext uri="{FF2B5EF4-FFF2-40B4-BE49-F238E27FC236}">
                    <a16:creationId xmlns:a16="http://schemas.microsoft.com/office/drawing/2014/main" id="{00000000-0008-0000-0D00-000069010000}"/>
                  </a:ext>
                </a:extLst>
              </xdr:cNvPr>
              <xdr:cNvSpPr txBox="1"/>
            </xdr:nvSpPr>
            <xdr:spPr>
              <a:xfrm>
                <a:off x="1321108" y="13038952"/>
                <a:ext cx="1021527" cy="183130"/>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3EB6AF4A-1F4B-40A8-94FA-7846ACC1E877}" type="TxLink">
                  <a:rPr lang="en-US" sz="1000" b="0" i="0" u="none" strike="noStrike">
                    <a:solidFill>
                      <a:srgbClr val="000000"/>
                    </a:solidFill>
                    <a:latin typeface="Calibri"/>
                    <a:ea typeface="Calibri"/>
                    <a:cs typeface="Calibri"/>
                  </a:rPr>
                  <a:pPr/>
                  <a:t>0</a:t>
                </a:fld>
                <a:endParaRPr lang="es-MX" sz="1200"/>
              </a:p>
            </xdr:txBody>
          </xdr:sp>
        </xdr:grpSp>
        <xdr:grpSp>
          <xdr:nvGrpSpPr>
            <xdr:cNvPr id="362" name="Grupo 361">
              <a:extLst>
                <a:ext uri="{FF2B5EF4-FFF2-40B4-BE49-F238E27FC236}">
                  <a16:creationId xmlns:a16="http://schemas.microsoft.com/office/drawing/2014/main" id="{00000000-0008-0000-0D00-00006A010000}"/>
                </a:ext>
              </a:extLst>
            </xdr:cNvPr>
            <xdr:cNvGrpSpPr/>
          </xdr:nvGrpSpPr>
          <xdr:grpSpPr>
            <a:xfrm>
              <a:off x="3473279" y="15834655"/>
              <a:ext cx="2289089" cy="214198"/>
              <a:chOff x="617838" y="13013198"/>
              <a:chExt cx="1737669" cy="218818"/>
            </a:xfrm>
            <a:noFill/>
          </xdr:grpSpPr>
          <xdr:sp macro="" textlink="">
            <xdr:nvSpPr>
              <xdr:cNvPr id="363" name="CuadroTexto 362">
                <a:extLst>
                  <a:ext uri="{FF2B5EF4-FFF2-40B4-BE49-F238E27FC236}">
                    <a16:creationId xmlns:a16="http://schemas.microsoft.com/office/drawing/2014/main" id="{00000000-0008-0000-0D00-00006B010000}"/>
                  </a:ext>
                </a:extLst>
              </xdr:cNvPr>
              <xdr:cNvSpPr txBox="1"/>
            </xdr:nvSpPr>
            <xdr:spPr>
              <a:xfrm>
                <a:off x="617838" y="13013198"/>
                <a:ext cx="1737669" cy="218818"/>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r>
                  <a:rPr lang="es-MX" sz="1100"/>
                  <a:t>Tipo de suspensión:</a:t>
                </a:r>
              </a:p>
            </xdr:txBody>
          </xdr:sp>
          <xdr:sp macro="" textlink="Ajustes!B36">
            <xdr:nvSpPr>
              <xdr:cNvPr id="364" name="CuadroTexto 363">
                <a:extLst>
                  <a:ext uri="{FF2B5EF4-FFF2-40B4-BE49-F238E27FC236}">
                    <a16:creationId xmlns:a16="http://schemas.microsoft.com/office/drawing/2014/main" id="{00000000-0008-0000-0D00-00006C010000}"/>
                  </a:ext>
                </a:extLst>
              </xdr:cNvPr>
              <xdr:cNvSpPr txBox="1"/>
            </xdr:nvSpPr>
            <xdr:spPr>
              <a:xfrm>
                <a:off x="1547643" y="13038953"/>
                <a:ext cx="794991" cy="182017"/>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969D9770-230F-4F41-8BED-70A480C891D3}" type="TxLink">
                  <a:rPr lang="en-US" sz="1100" b="0" i="0" u="none" strike="noStrike">
                    <a:solidFill>
                      <a:srgbClr val="000000"/>
                    </a:solidFill>
                    <a:latin typeface="Calibri"/>
                    <a:ea typeface="Calibri"/>
                    <a:cs typeface="Calibri"/>
                  </a:rPr>
                  <a:pPr/>
                  <a:t>Neumática</a:t>
                </a:fld>
                <a:endParaRPr lang="es-MX" sz="1200"/>
              </a:p>
            </xdr:txBody>
          </xdr:sp>
        </xdr:grpSp>
      </xdr:grpSp>
      <xdr:sp macro="" textlink="Ajustes!A38">
        <xdr:nvSpPr>
          <xdr:cNvPr id="369" name="CuadroTexto 368">
            <a:extLst>
              <a:ext uri="{FF2B5EF4-FFF2-40B4-BE49-F238E27FC236}">
                <a16:creationId xmlns:a16="http://schemas.microsoft.com/office/drawing/2014/main" id="{00000000-0008-0000-0D00-000071010000}"/>
              </a:ext>
            </a:extLst>
          </xdr:cNvPr>
          <xdr:cNvSpPr txBox="1"/>
        </xdr:nvSpPr>
        <xdr:spPr>
          <a:xfrm>
            <a:off x="746554" y="16334087"/>
            <a:ext cx="5933818" cy="257433"/>
          </a:xfrm>
          <a:prstGeom prst="rect">
            <a:avLst/>
          </a:prstGeom>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fld id="{7560058E-320B-4876-9397-29A52A77729B}" type="TxLink">
              <a:rPr lang="en-US" sz="1100" b="0" i="0" u="none" strike="noStrike">
                <a:solidFill>
                  <a:schemeClr val="tx1"/>
                </a:solidFill>
                <a:latin typeface="Calibri"/>
                <a:ea typeface="Calibri"/>
                <a:cs typeface="Calibri"/>
              </a:rPr>
              <a:pPr/>
              <a:t>Desglose del CDE de ejes delanteros y traseros (DatosOpcionales)</a:t>
            </a:fld>
            <a:endParaRPr lang="es-MX" sz="1100">
              <a:solidFill>
                <a:schemeClr val="tx1"/>
              </a:solidFill>
            </a:endParaRPr>
          </a:p>
        </xdr:txBody>
      </xdr:sp>
      <xdr:sp macro="" textlink="Ajustes!A39">
        <xdr:nvSpPr>
          <xdr:cNvPr id="370" name="CuadroTexto 369">
            <a:extLst>
              <a:ext uri="{FF2B5EF4-FFF2-40B4-BE49-F238E27FC236}">
                <a16:creationId xmlns:a16="http://schemas.microsoft.com/office/drawing/2014/main" id="{00000000-0008-0000-0D00-000072010000}"/>
              </a:ext>
            </a:extLst>
          </xdr:cNvPr>
          <xdr:cNvSpPr txBox="1"/>
        </xdr:nvSpPr>
        <xdr:spPr>
          <a:xfrm>
            <a:off x="744494" y="16640947"/>
            <a:ext cx="5933818" cy="257433"/>
          </a:xfrm>
          <a:prstGeom prst="rect">
            <a:avLst/>
          </a:prstGeom>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ctr"/>
            <a:fld id="{B525C97B-622F-4C40-B674-BCD29CEDF9BC}" type="TxLink">
              <a:rPr lang="en-US" sz="1400" b="1" i="0" u="none" strike="noStrike">
                <a:solidFill>
                  <a:srgbClr val="000000"/>
                </a:solidFill>
                <a:latin typeface="Calibri"/>
                <a:ea typeface="Calibri"/>
                <a:cs typeface="Calibri"/>
              </a:rPr>
              <a:pPr algn="ctr"/>
              <a:t> </a:t>
            </a:fld>
            <a:r>
              <a:rPr lang="en-US" sz="1400" b="1" i="0" u="none" strike="noStrike">
                <a:solidFill>
                  <a:srgbClr val="000000"/>
                </a:solidFill>
                <a:latin typeface="Calibri"/>
                <a:ea typeface="Calibri"/>
                <a:cs typeface="Calibri"/>
              </a:rPr>
              <a:t>Ejes Delanteros</a:t>
            </a:r>
            <a:endParaRPr lang="es-MX" sz="1400" b="1"/>
          </a:p>
        </xdr:txBody>
      </xdr:sp>
      <xdr:grpSp>
        <xdr:nvGrpSpPr>
          <xdr:cNvPr id="373" name="Grupo 372">
            <a:extLst>
              <a:ext uri="{FF2B5EF4-FFF2-40B4-BE49-F238E27FC236}">
                <a16:creationId xmlns:a16="http://schemas.microsoft.com/office/drawing/2014/main" id="{00000000-0008-0000-0D00-000075010000}"/>
              </a:ext>
            </a:extLst>
          </xdr:cNvPr>
          <xdr:cNvGrpSpPr/>
        </xdr:nvGrpSpPr>
        <xdr:grpSpPr>
          <a:xfrm>
            <a:off x="369157" y="16977668"/>
            <a:ext cx="2243782" cy="205946"/>
            <a:chOff x="369157" y="16977668"/>
            <a:chExt cx="2243782" cy="205946"/>
          </a:xfrm>
          <a:noFill/>
        </xdr:grpSpPr>
        <xdr:sp macro="" textlink="Ajustes!A39">
          <xdr:nvSpPr>
            <xdr:cNvPr id="371" name="CuadroTexto 370">
              <a:extLst>
                <a:ext uri="{FF2B5EF4-FFF2-40B4-BE49-F238E27FC236}">
                  <a16:creationId xmlns:a16="http://schemas.microsoft.com/office/drawing/2014/main" id="{00000000-0008-0000-0D00-000073010000}"/>
                </a:ext>
              </a:extLst>
            </xdr:cNvPr>
            <xdr:cNvSpPr txBox="1"/>
          </xdr:nvSpPr>
          <xdr:spPr>
            <a:xfrm>
              <a:off x="369157" y="16977668"/>
              <a:ext cx="2243782" cy="205946"/>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r>
                <a:rPr lang="en-US" sz="1100" b="0" i="0" u="none" strike="noStrike">
                  <a:solidFill>
                    <a:srgbClr val="000000"/>
                  </a:solidFill>
                  <a:latin typeface="Calibri"/>
                  <a:ea typeface="Calibri"/>
                  <a:cs typeface="Calibri"/>
                </a:rPr>
                <a:t>C</a:t>
              </a:r>
              <a:r>
                <a:rPr lang="en-US" sz="1100" b="0" i="0" u="none" strike="noStrike">
                  <a:solidFill>
                    <a:srgbClr val="000000"/>
                  </a:solidFill>
                  <a:latin typeface="+mn-lt"/>
                  <a:ea typeface="Calibri"/>
                  <a:cs typeface="Calibri"/>
                </a:rPr>
                <a:t>apacidad de suspensión: </a:t>
              </a:r>
              <a:endParaRPr lang="es-MX" sz="1100"/>
            </a:p>
          </xdr:txBody>
        </xdr:sp>
        <xdr:sp macro="" textlink="Ajustes!B40">
          <xdr:nvSpPr>
            <xdr:cNvPr id="372" name="CuadroTexto 371">
              <a:extLst>
                <a:ext uri="{FF2B5EF4-FFF2-40B4-BE49-F238E27FC236}">
                  <a16:creationId xmlns:a16="http://schemas.microsoft.com/office/drawing/2014/main" id="{00000000-0008-0000-0D00-000074010000}"/>
                </a:ext>
              </a:extLst>
            </xdr:cNvPr>
            <xdr:cNvSpPr txBox="1"/>
          </xdr:nvSpPr>
          <xdr:spPr>
            <a:xfrm>
              <a:off x="1956486" y="17003413"/>
              <a:ext cx="643582" cy="16733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4630083F-93F9-4C80-805D-25A3B0CD8D86}" type="TxLink">
                <a:rPr lang="en-US" sz="1100" b="0" i="0" u="none" strike="noStrike">
                  <a:solidFill>
                    <a:srgbClr val="000000"/>
                  </a:solidFill>
                  <a:latin typeface="Calibri"/>
                  <a:ea typeface="Calibri"/>
                  <a:cs typeface="Calibri"/>
                </a:rPr>
                <a:pPr/>
                <a:t>N/A</a:t>
              </a:fld>
              <a:endParaRPr lang="es-MX" sz="1100"/>
            </a:p>
          </xdr:txBody>
        </xdr:sp>
      </xdr:grpSp>
      <xdr:grpSp>
        <xdr:nvGrpSpPr>
          <xdr:cNvPr id="374" name="Grupo 373">
            <a:extLst>
              <a:ext uri="{FF2B5EF4-FFF2-40B4-BE49-F238E27FC236}">
                <a16:creationId xmlns:a16="http://schemas.microsoft.com/office/drawing/2014/main" id="{00000000-0008-0000-0D00-000076010000}"/>
              </a:ext>
            </a:extLst>
          </xdr:cNvPr>
          <xdr:cNvGrpSpPr/>
        </xdr:nvGrpSpPr>
        <xdr:grpSpPr>
          <a:xfrm>
            <a:off x="2696861" y="16975606"/>
            <a:ext cx="2168612" cy="233752"/>
            <a:chOff x="369157" y="16977668"/>
            <a:chExt cx="2243782" cy="205946"/>
          </a:xfrm>
        </xdr:grpSpPr>
        <xdr:sp macro="" textlink="Ajustes!A39">
          <xdr:nvSpPr>
            <xdr:cNvPr id="375" name="CuadroTexto 374">
              <a:extLst>
                <a:ext uri="{FF2B5EF4-FFF2-40B4-BE49-F238E27FC236}">
                  <a16:creationId xmlns:a16="http://schemas.microsoft.com/office/drawing/2014/main" id="{00000000-0008-0000-0D00-000077010000}"/>
                </a:ext>
              </a:extLst>
            </xdr:cNvPr>
            <xdr:cNvSpPr txBox="1"/>
          </xdr:nvSpPr>
          <xdr:spPr>
            <a:xfrm>
              <a:off x="369157" y="16977668"/>
              <a:ext cx="2243782" cy="205946"/>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r>
                <a:rPr lang="en-US" sz="1100" b="0" i="0" u="none" strike="noStrike">
                  <a:solidFill>
                    <a:srgbClr val="000000"/>
                  </a:solidFill>
                  <a:latin typeface="+mn-lt"/>
                  <a:ea typeface="Calibri"/>
                  <a:cs typeface="Calibri"/>
                </a:rPr>
                <a:t>Capacidad de rines:  </a:t>
              </a:r>
              <a:endParaRPr lang="es-MX" sz="1100"/>
            </a:p>
          </xdr:txBody>
        </xdr:sp>
        <xdr:sp macro="" textlink="Ajustes!B41">
          <xdr:nvSpPr>
            <xdr:cNvPr id="376" name="CuadroTexto 375">
              <a:extLst>
                <a:ext uri="{FF2B5EF4-FFF2-40B4-BE49-F238E27FC236}">
                  <a16:creationId xmlns:a16="http://schemas.microsoft.com/office/drawing/2014/main" id="{00000000-0008-0000-0D00-000078010000}"/>
                </a:ext>
              </a:extLst>
            </xdr:cNvPr>
            <xdr:cNvSpPr txBox="1"/>
          </xdr:nvSpPr>
          <xdr:spPr>
            <a:xfrm>
              <a:off x="1598142" y="17003413"/>
              <a:ext cx="1001926" cy="1565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411BBD2D-5F9A-4A45-ADC8-4CD0EF7778D4}" type="TxLink">
                <a:rPr lang="en-US" sz="1100" b="0" i="0" u="none" strike="noStrike">
                  <a:solidFill>
                    <a:srgbClr val="000000"/>
                  </a:solidFill>
                  <a:latin typeface="Calibri"/>
                  <a:ea typeface="Calibri"/>
                  <a:cs typeface="Calibri"/>
                </a:rPr>
                <a:pPr/>
                <a:t>N/A</a:t>
              </a:fld>
              <a:endParaRPr lang="es-MX" sz="1100"/>
            </a:p>
          </xdr:txBody>
        </xdr:sp>
      </xdr:grpSp>
      <xdr:grpSp>
        <xdr:nvGrpSpPr>
          <xdr:cNvPr id="377" name="Grupo 376">
            <a:extLst>
              <a:ext uri="{FF2B5EF4-FFF2-40B4-BE49-F238E27FC236}">
                <a16:creationId xmlns:a16="http://schemas.microsoft.com/office/drawing/2014/main" id="{00000000-0008-0000-0D00-000079010000}"/>
              </a:ext>
            </a:extLst>
          </xdr:cNvPr>
          <xdr:cNvGrpSpPr/>
        </xdr:nvGrpSpPr>
        <xdr:grpSpPr>
          <a:xfrm>
            <a:off x="4960207" y="16986419"/>
            <a:ext cx="2168612" cy="233752"/>
            <a:chOff x="369157" y="16977668"/>
            <a:chExt cx="2243782" cy="205946"/>
          </a:xfrm>
          <a:noFill/>
        </xdr:grpSpPr>
        <xdr:sp macro="" textlink="Ajustes!A39">
          <xdr:nvSpPr>
            <xdr:cNvPr id="378" name="CuadroTexto 377">
              <a:extLst>
                <a:ext uri="{FF2B5EF4-FFF2-40B4-BE49-F238E27FC236}">
                  <a16:creationId xmlns:a16="http://schemas.microsoft.com/office/drawing/2014/main" id="{00000000-0008-0000-0D00-00007A010000}"/>
                </a:ext>
              </a:extLst>
            </xdr:cNvPr>
            <xdr:cNvSpPr txBox="1"/>
          </xdr:nvSpPr>
          <xdr:spPr>
            <a:xfrm>
              <a:off x="369157" y="16977668"/>
              <a:ext cx="2243782" cy="205946"/>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r>
                <a:rPr lang="en-US" sz="1100" b="0" i="0" u="none" strike="noStrike">
                  <a:solidFill>
                    <a:srgbClr val="000000"/>
                  </a:solidFill>
                  <a:latin typeface="+mn-lt"/>
                  <a:ea typeface="Calibri"/>
                  <a:cs typeface="Calibri"/>
                </a:rPr>
                <a:t>Capacidad de llantas:   </a:t>
              </a:r>
              <a:endParaRPr lang="es-MX" sz="1100"/>
            </a:p>
          </xdr:txBody>
        </xdr:sp>
        <xdr:sp macro="" textlink="Ajustes!B42">
          <xdr:nvSpPr>
            <xdr:cNvPr id="379" name="CuadroTexto 378">
              <a:extLst>
                <a:ext uri="{FF2B5EF4-FFF2-40B4-BE49-F238E27FC236}">
                  <a16:creationId xmlns:a16="http://schemas.microsoft.com/office/drawing/2014/main" id="{00000000-0008-0000-0D00-00007B010000}"/>
                </a:ext>
              </a:extLst>
            </xdr:cNvPr>
            <xdr:cNvSpPr txBox="1"/>
          </xdr:nvSpPr>
          <xdr:spPr>
            <a:xfrm>
              <a:off x="1736095" y="17003413"/>
              <a:ext cx="863972" cy="159333"/>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779E9B-A7A8-44BA-8472-D9EE76752DA5}" type="TxLink">
                <a:rPr lang="en-US" sz="1100" b="0" i="0" u="none" strike="noStrike">
                  <a:solidFill>
                    <a:srgbClr val="000000"/>
                  </a:solidFill>
                  <a:latin typeface="Calibri"/>
                  <a:ea typeface="Calibri"/>
                  <a:cs typeface="Calibri"/>
                </a:rPr>
                <a:pPr/>
                <a:t>N/A</a:t>
              </a:fld>
              <a:endParaRPr lang="es-MX" sz="1100"/>
            </a:p>
          </xdr:txBody>
        </xdr:sp>
      </xdr:grpSp>
      <xdr:sp macro="" textlink="Ajustes!A39">
        <xdr:nvSpPr>
          <xdr:cNvPr id="380" name="CuadroTexto 379">
            <a:extLst>
              <a:ext uri="{FF2B5EF4-FFF2-40B4-BE49-F238E27FC236}">
                <a16:creationId xmlns:a16="http://schemas.microsoft.com/office/drawing/2014/main" id="{00000000-0008-0000-0D00-00007C010000}"/>
              </a:ext>
            </a:extLst>
          </xdr:cNvPr>
          <xdr:cNvSpPr txBox="1"/>
        </xdr:nvSpPr>
        <xdr:spPr>
          <a:xfrm>
            <a:off x="755305" y="17797333"/>
            <a:ext cx="5933818" cy="257433"/>
          </a:xfrm>
          <a:prstGeom prst="rect">
            <a:avLst/>
          </a:prstGeom>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ctr"/>
            <a:fld id="{B525C97B-622F-4C40-B674-BCD29CEDF9BC}" type="TxLink">
              <a:rPr lang="en-US" sz="1400" b="1" i="0" u="none" strike="noStrike">
                <a:solidFill>
                  <a:srgbClr val="000000"/>
                </a:solidFill>
                <a:latin typeface="Calibri"/>
                <a:ea typeface="Calibri"/>
                <a:cs typeface="Calibri"/>
              </a:rPr>
              <a:pPr algn="ctr"/>
              <a:t> </a:t>
            </a:fld>
            <a:r>
              <a:rPr lang="en-US" sz="1400" b="1" i="0" u="none" strike="noStrike">
                <a:solidFill>
                  <a:srgbClr val="000000"/>
                </a:solidFill>
                <a:latin typeface="Calibri"/>
                <a:ea typeface="Calibri"/>
                <a:cs typeface="Calibri"/>
              </a:rPr>
              <a:t>Ejes Traseros</a:t>
            </a:r>
            <a:endParaRPr lang="es-MX" sz="1400" b="1"/>
          </a:p>
        </xdr:txBody>
      </xdr:sp>
      <xdr:grpSp>
        <xdr:nvGrpSpPr>
          <xdr:cNvPr id="381" name="Grupo 380">
            <a:extLst>
              <a:ext uri="{FF2B5EF4-FFF2-40B4-BE49-F238E27FC236}">
                <a16:creationId xmlns:a16="http://schemas.microsoft.com/office/drawing/2014/main" id="{00000000-0008-0000-0D00-00007D010000}"/>
              </a:ext>
            </a:extLst>
          </xdr:cNvPr>
          <xdr:cNvGrpSpPr/>
        </xdr:nvGrpSpPr>
        <xdr:grpSpPr>
          <a:xfrm>
            <a:off x="367097" y="17273715"/>
            <a:ext cx="2243782" cy="463379"/>
            <a:chOff x="369157" y="16825269"/>
            <a:chExt cx="2243782" cy="604966"/>
          </a:xfrm>
          <a:noFill/>
        </xdr:grpSpPr>
        <xdr:sp macro="" textlink="Ajustes!A39">
          <xdr:nvSpPr>
            <xdr:cNvPr id="382" name="CuadroTexto 381">
              <a:extLst>
                <a:ext uri="{FF2B5EF4-FFF2-40B4-BE49-F238E27FC236}">
                  <a16:creationId xmlns:a16="http://schemas.microsoft.com/office/drawing/2014/main" id="{00000000-0008-0000-0D00-00007E010000}"/>
                </a:ext>
              </a:extLst>
            </xdr:cNvPr>
            <xdr:cNvSpPr txBox="1"/>
          </xdr:nvSpPr>
          <xdr:spPr>
            <a:xfrm>
              <a:off x="369157" y="16825269"/>
              <a:ext cx="2243782" cy="604966"/>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l"/>
              <a:r>
                <a:rPr lang="en-US" sz="1100" b="0" i="0" u="none" strike="noStrike">
                  <a:solidFill>
                    <a:srgbClr val="000000"/>
                  </a:solidFill>
                  <a:latin typeface="+mn-lt"/>
                  <a:ea typeface="Calibri"/>
                  <a:cs typeface="Calibri"/>
                </a:rPr>
                <a:t>Capacidad de eje en </a:t>
              </a:r>
            </a:p>
            <a:p>
              <a:pPr algn="l"/>
              <a:r>
                <a:rPr lang="en-US" sz="1100" b="0" i="0" u="none" strike="noStrike">
                  <a:solidFill>
                    <a:srgbClr val="000000"/>
                  </a:solidFill>
                  <a:latin typeface="+mn-lt"/>
                  <a:ea typeface="Calibri"/>
                  <a:cs typeface="Calibri"/>
                </a:rPr>
                <a:t>posición de montaje</a:t>
              </a:r>
            </a:p>
            <a:p>
              <a:pPr algn="l"/>
              <a:r>
                <a:rPr lang="en-US" sz="1100" b="0" i="0" u="none" strike="noStrike">
                  <a:solidFill>
                    <a:srgbClr val="000000"/>
                  </a:solidFill>
                  <a:latin typeface="+mn-lt"/>
                  <a:ea typeface="Calibri"/>
                  <a:cs typeface="Calibri"/>
                </a:rPr>
                <a:t> </a:t>
              </a:r>
              <a:endParaRPr lang="es-MX" sz="1100"/>
            </a:p>
          </xdr:txBody>
        </xdr:sp>
        <xdr:sp macro="" textlink="Ajustes!B44">
          <xdr:nvSpPr>
            <xdr:cNvPr id="383" name="CuadroTexto 382">
              <a:extLst>
                <a:ext uri="{FF2B5EF4-FFF2-40B4-BE49-F238E27FC236}">
                  <a16:creationId xmlns:a16="http://schemas.microsoft.com/office/drawing/2014/main" id="{00000000-0008-0000-0D00-00007F010000}"/>
                </a:ext>
              </a:extLst>
            </xdr:cNvPr>
            <xdr:cNvSpPr txBox="1"/>
          </xdr:nvSpPr>
          <xdr:spPr>
            <a:xfrm>
              <a:off x="1956486" y="17003413"/>
              <a:ext cx="643582" cy="16733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8B8E33C-8AC9-4716-A009-AF29CB6FD9A2}" type="TxLink">
                <a:rPr lang="en-US" sz="1100" b="0" i="0" u="none" strike="noStrike">
                  <a:solidFill>
                    <a:srgbClr val="000000"/>
                  </a:solidFill>
                  <a:latin typeface="Calibri"/>
                  <a:ea typeface="Calibri"/>
                  <a:cs typeface="Calibri"/>
                </a:rPr>
                <a:pPr/>
                <a:t>N/A</a:t>
              </a:fld>
              <a:endParaRPr lang="es-MX" sz="1100"/>
            </a:p>
          </xdr:txBody>
        </xdr:sp>
      </xdr:grpSp>
      <xdr:grpSp>
        <xdr:nvGrpSpPr>
          <xdr:cNvPr id="384" name="Grupo 383">
            <a:extLst>
              <a:ext uri="{FF2B5EF4-FFF2-40B4-BE49-F238E27FC236}">
                <a16:creationId xmlns:a16="http://schemas.microsoft.com/office/drawing/2014/main" id="{00000000-0008-0000-0D00-000080010000}"/>
              </a:ext>
            </a:extLst>
          </xdr:cNvPr>
          <xdr:cNvGrpSpPr/>
        </xdr:nvGrpSpPr>
        <xdr:grpSpPr>
          <a:xfrm>
            <a:off x="4960209" y="17271654"/>
            <a:ext cx="2183542" cy="491183"/>
            <a:chOff x="369157" y="16825269"/>
            <a:chExt cx="2243782" cy="604966"/>
          </a:xfrm>
          <a:noFill/>
        </xdr:grpSpPr>
        <xdr:sp macro="" textlink="Ajustes!A39">
          <xdr:nvSpPr>
            <xdr:cNvPr id="385" name="CuadroTexto 384">
              <a:extLst>
                <a:ext uri="{FF2B5EF4-FFF2-40B4-BE49-F238E27FC236}">
                  <a16:creationId xmlns:a16="http://schemas.microsoft.com/office/drawing/2014/main" id="{00000000-0008-0000-0D00-000081010000}"/>
                </a:ext>
              </a:extLst>
            </xdr:cNvPr>
            <xdr:cNvSpPr txBox="1"/>
          </xdr:nvSpPr>
          <xdr:spPr>
            <a:xfrm>
              <a:off x="369157" y="16825269"/>
              <a:ext cx="2243782" cy="604966"/>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l"/>
              <a:r>
                <a:rPr lang="en-US" sz="1100" b="0" i="0" u="none" strike="noStrike">
                  <a:solidFill>
                    <a:srgbClr val="000000"/>
                  </a:solidFill>
                  <a:latin typeface="+mn-lt"/>
                  <a:ea typeface="Calibri"/>
                  <a:cs typeface="Calibri"/>
                </a:rPr>
                <a:t>Capacidad de espigas </a:t>
              </a:r>
            </a:p>
            <a:p>
              <a:pPr algn="l"/>
              <a:r>
                <a:rPr lang="en-US" sz="1100" b="0" i="0" u="none" strike="noStrike">
                  <a:solidFill>
                    <a:srgbClr val="000000"/>
                  </a:solidFill>
                  <a:latin typeface="+mn-lt"/>
                  <a:ea typeface="Calibri"/>
                  <a:cs typeface="Calibri"/>
                </a:rPr>
                <a:t>de eje: </a:t>
              </a:r>
              <a:endParaRPr lang="es-MX" sz="1100"/>
            </a:p>
          </xdr:txBody>
        </xdr:sp>
        <xdr:sp macro="" textlink="Ajustes!B45">
          <xdr:nvSpPr>
            <xdr:cNvPr id="386" name="CuadroTexto 385">
              <a:extLst>
                <a:ext uri="{FF2B5EF4-FFF2-40B4-BE49-F238E27FC236}">
                  <a16:creationId xmlns:a16="http://schemas.microsoft.com/office/drawing/2014/main" id="{00000000-0008-0000-0D00-000082010000}"/>
                </a:ext>
              </a:extLst>
            </xdr:cNvPr>
            <xdr:cNvSpPr txBox="1"/>
          </xdr:nvSpPr>
          <xdr:spPr>
            <a:xfrm>
              <a:off x="1779654" y="16875369"/>
              <a:ext cx="793603" cy="507307"/>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55B91CDA-70D8-4697-959D-1662824B7E24}" type="TxLink">
                <a:rPr lang="en-US" sz="1100" b="0" i="0" u="none" strike="noStrike">
                  <a:solidFill>
                    <a:srgbClr val="000000"/>
                  </a:solidFill>
                  <a:latin typeface="Calibri"/>
                  <a:ea typeface="Calibri"/>
                  <a:cs typeface="Calibri"/>
                </a:rPr>
                <a:pPr/>
                <a:t>N/A</a:t>
              </a:fld>
              <a:endParaRPr lang="es-MX" sz="1100"/>
            </a:p>
          </xdr:txBody>
        </xdr:sp>
      </xdr:grpSp>
      <xdr:grpSp>
        <xdr:nvGrpSpPr>
          <xdr:cNvPr id="387" name="Grupo 386">
            <a:extLst>
              <a:ext uri="{FF2B5EF4-FFF2-40B4-BE49-F238E27FC236}">
                <a16:creationId xmlns:a16="http://schemas.microsoft.com/office/drawing/2014/main" id="{00000000-0008-0000-0D00-000083010000}"/>
              </a:ext>
            </a:extLst>
          </xdr:cNvPr>
          <xdr:cNvGrpSpPr/>
        </xdr:nvGrpSpPr>
        <xdr:grpSpPr>
          <a:xfrm>
            <a:off x="2707674" y="17282466"/>
            <a:ext cx="2168612" cy="351656"/>
            <a:chOff x="369157" y="16977668"/>
            <a:chExt cx="2243782" cy="205946"/>
          </a:xfrm>
          <a:noFill/>
        </xdr:grpSpPr>
        <xdr:sp macro="" textlink="Ajustes!A39">
          <xdr:nvSpPr>
            <xdr:cNvPr id="388" name="CuadroTexto 387">
              <a:extLst>
                <a:ext uri="{FF2B5EF4-FFF2-40B4-BE49-F238E27FC236}">
                  <a16:creationId xmlns:a16="http://schemas.microsoft.com/office/drawing/2014/main" id="{00000000-0008-0000-0D00-000084010000}"/>
                </a:ext>
              </a:extLst>
            </xdr:cNvPr>
            <xdr:cNvSpPr txBox="1"/>
          </xdr:nvSpPr>
          <xdr:spPr>
            <a:xfrm>
              <a:off x="369157" y="16977668"/>
              <a:ext cx="2243782" cy="205946"/>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r>
                <a:rPr lang="en-US" sz="1100" b="0" i="0" u="none" strike="noStrike">
                  <a:solidFill>
                    <a:srgbClr val="000000"/>
                  </a:solidFill>
                  <a:latin typeface="+mn-lt"/>
                  <a:ea typeface="Calibri"/>
                  <a:cs typeface="Calibri"/>
                </a:rPr>
                <a:t>Presión de inflado:</a:t>
              </a:r>
              <a:endParaRPr lang="es-MX" sz="1100"/>
            </a:p>
          </xdr:txBody>
        </xdr:sp>
        <xdr:sp macro="" textlink="Ajustes!D45">
          <xdr:nvSpPr>
            <xdr:cNvPr id="389" name="CuadroTexto 388">
              <a:extLst>
                <a:ext uri="{FF2B5EF4-FFF2-40B4-BE49-F238E27FC236}">
                  <a16:creationId xmlns:a16="http://schemas.microsoft.com/office/drawing/2014/main" id="{00000000-0008-0000-0D00-000085010000}"/>
                </a:ext>
              </a:extLst>
            </xdr:cNvPr>
            <xdr:cNvSpPr txBox="1"/>
          </xdr:nvSpPr>
          <xdr:spPr>
            <a:xfrm>
              <a:off x="1598142" y="17003413"/>
              <a:ext cx="1001926" cy="156518"/>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8B8A9C7A-CC21-4608-AB6B-64B34532DBAE}" type="TxLink">
                <a:rPr lang="en-US" sz="1100" b="0" i="0" u="none" strike="noStrike">
                  <a:solidFill>
                    <a:srgbClr val="000000"/>
                  </a:solidFill>
                  <a:latin typeface="Calibri"/>
                  <a:ea typeface="Calibri"/>
                  <a:cs typeface="Calibri"/>
                </a:rPr>
                <a:pPr/>
                <a:t>N/A</a:t>
              </a:fld>
              <a:endParaRPr lang="es-MX" sz="1100"/>
            </a:p>
          </xdr:txBody>
        </xdr:sp>
      </xdr:grpSp>
      <xdr:grpSp>
        <xdr:nvGrpSpPr>
          <xdr:cNvPr id="390" name="Grupo 389">
            <a:extLst>
              <a:ext uri="{FF2B5EF4-FFF2-40B4-BE49-F238E27FC236}">
                <a16:creationId xmlns:a16="http://schemas.microsoft.com/office/drawing/2014/main" id="{00000000-0008-0000-0D00-000086010000}"/>
              </a:ext>
            </a:extLst>
          </xdr:cNvPr>
          <xdr:cNvGrpSpPr/>
        </xdr:nvGrpSpPr>
        <xdr:grpSpPr>
          <a:xfrm>
            <a:off x="347534" y="18104189"/>
            <a:ext cx="2419864" cy="289358"/>
            <a:chOff x="369157" y="16977668"/>
            <a:chExt cx="2243782" cy="205946"/>
          </a:xfrm>
          <a:noFill/>
        </xdr:grpSpPr>
        <xdr:sp macro="" textlink="Ajustes!A39">
          <xdr:nvSpPr>
            <xdr:cNvPr id="391" name="CuadroTexto 390">
              <a:extLst>
                <a:ext uri="{FF2B5EF4-FFF2-40B4-BE49-F238E27FC236}">
                  <a16:creationId xmlns:a16="http://schemas.microsoft.com/office/drawing/2014/main" id="{00000000-0008-0000-0D00-000087010000}"/>
                </a:ext>
              </a:extLst>
            </xdr:cNvPr>
            <xdr:cNvSpPr txBox="1"/>
          </xdr:nvSpPr>
          <xdr:spPr>
            <a:xfrm>
              <a:off x="369157" y="16977668"/>
              <a:ext cx="2243782" cy="205946"/>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r>
                <a:rPr lang="en-US" sz="1050" b="0" i="0" u="none" strike="noStrike">
                  <a:solidFill>
                    <a:srgbClr val="000000"/>
                  </a:solidFill>
                  <a:latin typeface="+mn-lt"/>
                  <a:ea typeface="Calibri"/>
                  <a:cs typeface="Calibri"/>
                </a:rPr>
                <a:t>Capacidad de suspensión: </a:t>
              </a:r>
              <a:endParaRPr lang="es-MX" sz="1050"/>
            </a:p>
          </xdr:txBody>
        </xdr:sp>
        <xdr:sp macro="" textlink="Ajustes!B47">
          <xdr:nvSpPr>
            <xdr:cNvPr id="392" name="CuadroTexto 391">
              <a:extLst>
                <a:ext uri="{FF2B5EF4-FFF2-40B4-BE49-F238E27FC236}">
                  <a16:creationId xmlns:a16="http://schemas.microsoft.com/office/drawing/2014/main" id="{00000000-0008-0000-0D00-000088010000}"/>
                </a:ext>
              </a:extLst>
            </xdr:cNvPr>
            <xdr:cNvSpPr txBox="1"/>
          </xdr:nvSpPr>
          <xdr:spPr>
            <a:xfrm>
              <a:off x="1744742" y="16999422"/>
              <a:ext cx="855328" cy="17542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627EDFE-BDA5-49AD-9046-60CBBC9E82D7}" type="TxLink">
                <a:rPr lang="en-US" sz="1050" b="0" i="0" u="none" strike="noStrike">
                  <a:solidFill>
                    <a:srgbClr val="000000"/>
                  </a:solidFill>
                  <a:latin typeface="Calibri"/>
                  <a:ea typeface="Calibri"/>
                  <a:cs typeface="Calibri"/>
                </a:rPr>
                <a:pPr/>
                <a:t>13,607.70 Kg.</a:t>
              </a:fld>
              <a:endParaRPr lang="es-MX" sz="1050"/>
            </a:p>
          </xdr:txBody>
        </xdr:sp>
      </xdr:grpSp>
      <xdr:grpSp>
        <xdr:nvGrpSpPr>
          <xdr:cNvPr id="393" name="Grupo 392">
            <a:extLst>
              <a:ext uri="{FF2B5EF4-FFF2-40B4-BE49-F238E27FC236}">
                <a16:creationId xmlns:a16="http://schemas.microsoft.com/office/drawing/2014/main" id="{00000000-0008-0000-0D00-000089010000}"/>
              </a:ext>
            </a:extLst>
          </xdr:cNvPr>
          <xdr:cNvGrpSpPr/>
        </xdr:nvGrpSpPr>
        <xdr:grpSpPr>
          <a:xfrm>
            <a:off x="2842570" y="18115000"/>
            <a:ext cx="2022904" cy="278547"/>
            <a:chOff x="369157" y="16977668"/>
            <a:chExt cx="2243782" cy="205946"/>
          </a:xfrm>
          <a:noFill/>
        </xdr:grpSpPr>
        <xdr:sp macro="" textlink="Ajustes!A39">
          <xdr:nvSpPr>
            <xdr:cNvPr id="394" name="CuadroTexto 393">
              <a:extLst>
                <a:ext uri="{FF2B5EF4-FFF2-40B4-BE49-F238E27FC236}">
                  <a16:creationId xmlns:a16="http://schemas.microsoft.com/office/drawing/2014/main" id="{00000000-0008-0000-0D00-00008A010000}"/>
                </a:ext>
              </a:extLst>
            </xdr:cNvPr>
            <xdr:cNvSpPr txBox="1"/>
          </xdr:nvSpPr>
          <xdr:spPr>
            <a:xfrm>
              <a:off x="369157" y="16977668"/>
              <a:ext cx="2243782" cy="205946"/>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r>
                <a:rPr lang="en-US" sz="1000" b="0" i="0" u="none" strike="noStrike">
                  <a:solidFill>
                    <a:srgbClr val="000000"/>
                  </a:solidFill>
                  <a:latin typeface="+mn-lt"/>
                  <a:ea typeface="Calibri"/>
                  <a:cs typeface="Calibri"/>
                </a:rPr>
                <a:t>Capacidad de rines: </a:t>
              </a:r>
              <a:endParaRPr lang="es-MX" sz="1000"/>
            </a:p>
          </xdr:txBody>
        </xdr:sp>
        <xdr:sp macro="" textlink="Ajustes!B48">
          <xdr:nvSpPr>
            <xdr:cNvPr id="395" name="CuadroTexto 394">
              <a:extLst>
                <a:ext uri="{FF2B5EF4-FFF2-40B4-BE49-F238E27FC236}">
                  <a16:creationId xmlns:a16="http://schemas.microsoft.com/office/drawing/2014/main" id="{00000000-0008-0000-0D00-00008B010000}"/>
                </a:ext>
              </a:extLst>
            </xdr:cNvPr>
            <xdr:cNvSpPr txBox="1"/>
          </xdr:nvSpPr>
          <xdr:spPr>
            <a:xfrm>
              <a:off x="1575337" y="16999422"/>
              <a:ext cx="1024733" cy="168127"/>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F9940F96-734B-4511-82BD-8347A390F200}" type="TxLink">
                <a:rPr lang="en-US" sz="1050" b="0" i="0" u="none" strike="noStrike">
                  <a:solidFill>
                    <a:srgbClr val="000000"/>
                  </a:solidFill>
                  <a:latin typeface="Calibri"/>
                  <a:ea typeface="Calibri"/>
                  <a:cs typeface="Calibri"/>
                </a:rPr>
                <a:pPr/>
                <a:t>14,152.01 Kg.</a:t>
              </a:fld>
              <a:endParaRPr lang="es-MX" sz="1050"/>
            </a:p>
          </xdr:txBody>
        </xdr:sp>
      </xdr:grpSp>
      <xdr:grpSp>
        <xdr:nvGrpSpPr>
          <xdr:cNvPr id="396" name="Grupo 395">
            <a:extLst>
              <a:ext uri="{FF2B5EF4-FFF2-40B4-BE49-F238E27FC236}">
                <a16:creationId xmlns:a16="http://schemas.microsoft.com/office/drawing/2014/main" id="{00000000-0008-0000-0D00-00008C010000}"/>
              </a:ext>
            </a:extLst>
          </xdr:cNvPr>
          <xdr:cNvGrpSpPr/>
        </xdr:nvGrpSpPr>
        <xdr:grpSpPr>
          <a:xfrm>
            <a:off x="4938584" y="18112941"/>
            <a:ext cx="2218038" cy="280606"/>
            <a:chOff x="369157" y="16977668"/>
            <a:chExt cx="2243782" cy="205946"/>
          </a:xfrm>
          <a:noFill/>
        </xdr:grpSpPr>
        <xdr:sp macro="" textlink="Ajustes!A39">
          <xdr:nvSpPr>
            <xdr:cNvPr id="397" name="CuadroTexto 396">
              <a:extLst>
                <a:ext uri="{FF2B5EF4-FFF2-40B4-BE49-F238E27FC236}">
                  <a16:creationId xmlns:a16="http://schemas.microsoft.com/office/drawing/2014/main" id="{00000000-0008-0000-0D00-00008D010000}"/>
                </a:ext>
              </a:extLst>
            </xdr:cNvPr>
            <xdr:cNvSpPr txBox="1"/>
          </xdr:nvSpPr>
          <xdr:spPr>
            <a:xfrm>
              <a:off x="369157" y="16977668"/>
              <a:ext cx="2243782" cy="205946"/>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r>
                <a:rPr lang="en-US" sz="1000" b="0" i="0" u="none" strike="noStrike">
                  <a:solidFill>
                    <a:srgbClr val="000000"/>
                  </a:solidFill>
                  <a:latin typeface="+mn-lt"/>
                  <a:ea typeface="Calibri"/>
                  <a:cs typeface="Calibri"/>
                </a:rPr>
                <a:t>Capacidad de llantas:</a:t>
              </a:r>
              <a:endParaRPr lang="es-MX" sz="1000"/>
            </a:p>
          </xdr:txBody>
        </xdr:sp>
        <xdr:sp macro="" textlink="Ajustes!B49">
          <xdr:nvSpPr>
            <xdr:cNvPr id="398" name="CuadroTexto 397">
              <a:extLst>
                <a:ext uri="{FF2B5EF4-FFF2-40B4-BE49-F238E27FC236}">
                  <a16:creationId xmlns:a16="http://schemas.microsoft.com/office/drawing/2014/main" id="{00000000-0008-0000-0D00-00008E010000}"/>
                </a:ext>
              </a:extLst>
            </xdr:cNvPr>
            <xdr:cNvSpPr txBox="1"/>
          </xdr:nvSpPr>
          <xdr:spPr>
            <a:xfrm>
              <a:off x="1575337" y="16999422"/>
              <a:ext cx="1024733" cy="168127"/>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F6D2A68A-75B3-4E95-B5A3-4BDDB963BC18}" type="TxLink">
                <a:rPr lang="en-US" sz="1000" b="0" i="0" u="none" strike="noStrike">
                  <a:solidFill>
                    <a:srgbClr val="000000"/>
                  </a:solidFill>
                  <a:latin typeface="Calibri"/>
                  <a:ea typeface="Calibri"/>
                  <a:cs typeface="Calibri"/>
                </a:rPr>
                <a:pPr/>
                <a:t>11,996.55 Kg.</a:t>
              </a:fld>
              <a:endParaRPr lang="es-MX" sz="900"/>
            </a:p>
          </xdr:txBody>
        </xdr:sp>
      </xdr:grpSp>
      <xdr:grpSp>
        <xdr:nvGrpSpPr>
          <xdr:cNvPr id="399" name="Grupo 398">
            <a:extLst>
              <a:ext uri="{FF2B5EF4-FFF2-40B4-BE49-F238E27FC236}">
                <a16:creationId xmlns:a16="http://schemas.microsoft.com/office/drawing/2014/main" id="{00000000-0008-0000-0D00-00008F010000}"/>
              </a:ext>
            </a:extLst>
          </xdr:cNvPr>
          <xdr:cNvGrpSpPr/>
        </xdr:nvGrpSpPr>
        <xdr:grpSpPr>
          <a:xfrm>
            <a:off x="416524" y="18442972"/>
            <a:ext cx="2243782" cy="478310"/>
            <a:chOff x="369157" y="16825269"/>
            <a:chExt cx="2243782" cy="604966"/>
          </a:xfrm>
          <a:noFill/>
        </xdr:grpSpPr>
        <xdr:sp macro="" textlink="Ajustes!A39">
          <xdr:nvSpPr>
            <xdr:cNvPr id="400" name="CuadroTexto 399">
              <a:extLst>
                <a:ext uri="{FF2B5EF4-FFF2-40B4-BE49-F238E27FC236}">
                  <a16:creationId xmlns:a16="http://schemas.microsoft.com/office/drawing/2014/main" id="{00000000-0008-0000-0D00-000090010000}"/>
                </a:ext>
              </a:extLst>
            </xdr:cNvPr>
            <xdr:cNvSpPr txBox="1"/>
          </xdr:nvSpPr>
          <xdr:spPr>
            <a:xfrm>
              <a:off x="369157" y="16825269"/>
              <a:ext cx="2243782" cy="604966"/>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l"/>
              <a:r>
                <a:rPr lang="en-US" sz="1100" b="0" i="0" u="none" strike="noStrike">
                  <a:solidFill>
                    <a:srgbClr val="000000"/>
                  </a:solidFill>
                  <a:latin typeface="+mn-lt"/>
                  <a:ea typeface="Calibri"/>
                  <a:cs typeface="Calibri"/>
                </a:rPr>
                <a:t>Capacidad de eje en </a:t>
              </a:r>
            </a:p>
            <a:p>
              <a:pPr algn="l"/>
              <a:r>
                <a:rPr lang="en-US" sz="1100" b="0" i="0" u="none" strike="noStrike">
                  <a:solidFill>
                    <a:srgbClr val="000000"/>
                  </a:solidFill>
                  <a:latin typeface="+mn-lt"/>
                  <a:ea typeface="Calibri"/>
                  <a:cs typeface="Calibri"/>
                </a:rPr>
                <a:t>posición de montaje</a:t>
              </a:r>
            </a:p>
            <a:p>
              <a:pPr algn="l"/>
              <a:r>
                <a:rPr lang="en-US" sz="1100" b="0" i="0" u="none" strike="noStrike">
                  <a:solidFill>
                    <a:srgbClr val="000000"/>
                  </a:solidFill>
                  <a:latin typeface="+mn-lt"/>
                  <a:ea typeface="Calibri"/>
                  <a:cs typeface="Calibri"/>
                </a:rPr>
                <a:t> </a:t>
              </a:r>
              <a:endParaRPr lang="es-MX" sz="1100"/>
            </a:p>
          </xdr:txBody>
        </xdr:sp>
        <xdr:sp macro="" textlink="Ajustes!B51">
          <xdr:nvSpPr>
            <xdr:cNvPr id="401" name="CuadroTexto 400">
              <a:extLst>
                <a:ext uri="{FF2B5EF4-FFF2-40B4-BE49-F238E27FC236}">
                  <a16:creationId xmlns:a16="http://schemas.microsoft.com/office/drawing/2014/main" id="{00000000-0008-0000-0D00-000091010000}"/>
                </a:ext>
              </a:extLst>
            </xdr:cNvPr>
            <xdr:cNvSpPr txBox="1"/>
          </xdr:nvSpPr>
          <xdr:spPr>
            <a:xfrm>
              <a:off x="1728917" y="16895179"/>
              <a:ext cx="849527" cy="504137"/>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365B95EE-F056-49B7-A335-307D2718BCE1}" type="TxLink">
                <a:rPr lang="en-US" sz="1100" b="0" i="0" u="none" strike="noStrike">
                  <a:solidFill>
                    <a:srgbClr val="000000"/>
                  </a:solidFill>
                  <a:latin typeface="Calibri"/>
                  <a:ea typeface="Calibri"/>
                  <a:cs typeface="Calibri"/>
                </a:rPr>
                <a:pPr/>
                <a:t>0,000 kg</a:t>
              </a:fld>
              <a:endParaRPr lang="es-MX" sz="1100"/>
            </a:p>
          </xdr:txBody>
        </xdr:sp>
      </xdr:grpSp>
      <xdr:grpSp>
        <xdr:nvGrpSpPr>
          <xdr:cNvPr id="402" name="Grupo 401">
            <a:extLst>
              <a:ext uri="{FF2B5EF4-FFF2-40B4-BE49-F238E27FC236}">
                <a16:creationId xmlns:a16="http://schemas.microsoft.com/office/drawing/2014/main" id="{00000000-0008-0000-0D00-000092010000}"/>
              </a:ext>
            </a:extLst>
          </xdr:cNvPr>
          <xdr:cNvGrpSpPr/>
        </xdr:nvGrpSpPr>
        <xdr:grpSpPr>
          <a:xfrm>
            <a:off x="4958150" y="18440912"/>
            <a:ext cx="2225633" cy="491183"/>
            <a:chOff x="369157" y="16825269"/>
            <a:chExt cx="2287034" cy="604966"/>
          </a:xfrm>
          <a:noFill/>
        </xdr:grpSpPr>
        <xdr:sp macro="" textlink="Ajustes!A39">
          <xdr:nvSpPr>
            <xdr:cNvPr id="403" name="CuadroTexto 402">
              <a:extLst>
                <a:ext uri="{FF2B5EF4-FFF2-40B4-BE49-F238E27FC236}">
                  <a16:creationId xmlns:a16="http://schemas.microsoft.com/office/drawing/2014/main" id="{00000000-0008-0000-0D00-000093010000}"/>
                </a:ext>
              </a:extLst>
            </xdr:cNvPr>
            <xdr:cNvSpPr txBox="1"/>
          </xdr:nvSpPr>
          <xdr:spPr>
            <a:xfrm>
              <a:off x="369157" y="16825269"/>
              <a:ext cx="2243782" cy="604966"/>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l"/>
              <a:r>
                <a:rPr lang="en-US" sz="1100" b="0" i="0" u="none" strike="noStrike">
                  <a:solidFill>
                    <a:srgbClr val="000000"/>
                  </a:solidFill>
                  <a:latin typeface="+mn-lt"/>
                  <a:ea typeface="Calibri"/>
                  <a:cs typeface="Calibri"/>
                </a:rPr>
                <a:t>Capacidad de espigas </a:t>
              </a:r>
            </a:p>
            <a:p>
              <a:pPr algn="l"/>
              <a:r>
                <a:rPr lang="en-US" sz="1100" b="0" i="0" u="none" strike="noStrike">
                  <a:solidFill>
                    <a:srgbClr val="000000"/>
                  </a:solidFill>
                  <a:latin typeface="+mn-lt"/>
                  <a:ea typeface="Calibri"/>
                  <a:cs typeface="Calibri"/>
                </a:rPr>
                <a:t>de eje: </a:t>
              </a:r>
              <a:endParaRPr lang="es-MX" sz="1100"/>
            </a:p>
          </xdr:txBody>
        </xdr:sp>
        <xdr:sp macro="" textlink="Ajustes!B52">
          <xdr:nvSpPr>
            <xdr:cNvPr id="404" name="CuadroTexto 403">
              <a:extLst>
                <a:ext uri="{FF2B5EF4-FFF2-40B4-BE49-F238E27FC236}">
                  <a16:creationId xmlns:a16="http://schemas.microsoft.com/office/drawing/2014/main" id="{00000000-0008-0000-0D00-000094010000}"/>
                </a:ext>
              </a:extLst>
            </xdr:cNvPr>
            <xdr:cNvSpPr txBox="1"/>
          </xdr:nvSpPr>
          <xdr:spPr>
            <a:xfrm>
              <a:off x="1779654" y="16875370"/>
              <a:ext cx="876537" cy="507307"/>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5A3C3C34-1E3A-4C5F-AD3A-DA6224F08339}" type="TxLink">
                <a:rPr lang="en-US" sz="1100" b="0" i="0" u="none" strike="noStrike">
                  <a:solidFill>
                    <a:srgbClr val="000000"/>
                  </a:solidFill>
                  <a:latin typeface="Calibri"/>
                  <a:ea typeface="Calibri"/>
                  <a:cs typeface="Calibri"/>
                </a:rPr>
                <a:pPr/>
                <a:t>0,000 kg</a:t>
              </a:fld>
              <a:endParaRPr lang="en-US" sz="1100" b="0" i="0" u="none" strike="noStrike">
                <a:solidFill>
                  <a:srgbClr val="000000"/>
                </a:solidFill>
                <a:latin typeface="Calibri"/>
                <a:ea typeface="Calibri"/>
                <a:cs typeface="Calibri"/>
              </a:endParaRPr>
            </a:p>
          </xdr:txBody>
        </xdr:sp>
      </xdr:grpSp>
      <xdr:grpSp>
        <xdr:nvGrpSpPr>
          <xdr:cNvPr id="405" name="Grupo 404">
            <a:extLst>
              <a:ext uri="{FF2B5EF4-FFF2-40B4-BE49-F238E27FC236}">
                <a16:creationId xmlns:a16="http://schemas.microsoft.com/office/drawing/2014/main" id="{00000000-0008-0000-0D00-000095010000}"/>
              </a:ext>
            </a:extLst>
          </xdr:cNvPr>
          <xdr:cNvGrpSpPr/>
        </xdr:nvGrpSpPr>
        <xdr:grpSpPr>
          <a:xfrm>
            <a:off x="2718486" y="18451724"/>
            <a:ext cx="2168612" cy="351656"/>
            <a:chOff x="369157" y="16977668"/>
            <a:chExt cx="2243782" cy="205946"/>
          </a:xfrm>
          <a:noFill/>
        </xdr:grpSpPr>
        <xdr:sp macro="" textlink="Ajustes!A39">
          <xdr:nvSpPr>
            <xdr:cNvPr id="406" name="CuadroTexto 405">
              <a:extLst>
                <a:ext uri="{FF2B5EF4-FFF2-40B4-BE49-F238E27FC236}">
                  <a16:creationId xmlns:a16="http://schemas.microsoft.com/office/drawing/2014/main" id="{00000000-0008-0000-0D00-000096010000}"/>
                </a:ext>
              </a:extLst>
            </xdr:cNvPr>
            <xdr:cNvSpPr txBox="1"/>
          </xdr:nvSpPr>
          <xdr:spPr>
            <a:xfrm>
              <a:off x="369157" y="16977668"/>
              <a:ext cx="2243782" cy="205946"/>
            </a:xfrm>
            <a:prstGeom prst="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r>
                <a:rPr lang="en-US" sz="1100" b="0" i="0" u="none" strike="noStrike">
                  <a:solidFill>
                    <a:srgbClr val="000000"/>
                  </a:solidFill>
                  <a:latin typeface="+mn-lt"/>
                  <a:ea typeface="Calibri"/>
                  <a:cs typeface="Calibri"/>
                </a:rPr>
                <a:t>Presión de inflado:</a:t>
              </a:r>
              <a:endParaRPr lang="es-MX" sz="1100"/>
            </a:p>
          </xdr:txBody>
        </xdr:sp>
        <xdr:sp macro="" textlink="Ajustes!D51">
          <xdr:nvSpPr>
            <xdr:cNvPr id="407" name="CuadroTexto 406">
              <a:extLst>
                <a:ext uri="{FF2B5EF4-FFF2-40B4-BE49-F238E27FC236}">
                  <a16:creationId xmlns:a16="http://schemas.microsoft.com/office/drawing/2014/main" id="{00000000-0008-0000-0D00-000097010000}"/>
                </a:ext>
              </a:extLst>
            </xdr:cNvPr>
            <xdr:cNvSpPr txBox="1"/>
          </xdr:nvSpPr>
          <xdr:spPr>
            <a:xfrm>
              <a:off x="1598142" y="17003413"/>
              <a:ext cx="1001926" cy="156518"/>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4214E3B2-337B-4E4F-ACEC-5C96616E74F9}" type="TxLink">
                <a:rPr lang="en-US" sz="1000" b="0" i="0" u="none" strike="noStrike">
                  <a:solidFill>
                    <a:srgbClr val="000000"/>
                  </a:solidFill>
                  <a:latin typeface="Calibri"/>
                  <a:ea typeface="Calibri"/>
                  <a:cs typeface="Calibri"/>
                </a:rPr>
                <a:pPr/>
                <a:t>830 KPa.</a:t>
              </a:fld>
              <a:endParaRPr lang="es-MX" sz="1200"/>
            </a:p>
          </xdr:txBody>
        </xdr:sp>
      </xdr:grpSp>
    </xdr:grpSp>
    <xdr:clientData/>
  </xdr:twoCellAnchor>
  <xdr:oneCellAnchor>
    <xdr:from>
      <xdr:col>0</xdr:col>
      <xdr:colOff>1</xdr:colOff>
      <xdr:row>114</xdr:row>
      <xdr:rowOff>38100</xdr:rowOff>
    </xdr:from>
    <xdr:ext cx="6819900" cy="991870"/>
    <xdr:pic>
      <xdr:nvPicPr>
        <xdr:cNvPr id="8" name="image2.jpeg">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 y="20421600"/>
          <a:ext cx="6819900" cy="991870"/>
        </a:xfrm>
        <a:prstGeom prst="rect">
          <a:avLst/>
        </a:prstGeom>
      </xdr:spPr>
    </xdr:pic>
    <xdr:clientData/>
  </xdr:oneCellAnchor>
  <xdr:twoCellAnchor>
    <xdr:from>
      <xdr:col>0</xdr:col>
      <xdr:colOff>0</xdr:colOff>
      <xdr:row>143</xdr:row>
      <xdr:rowOff>104775</xdr:rowOff>
    </xdr:from>
    <xdr:to>
      <xdr:col>8</xdr:col>
      <xdr:colOff>438152</xdr:colOff>
      <xdr:row>149</xdr:row>
      <xdr:rowOff>95249</xdr:rowOff>
    </xdr:to>
    <xdr:grpSp>
      <xdr:nvGrpSpPr>
        <xdr:cNvPr id="71" name="Grupo 70">
          <a:extLst>
            <a:ext uri="{FF2B5EF4-FFF2-40B4-BE49-F238E27FC236}">
              <a16:creationId xmlns:a16="http://schemas.microsoft.com/office/drawing/2014/main" id="{00000000-0008-0000-0D00-000047000000}"/>
            </a:ext>
          </a:extLst>
        </xdr:cNvPr>
        <xdr:cNvGrpSpPr/>
      </xdr:nvGrpSpPr>
      <xdr:grpSpPr>
        <a:xfrm>
          <a:off x="0" y="26462355"/>
          <a:ext cx="6717032" cy="1087754"/>
          <a:chOff x="0" y="25212675"/>
          <a:chExt cx="7000877" cy="1133474"/>
        </a:xfrm>
      </xdr:grpSpPr>
      <xdr:grpSp>
        <xdr:nvGrpSpPr>
          <xdr:cNvPr id="15" name="Grupo 14">
            <a:extLst>
              <a:ext uri="{FF2B5EF4-FFF2-40B4-BE49-F238E27FC236}">
                <a16:creationId xmlns:a16="http://schemas.microsoft.com/office/drawing/2014/main" id="{00000000-0008-0000-0D00-00000F000000}"/>
              </a:ext>
            </a:extLst>
          </xdr:cNvPr>
          <xdr:cNvGrpSpPr/>
        </xdr:nvGrpSpPr>
        <xdr:grpSpPr>
          <a:xfrm>
            <a:off x="0" y="25222200"/>
            <a:ext cx="2143126" cy="190500"/>
            <a:chOff x="3333749" y="24193500"/>
            <a:chExt cx="2143126" cy="190500"/>
          </a:xfrm>
        </xdr:grpSpPr>
        <xdr:sp macro="" textlink="">
          <xdr:nvSpPr>
            <xdr:cNvPr id="13" name="CuadroTexto 12">
              <a:extLst>
                <a:ext uri="{FF2B5EF4-FFF2-40B4-BE49-F238E27FC236}">
                  <a16:creationId xmlns:a16="http://schemas.microsoft.com/office/drawing/2014/main" id="{00000000-0008-0000-0D00-00000D000000}"/>
                </a:ext>
              </a:extLst>
            </xdr:cNvPr>
            <xdr:cNvSpPr txBox="1"/>
          </xdr:nvSpPr>
          <xdr:spPr>
            <a:xfrm>
              <a:off x="3333749" y="24193500"/>
              <a:ext cx="1381125" cy="190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050">
                  <a:latin typeface="+mn-lt"/>
                </a:rPr>
                <a:t>Capacidad de carga:</a:t>
              </a:r>
            </a:p>
          </xdr:txBody>
        </xdr:sp>
        <xdr:sp macro="" textlink="Ajustes!F25">
          <xdr:nvSpPr>
            <xdr:cNvPr id="14" name="CuadroTexto 13">
              <a:extLst>
                <a:ext uri="{FF2B5EF4-FFF2-40B4-BE49-F238E27FC236}">
                  <a16:creationId xmlns:a16="http://schemas.microsoft.com/office/drawing/2014/main" id="{00000000-0008-0000-0D00-00000E000000}"/>
                </a:ext>
              </a:extLst>
            </xdr:cNvPr>
            <xdr:cNvSpPr txBox="1"/>
          </xdr:nvSpPr>
          <xdr:spPr>
            <a:xfrm>
              <a:off x="4724400" y="24203025"/>
              <a:ext cx="752475" cy="1714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F45FB62-7318-4F9B-A602-4145252CB14B}" type="TxLink">
                <a:rPr lang="en-US" sz="1050" b="0" i="0" u="none" strike="noStrike">
                  <a:solidFill>
                    <a:srgbClr val="000000"/>
                  </a:solidFill>
                  <a:latin typeface="+mn-lt"/>
                  <a:ea typeface="Calibri"/>
                  <a:cs typeface="Calibri"/>
                </a:rPr>
                <a:pPr algn="l"/>
                <a:t>30,000 Lb.</a:t>
              </a:fld>
              <a:endParaRPr lang="es-MX" sz="1050">
                <a:latin typeface="+mn-lt"/>
              </a:endParaRPr>
            </a:p>
          </xdr:txBody>
        </xdr:sp>
      </xdr:grpSp>
      <xdr:grpSp>
        <xdr:nvGrpSpPr>
          <xdr:cNvPr id="22" name="Grupo 21">
            <a:extLst>
              <a:ext uri="{FF2B5EF4-FFF2-40B4-BE49-F238E27FC236}">
                <a16:creationId xmlns:a16="http://schemas.microsoft.com/office/drawing/2014/main" id="{00000000-0008-0000-0D00-000016000000}"/>
              </a:ext>
            </a:extLst>
          </xdr:cNvPr>
          <xdr:cNvGrpSpPr/>
        </xdr:nvGrpSpPr>
        <xdr:grpSpPr>
          <a:xfrm>
            <a:off x="0" y="25441275"/>
            <a:ext cx="2143126" cy="190500"/>
            <a:chOff x="3333749" y="24193500"/>
            <a:chExt cx="2143126" cy="190500"/>
          </a:xfrm>
        </xdr:grpSpPr>
        <xdr:sp macro="" textlink="">
          <xdr:nvSpPr>
            <xdr:cNvPr id="23" name="CuadroTexto 22">
              <a:extLst>
                <a:ext uri="{FF2B5EF4-FFF2-40B4-BE49-F238E27FC236}">
                  <a16:creationId xmlns:a16="http://schemas.microsoft.com/office/drawing/2014/main" id="{00000000-0008-0000-0D00-000017000000}"/>
                </a:ext>
              </a:extLst>
            </xdr:cNvPr>
            <xdr:cNvSpPr txBox="1"/>
          </xdr:nvSpPr>
          <xdr:spPr>
            <a:xfrm>
              <a:off x="3333749" y="24193500"/>
              <a:ext cx="1381125" cy="190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050">
                  <a:latin typeface="+mn-lt"/>
                </a:rPr>
                <a:t>Altura total:</a:t>
              </a:r>
            </a:p>
          </xdr:txBody>
        </xdr:sp>
        <xdr:sp macro="" textlink="Ajustes!B33">
          <xdr:nvSpPr>
            <xdr:cNvPr id="24" name="CuadroTexto 23">
              <a:extLst>
                <a:ext uri="{FF2B5EF4-FFF2-40B4-BE49-F238E27FC236}">
                  <a16:creationId xmlns:a16="http://schemas.microsoft.com/office/drawing/2014/main" id="{00000000-0008-0000-0D00-000018000000}"/>
                </a:ext>
              </a:extLst>
            </xdr:cNvPr>
            <xdr:cNvSpPr txBox="1"/>
          </xdr:nvSpPr>
          <xdr:spPr>
            <a:xfrm>
              <a:off x="4724400" y="24203025"/>
              <a:ext cx="752475" cy="1714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601E29E-B443-4E59-AA98-831E95AF4BCE}" type="TxLink">
                <a:rPr lang="en-US" sz="1050" b="0" i="0" u="none" strike="noStrike">
                  <a:solidFill>
                    <a:srgbClr val="000000"/>
                  </a:solidFill>
                  <a:latin typeface="+mn-lt"/>
                  <a:ea typeface="Calibri"/>
                  <a:cs typeface="Calibri"/>
                </a:rPr>
                <a:pPr algn="l"/>
                <a:t>1.30 M.</a:t>
              </a:fld>
              <a:endParaRPr lang="es-MX" sz="1050">
                <a:latin typeface="+mn-lt"/>
              </a:endParaRPr>
            </a:p>
          </xdr:txBody>
        </xdr:sp>
      </xdr:grpSp>
      <xdr:grpSp>
        <xdr:nvGrpSpPr>
          <xdr:cNvPr id="25" name="Grupo 24">
            <a:extLst>
              <a:ext uri="{FF2B5EF4-FFF2-40B4-BE49-F238E27FC236}">
                <a16:creationId xmlns:a16="http://schemas.microsoft.com/office/drawing/2014/main" id="{00000000-0008-0000-0D00-000019000000}"/>
              </a:ext>
            </a:extLst>
          </xdr:cNvPr>
          <xdr:cNvGrpSpPr/>
        </xdr:nvGrpSpPr>
        <xdr:grpSpPr>
          <a:xfrm>
            <a:off x="0" y="25669875"/>
            <a:ext cx="2143127" cy="190500"/>
            <a:chOff x="3333749" y="24193500"/>
            <a:chExt cx="2143127" cy="190500"/>
          </a:xfrm>
        </xdr:grpSpPr>
        <xdr:sp macro="" textlink="">
          <xdr:nvSpPr>
            <xdr:cNvPr id="26" name="CuadroTexto 25">
              <a:extLst>
                <a:ext uri="{FF2B5EF4-FFF2-40B4-BE49-F238E27FC236}">
                  <a16:creationId xmlns:a16="http://schemas.microsoft.com/office/drawing/2014/main" id="{00000000-0008-0000-0D00-00001A000000}"/>
                </a:ext>
              </a:extLst>
            </xdr:cNvPr>
            <xdr:cNvSpPr txBox="1"/>
          </xdr:nvSpPr>
          <xdr:spPr>
            <a:xfrm>
              <a:off x="3333749" y="24193500"/>
              <a:ext cx="1381125" cy="190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050">
                  <a:latin typeface="+mn-lt"/>
                </a:rPr>
                <a:t>P.B.V.D.:</a:t>
              </a:r>
            </a:p>
          </xdr:txBody>
        </xdr:sp>
        <xdr:sp macro="" textlink="Ajustes!B30">
          <xdr:nvSpPr>
            <xdr:cNvPr id="27" name="CuadroTexto 26">
              <a:extLst>
                <a:ext uri="{FF2B5EF4-FFF2-40B4-BE49-F238E27FC236}">
                  <a16:creationId xmlns:a16="http://schemas.microsoft.com/office/drawing/2014/main" id="{00000000-0008-0000-0D00-00001B000000}"/>
                </a:ext>
              </a:extLst>
            </xdr:cNvPr>
            <xdr:cNvSpPr txBox="1"/>
          </xdr:nvSpPr>
          <xdr:spPr>
            <a:xfrm>
              <a:off x="4543424" y="24203025"/>
              <a:ext cx="933452" cy="1809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4583511-84AB-4C38-B872-3A5E719A8426}" type="TxLink">
                <a:rPr lang="en-US" sz="1050" b="0" i="0" u="none" strike="noStrike">
                  <a:solidFill>
                    <a:srgbClr val="000000"/>
                  </a:solidFill>
                  <a:latin typeface="+mn-lt"/>
                  <a:ea typeface="Calibri"/>
                  <a:cs typeface="Calibri"/>
                </a:rPr>
                <a:pPr algn="l"/>
                <a:t>0,000 kg</a:t>
              </a:fld>
              <a:endParaRPr lang="es-MX" sz="1050">
                <a:latin typeface="+mn-lt"/>
              </a:endParaRPr>
            </a:p>
          </xdr:txBody>
        </xdr:sp>
      </xdr:grpSp>
      <xdr:grpSp>
        <xdr:nvGrpSpPr>
          <xdr:cNvPr id="28" name="Grupo 27">
            <a:extLst>
              <a:ext uri="{FF2B5EF4-FFF2-40B4-BE49-F238E27FC236}">
                <a16:creationId xmlns:a16="http://schemas.microsoft.com/office/drawing/2014/main" id="{00000000-0008-0000-0D00-00001C000000}"/>
              </a:ext>
            </a:extLst>
          </xdr:cNvPr>
          <xdr:cNvGrpSpPr/>
        </xdr:nvGrpSpPr>
        <xdr:grpSpPr>
          <a:xfrm>
            <a:off x="0" y="25898475"/>
            <a:ext cx="2143126" cy="190500"/>
            <a:chOff x="3333749" y="24193500"/>
            <a:chExt cx="2143126" cy="190500"/>
          </a:xfrm>
        </xdr:grpSpPr>
        <xdr:sp macro="" textlink="">
          <xdr:nvSpPr>
            <xdr:cNvPr id="29" name="CuadroTexto 28">
              <a:extLst>
                <a:ext uri="{FF2B5EF4-FFF2-40B4-BE49-F238E27FC236}">
                  <a16:creationId xmlns:a16="http://schemas.microsoft.com/office/drawing/2014/main" id="{00000000-0008-0000-0D00-00001D000000}"/>
                </a:ext>
              </a:extLst>
            </xdr:cNvPr>
            <xdr:cNvSpPr txBox="1"/>
          </xdr:nvSpPr>
          <xdr:spPr>
            <a:xfrm>
              <a:off x="3333749" y="24193500"/>
              <a:ext cx="1381125" cy="190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050">
                  <a:latin typeface="+mn-lt"/>
                </a:rPr>
                <a:t>Presión de inflado:</a:t>
              </a:r>
            </a:p>
          </xdr:txBody>
        </xdr:sp>
        <xdr:sp macro="" textlink="Ajustes!B32">
          <xdr:nvSpPr>
            <xdr:cNvPr id="30" name="CuadroTexto 29">
              <a:extLst>
                <a:ext uri="{FF2B5EF4-FFF2-40B4-BE49-F238E27FC236}">
                  <a16:creationId xmlns:a16="http://schemas.microsoft.com/office/drawing/2014/main" id="{00000000-0008-0000-0D00-00001E000000}"/>
                </a:ext>
              </a:extLst>
            </xdr:cNvPr>
            <xdr:cNvSpPr txBox="1"/>
          </xdr:nvSpPr>
          <xdr:spPr>
            <a:xfrm>
              <a:off x="4686299" y="24203026"/>
              <a:ext cx="790576" cy="180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9C597A5-D0CD-4A53-8A44-B4B10E2DD95F}" type="TxLink">
                <a:rPr lang="en-US" sz="1050" b="0" i="0" u="none" strike="noStrike">
                  <a:solidFill>
                    <a:srgbClr val="000000"/>
                  </a:solidFill>
                  <a:latin typeface="+mn-lt"/>
                  <a:ea typeface="Calibri"/>
                  <a:cs typeface="Calibri"/>
                </a:rPr>
                <a:pPr algn="l"/>
                <a:t>830 KPa.</a:t>
              </a:fld>
              <a:endParaRPr lang="es-MX" sz="1050">
                <a:latin typeface="+mn-lt"/>
              </a:endParaRPr>
            </a:p>
          </xdr:txBody>
        </xdr:sp>
      </xdr:grpSp>
      <xdr:grpSp>
        <xdr:nvGrpSpPr>
          <xdr:cNvPr id="31" name="Grupo 30">
            <a:extLst>
              <a:ext uri="{FF2B5EF4-FFF2-40B4-BE49-F238E27FC236}">
                <a16:creationId xmlns:a16="http://schemas.microsoft.com/office/drawing/2014/main" id="{00000000-0008-0000-0D00-00001F000000}"/>
              </a:ext>
            </a:extLst>
          </xdr:cNvPr>
          <xdr:cNvGrpSpPr/>
        </xdr:nvGrpSpPr>
        <xdr:grpSpPr>
          <a:xfrm>
            <a:off x="0" y="26146125"/>
            <a:ext cx="2143126" cy="200024"/>
            <a:chOff x="3333749" y="24193500"/>
            <a:chExt cx="2143126" cy="200024"/>
          </a:xfrm>
        </xdr:grpSpPr>
        <xdr:sp macro="" textlink="">
          <xdr:nvSpPr>
            <xdr:cNvPr id="32" name="CuadroTexto 31">
              <a:extLst>
                <a:ext uri="{FF2B5EF4-FFF2-40B4-BE49-F238E27FC236}">
                  <a16:creationId xmlns:a16="http://schemas.microsoft.com/office/drawing/2014/main" id="{00000000-0008-0000-0D00-000020000000}"/>
                </a:ext>
              </a:extLst>
            </xdr:cNvPr>
            <xdr:cNvSpPr txBox="1"/>
          </xdr:nvSpPr>
          <xdr:spPr>
            <a:xfrm>
              <a:off x="3333749" y="24193500"/>
              <a:ext cx="1381125" cy="190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050">
                  <a:latin typeface="+mn-lt"/>
                </a:rPr>
                <a:t>Modelo ABS:</a:t>
              </a:r>
            </a:p>
          </xdr:txBody>
        </xdr:sp>
        <xdr:sp macro="" textlink="Ajustes!B35">
          <xdr:nvSpPr>
            <xdr:cNvPr id="33" name="CuadroTexto 32">
              <a:extLst>
                <a:ext uri="{FF2B5EF4-FFF2-40B4-BE49-F238E27FC236}">
                  <a16:creationId xmlns:a16="http://schemas.microsoft.com/office/drawing/2014/main" id="{00000000-0008-0000-0D00-000021000000}"/>
                </a:ext>
              </a:extLst>
            </xdr:cNvPr>
            <xdr:cNvSpPr txBox="1"/>
          </xdr:nvSpPr>
          <xdr:spPr>
            <a:xfrm>
              <a:off x="4181474" y="24203025"/>
              <a:ext cx="1295401" cy="190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3D710B1-2C77-4306-8716-80C700D986DC}" type="TxLink">
                <a:rPr lang="en-US" sz="900" b="0" i="0" u="none" strike="noStrike">
                  <a:solidFill>
                    <a:srgbClr val="000000"/>
                  </a:solidFill>
                  <a:latin typeface="+mn-lt"/>
                  <a:ea typeface="Calibri"/>
                  <a:cs typeface="Calibri"/>
                </a:rPr>
                <a:pPr algn="l"/>
                <a:t>0</a:t>
              </a:fld>
              <a:endParaRPr lang="es-MX" sz="900">
                <a:latin typeface="+mn-lt"/>
              </a:endParaRPr>
            </a:p>
          </xdr:txBody>
        </xdr:sp>
      </xdr:grpSp>
      <xdr:grpSp>
        <xdr:nvGrpSpPr>
          <xdr:cNvPr id="34" name="Grupo 33">
            <a:extLst>
              <a:ext uri="{FF2B5EF4-FFF2-40B4-BE49-F238E27FC236}">
                <a16:creationId xmlns:a16="http://schemas.microsoft.com/office/drawing/2014/main" id="{00000000-0008-0000-0D00-000022000000}"/>
              </a:ext>
            </a:extLst>
          </xdr:cNvPr>
          <xdr:cNvGrpSpPr/>
        </xdr:nvGrpSpPr>
        <xdr:grpSpPr>
          <a:xfrm>
            <a:off x="2238375" y="25212675"/>
            <a:ext cx="2524126" cy="190500"/>
            <a:chOff x="3333749" y="24193500"/>
            <a:chExt cx="2143126" cy="190500"/>
          </a:xfrm>
        </xdr:grpSpPr>
        <xdr:sp macro="" textlink="">
          <xdr:nvSpPr>
            <xdr:cNvPr id="35" name="CuadroTexto 34">
              <a:extLst>
                <a:ext uri="{FF2B5EF4-FFF2-40B4-BE49-F238E27FC236}">
                  <a16:creationId xmlns:a16="http://schemas.microsoft.com/office/drawing/2014/main" id="{00000000-0008-0000-0D00-000023000000}"/>
                </a:ext>
              </a:extLst>
            </xdr:cNvPr>
            <xdr:cNvSpPr txBox="1"/>
          </xdr:nvSpPr>
          <xdr:spPr>
            <a:xfrm>
              <a:off x="3333749" y="24193500"/>
              <a:ext cx="1381125" cy="190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050">
                  <a:latin typeface="+mn-lt"/>
                </a:rPr>
                <a:t>Largo total: </a:t>
              </a:r>
            </a:p>
          </xdr:txBody>
        </xdr:sp>
        <xdr:sp macro="" textlink="$D$23">
          <xdr:nvSpPr>
            <xdr:cNvPr id="36" name="CuadroTexto 35">
              <a:extLst>
                <a:ext uri="{FF2B5EF4-FFF2-40B4-BE49-F238E27FC236}">
                  <a16:creationId xmlns:a16="http://schemas.microsoft.com/office/drawing/2014/main" id="{00000000-0008-0000-0D00-000024000000}"/>
                </a:ext>
              </a:extLst>
            </xdr:cNvPr>
            <xdr:cNvSpPr txBox="1"/>
          </xdr:nvSpPr>
          <xdr:spPr>
            <a:xfrm>
              <a:off x="4724400" y="24203025"/>
              <a:ext cx="752475" cy="1714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71B9104-F2AE-448A-9BC3-C5123941E43B}" type="TxLink">
                <a:rPr lang="en-US" sz="1100" b="0" i="0" u="none" strike="noStrike">
                  <a:solidFill>
                    <a:srgbClr val="000000"/>
                  </a:solidFill>
                  <a:latin typeface="Calibri"/>
                  <a:ea typeface="Calibri"/>
                  <a:cs typeface="Calibri"/>
                </a:rPr>
                <a:pPr algn="l"/>
                <a:t>40 FT</a:t>
              </a:fld>
              <a:endParaRPr lang="es-MX" sz="1050">
                <a:latin typeface="+mn-lt"/>
              </a:endParaRPr>
            </a:p>
          </xdr:txBody>
        </xdr:sp>
      </xdr:grpSp>
      <xdr:grpSp>
        <xdr:nvGrpSpPr>
          <xdr:cNvPr id="37" name="Grupo 36">
            <a:extLst>
              <a:ext uri="{FF2B5EF4-FFF2-40B4-BE49-F238E27FC236}">
                <a16:creationId xmlns:a16="http://schemas.microsoft.com/office/drawing/2014/main" id="{00000000-0008-0000-0D00-000025000000}"/>
              </a:ext>
            </a:extLst>
          </xdr:cNvPr>
          <xdr:cNvGrpSpPr/>
        </xdr:nvGrpSpPr>
        <xdr:grpSpPr>
          <a:xfrm>
            <a:off x="2238375" y="25431750"/>
            <a:ext cx="2524126" cy="190500"/>
            <a:chOff x="3333749" y="24193500"/>
            <a:chExt cx="2143126" cy="190500"/>
          </a:xfrm>
        </xdr:grpSpPr>
        <xdr:sp macro="" textlink="">
          <xdr:nvSpPr>
            <xdr:cNvPr id="38" name="CuadroTexto 37">
              <a:extLst>
                <a:ext uri="{FF2B5EF4-FFF2-40B4-BE49-F238E27FC236}">
                  <a16:creationId xmlns:a16="http://schemas.microsoft.com/office/drawing/2014/main" id="{00000000-0008-0000-0D00-000026000000}"/>
                </a:ext>
              </a:extLst>
            </xdr:cNvPr>
            <xdr:cNvSpPr txBox="1"/>
          </xdr:nvSpPr>
          <xdr:spPr>
            <a:xfrm>
              <a:off x="3333749" y="24193500"/>
              <a:ext cx="1381125" cy="190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050">
                  <a:latin typeface="+mn-lt"/>
                </a:rPr>
                <a:t>Número de ejes:</a:t>
              </a:r>
            </a:p>
          </xdr:txBody>
        </xdr:sp>
        <xdr:sp macro="" textlink="$D$27">
          <xdr:nvSpPr>
            <xdr:cNvPr id="39" name="CuadroTexto 38">
              <a:extLst>
                <a:ext uri="{FF2B5EF4-FFF2-40B4-BE49-F238E27FC236}">
                  <a16:creationId xmlns:a16="http://schemas.microsoft.com/office/drawing/2014/main" id="{00000000-0008-0000-0D00-000027000000}"/>
                </a:ext>
              </a:extLst>
            </xdr:cNvPr>
            <xdr:cNvSpPr txBox="1"/>
          </xdr:nvSpPr>
          <xdr:spPr>
            <a:xfrm>
              <a:off x="4724400" y="24203025"/>
              <a:ext cx="752475" cy="1714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C0469EE-AE2A-4DA7-8F7B-2ABCA1858D74}" type="TxLink">
                <a:rPr lang="en-US" sz="1100" b="0" i="0" u="none" strike="noStrike">
                  <a:solidFill>
                    <a:srgbClr val="000000"/>
                  </a:solidFill>
                  <a:latin typeface="Calibri"/>
                  <a:ea typeface="Calibri"/>
                  <a:cs typeface="Calibri"/>
                </a:rPr>
                <a:pPr algn="l"/>
                <a:t>2</a:t>
              </a:fld>
              <a:endParaRPr lang="es-MX" sz="1050">
                <a:latin typeface="+mn-lt"/>
              </a:endParaRPr>
            </a:p>
          </xdr:txBody>
        </xdr:sp>
      </xdr:grpSp>
      <xdr:grpSp>
        <xdr:nvGrpSpPr>
          <xdr:cNvPr id="40" name="Grupo 39">
            <a:extLst>
              <a:ext uri="{FF2B5EF4-FFF2-40B4-BE49-F238E27FC236}">
                <a16:creationId xmlns:a16="http://schemas.microsoft.com/office/drawing/2014/main" id="{00000000-0008-0000-0D00-000028000000}"/>
              </a:ext>
            </a:extLst>
          </xdr:cNvPr>
          <xdr:cNvGrpSpPr/>
        </xdr:nvGrpSpPr>
        <xdr:grpSpPr>
          <a:xfrm>
            <a:off x="2238375" y="25660350"/>
            <a:ext cx="2524127" cy="190500"/>
            <a:chOff x="3333749" y="24193500"/>
            <a:chExt cx="2143127" cy="190500"/>
          </a:xfrm>
        </xdr:grpSpPr>
        <xdr:sp macro="" textlink="">
          <xdr:nvSpPr>
            <xdr:cNvPr id="41" name="CuadroTexto 40">
              <a:extLst>
                <a:ext uri="{FF2B5EF4-FFF2-40B4-BE49-F238E27FC236}">
                  <a16:creationId xmlns:a16="http://schemas.microsoft.com/office/drawing/2014/main" id="{00000000-0008-0000-0D00-000029000000}"/>
                </a:ext>
              </a:extLst>
            </xdr:cNvPr>
            <xdr:cNvSpPr txBox="1"/>
          </xdr:nvSpPr>
          <xdr:spPr>
            <a:xfrm>
              <a:off x="3333749" y="24193500"/>
              <a:ext cx="1381125" cy="190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050">
                  <a:latin typeface="+mn-lt"/>
                </a:rPr>
                <a:t>Número de llantas:</a:t>
              </a:r>
            </a:p>
          </xdr:txBody>
        </xdr:sp>
        <xdr:sp macro="" textlink="$F$148">
          <xdr:nvSpPr>
            <xdr:cNvPr id="42" name="CuadroTexto 41">
              <a:extLst>
                <a:ext uri="{FF2B5EF4-FFF2-40B4-BE49-F238E27FC236}">
                  <a16:creationId xmlns:a16="http://schemas.microsoft.com/office/drawing/2014/main" id="{00000000-0008-0000-0D00-00002A000000}"/>
                </a:ext>
              </a:extLst>
            </xdr:cNvPr>
            <xdr:cNvSpPr txBox="1"/>
          </xdr:nvSpPr>
          <xdr:spPr>
            <a:xfrm>
              <a:off x="4714874" y="24203025"/>
              <a:ext cx="762002" cy="1809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A5CF23C-272E-459A-9F7D-50CBE984932B}" type="TxLink">
                <a:rPr lang="en-US" sz="1100" b="0" i="0" u="none" strike="noStrike">
                  <a:solidFill>
                    <a:srgbClr val="000000"/>
                  </a:solidFill>
                  <a:latin typeface="Calibri"/>
                  <a:ea typeface="Calibri"/>
                  <a:cs typeface="Calibri"/>
                </a:rPr>
                <a:pPr algn="l"/>
                <a:t>8</a:t>
              </a:fld>
              <a:endParaRPr lang="es-MX" sz="1050">
                <a:latin typeface="+mn-lt"/>
              </a:endParaRPr>
            </a:p>
          </xdr:txBody>
        </xdr:sp>
      </xdr:grpSp>
      <xdr:grpSp>
        <xdr:nvGrpSpPr>
          <xdr:cNvPr id="43" name="Grupo 42">
            <a:extLst>
              <a:ext uri="{FF2B5EF4-FFF2-40B4-BE49-F238E27FC236}">
                <a16:creationId xmlns:a16="http://schemas.microsoft.com/office/drawing/2014/main" id="{00000000-0008-0000-0D00-00002B000000}"/>
              </a:ext>
            </a:extLst>
          </xdr:cNvPr>
          <xdr:cNvGrpSpPr/>
        </xdr:nvGrpSpPr>
        <xdr:grpSpPr>
          <a:xfrm>
            <a:off x="2238375" y="25888950"/>
            <a:ext cx="2524127" cy="190500"/>
            <a:chOff x="3333749" y="24193500"/>
            <a:chExt cx="2143127" cy="190500"/>
          </a:xfrm>
        </xdr:grpSpPr>
        <xdr:sp macro="" textlink="">
          <xdr:nvSpPr>
            <xdr:cNvPr id="44" name="CuadroTexto 43">
              <a:extLst>
                <a:ext uri="{FF2B5EF4-FFF2-40B4-BE49-F238E27FC236}">
                  <a16:creationId xmlns:a16="http://schemas.microsoft.com/office/drawing/2014/main" id="{00000000-0008-0000-0D00-00002C000000}"/>
                </a:ext>
              </a:extLst>
            </xdr:cNvPr>
            <xdr:cNvSpPr txBox="1"/>
          </xdr:nvSpPr>
          <xdr:spPr>
            <a:xfrm>
              <a:off x="3333749" y="24193500"/>
              <a:ext cx="1381125" cy="190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050">
                  <a:latin typeface="+mn-lt"/>
                </a:rPr>
                <a:t>Suspensión:</a:t>
              </a:r>
            </a:p>
          </xdr:txBody>
        </xdr:sp>
        <xdr:sp macro="" textlink="Ajustes!B36">
          <xdr:nvSpPr>
            <xdr:cNvPr id="45" name="CuadroTexto 44">
              <a:extLst>
                <a:ext uri="{FF2B5EF4-FFF2-40B4-BE49-F238E27FC236}">
                  <a16:creationId xmlns:a16="http://schemas.microsoft.com/office/drawing/2014/main" id="{00000000-0008-0000-0D00-00002D000000}"/>
                </a:ext>
              </a:extLst>
            </xdr:cNvPr>
            <xdr:cNvSpPr txBox="1"/>
          </xdr:nvSpPr>
          <xdr:spPr>
            <a:xfrm>
              <a:off x="4495800" y="24203026"/>
              <a:ext cx="981076" cy="180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8E5AB00-6180-46EC-9421-FE5FE28455BE}" type="TxLink">
                <a:rPr lang="en-US" sz="1100" b="0" i="0" u="none" strike="noStrike">
                  <a:solidFill>
                    <a:srgbClr val="000000"/>
                  </a:solidFill>
                  <a:latin typeface="Calibri"/>
                  <a:ea typeface="Calibri"/>
                  <a:cs typeface="Calibri"/>
                </a:rPr>
                <a:pPr algn="l"/>
                <a:t>Neumática</a:t>
              </a:fld>
              <a:endParaRPr lang="es-MX" sz="1050">
                <a:latin typeface="+mn-lt"/>
              </a:endParaRPr>
            </a:p>
          </xdr:txBody>
        </xdr:sp>
      </xdr:grpSp>
      <xdr:grpSp>
        <xdr:nvGrpSpPr>
          <xdr:cNvPr id="46" name="Grupo 45">
            <a:extLst>
              <a:ext uri="{FF2B5EF4-FFF2-40B4-BE49-F238E27FC236}">
                <a16:creationId xmlns:a16="http://schemas.microsoft.com/office/drawing/2014/main" id="{00000000-0008-0000-0D00-00002E000000}"/>
              </a:ext>
            </a:extLst>
          </xdr:cNvPr>
          <xdr:cNvGrpSpPr/>
        </xdr:nvGrpSpPr>
        <xdr:grpSpPr>
          <a:xfrm>
            <a:off x="4857750" y="25222200"/>
            <a:ext cx="2143126" cy="190500"/>
            <a:chOff x="3333749" y="24193500"/>
            <a:chExt cx="2143126" cy="190500"/>
          </a:xfrm>
        </xdr:grpSpPr>
        <xdr:sp macro="" textlink="">
          <xdr:nvSpPr>
            <xdr:cNvPr id="47" name="CuadroTexto 46">
              <a:extLst>
                <a:ext uri="{FF2B5EF4-FFF2-40B4-BE49-F238E27FC236}">
                  <a16:creationId xmlns:a16="http://schemas.microsoft.com/office/drawing/2014/main" id="{00000000-0008-0000-0D00-00002F000000}"/>
                </a:ext>
              </a:extLst>
            </xdr:cNvPr>
            <xdr:cNvSpPr txBox="1"/>
          </xdr:nvSpPr>
          <xdr:spPr>
            <a:xfrm>
              <a:off x="3333749" y="24193500"/>
              <a:ext cx="1381125" cy="190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050">
                  <a:latin typeface="+mn-lt"/>
                </a:rPr>
                <a:t>Ancho total:</a:t>
              </a:r>
            </a:p>
          </xdr:txBody>
        </xdr:sp>
        <xdr:sp macro="" textlink="Ajustes!B28">
          <xdr:nvSpPr>
            <xdr:cNvPr id="48" name="CuadroTexto 47">
              <a:extLst>
                <a:ext uri="{FF2B5EF4-FFF2-40B4-BE49-F238E27FC236}">
                  <a16:creationId xmlns:a16="http://schemas.microsoft.com/office/drawing/2014/main" id="{00000000-0008-0000-0D00-000030000000}"/>
                </a:ext>
              </a:extLst>
            </xdr:cNvPr>
            <xdr:cNvSpPr txBox="1"/>
          </xdr:nvSpPr>
          <xdr:spPr>
            <a:xfrm>
              <a:off x="4724400" y="24203025"/>
              <a:ext cx="752475" cy="1714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CD4F223-3207-4426-9AC1-B24B4E04673F}" type="TxLink">
                <a:rPr lang="en-US" sz="1100" b="0" i="0" u="none" strike="noStrike">
                  <a:solidFill>
                    <a:srgbClr val="000000"/>
                  </a:solidFill>
                  <a:latin typeface="Calibri"/>
                  <a:ea typeface="Calibri"/>
                  <a:cs typeface="Calibri"/>
                </a:rPr>
                <a:pPr algn="l"/>
                <a:t>2.6 M.</a:t>
              </a:fld>
              <a:endParaRPr lang="es-MX" sz="1050">
                <a:latin typeface="+mn-lt"/>
              </a:endParaRPr>
            </a:p>
          </xdr:txBody>
        </xdr:sp>
      </xdr:grpSp>
      <xdr:grpSp>
        <xdr:nvGrpSpPr>
          <xdr:cNvPr id="49" name="Grupo 48">
            <a:extLst>
              <a:ext uri="{FF2B5EF4-FFF2-40B4-BE49-F238E27FC236}">
                <a16:creationId xmlns:a16="http://schemas.microsoft.com/office/drawing/2014/main" id="{00000000-0008-0000-0D00-000031000000}"/>
              </a:ext>
            </a:extLst>
          </xdr:cNvPr>
          <xdr:cNvGrpSpPr/>
        </xdr:nvGrpSpPr>
        <xdr:grpSpPr>
          <a:xfrm>
            <a:off x="4857750" y="25441275"/>
            <a:ext cx="2143126" cy="190500"/>
            <a:chOff x="3333749" y="24193500"/>
            <a:chExt cx="2143126" cy="190500"/>
          </a:xfrm>
        </xdr:grpSpPr>
        <xdr:sp macro="" textlink="">
          <xdr:nvSpPr>
            <xdr:cNvPr id="50" name="CuadroTexto 49">
              <a:extLst>
                <a:ext uri="{FF2B5EF4-FFF2-40B4-BE49-F238E27FC236}">
                  <a16:creationId xmlns:a16="http://schemas.microsoft.com/office/drawing/2014/main" id="{00000000-0008-0000-0D00-000032000000}"/>
                </a:ext>
              </a:extLst>
            </xdr:cNvPr>
            <xdr:cNvSpPr txBox="1"/>
          </xdr:nvSpPr>
          <xdr:spPr>
            <a:xfrm>
              <a:off x="3333749" y="24193500"/>
              <a:ext cx="1381125" cy="190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050">
                  <a:latin typeface="+mn-lt"/>
                </a:rPr>
                <a:t>Peso de la unidad:</a:t>
              </a:r>
            </a:p>
          </xdr:txBody>
        </xdr:sp>
        <xdr:sp macro="" textlink="Ajustes!B21">
          <xdr:nvSpPr>
            <xdr:cNvPr id="51" name="CuadroTexto 50">
              <a:extLst>
                <a:ext uri="{FF2B5EF4-FFF2-40B4-BE49-F238E27FC236}">
                  <a16:creationId xmlns:a16="http://schemas.microsoft.com/office/drawing/2014/main" id="{00000000-0008-0000-0D00-000033000000}"/>
                </a:ext>
              </a:extLst>
            </xdr:cNvPr>
            <xdr:cNvSpPr txBox="1"/>
          </xdr:nvSpPr>
          <xdr:spPr>
            <a:xfrm>
              <a:off x="4724400" y="24203025"/>
              <a:ext cx="752475" cy="1714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FE53C17-17C1-40A3-BFB6-4738A8A90115}" type="TxLink">
                <a:rPr lang="en-US" sz="1100" b="0" i="0" u="none" strike="noStrike">
                  <a:solidFill>
                    <a:srgbClr val="000000"/>
                  </a:solidFill>
                  <a:latin typeface="Calibri"/>
                  <a:ea typeface="Calibri"/>
                  <a:cs typeface="Calibri"/>
                </a:rPr>
                <a:pPr algn="l"/>
                <a:t>0,000 kg</a:t>
              </a:fld>
              <a:endParaRPr lang="es-MX" sz="1050">
                <a:latin typeface="+mn-lt"/>
              </a:endParaRPr>
            </a:p>
          </xdr:txBody>
        </xdr:sp>
      </xdr:grpSp>
      <xdr:grpSp>
        <xdr:nvGrpSpPr>
          <xdr:cNvPr id="52" name="Grupo 51">
            <a:extLst>
              <a:ext uri="{FF2B5EF4-FFF2-40B4-BE49-F238E27FC236}">
                <a16:creationId xmlns:a16="http://schemas.microsoft.com/office/drawing/2014/main" id="{00000000-0008-0000-0D00-000034000000}"/>
              </a:ext>
            </a:extLst>
          </xdr:cNvPr>
          <xdr:cNvGrpSpPr/>
        </xdr:nvGrpSpPr>
        <xdr:grpSpPr>
          <a:xfrm>
            <a:off x="4857750" y="25669875"/>
            <a:ext cx="2143127" cy="190500"/>
            <a:chOff x="3333749" y="24193500"/>
            <a:chExt cx="2143127" cy="190500"/>
          </a:xfrm>
        </xdr:grpSpPr>
        <xdr:sp macro="" textlink="">
          <xdr:nvSpPr>
            <xdr:cNvPr id="53" name="CuadroTexto 52">
              <a:extLst>
                <a:ext uri="{FF2B5EF4-FFF2-40B4-BE49-F238E27FC236}">
                  <a16:creationId xmlns:a16="http://schemas.microsoft.com/office/drawing/2014/main" id="{00000000-0008-0000-0D00-000035000000}"/>
                </a:ext>
              </a:extLst>
            </xdr:cNvPr>
            <xdr:cNvSpPr txBox="1"/>
          </xdr:nvSpPr>
          <xdr:spPr>
            <a:xfrm>
              <a:off x="3333749" y="24193500"/>
              <a:ext cx="1381125" cy="190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050">
                  <a:latin typeface="+mn-lt"/>
                </a:rPr>
                <a:t>Medida: </a:t>
              </a:r>
            </a:p>
          </xdr:txBody>
        </xdr:sp>
        <xdr:sp macro="" textlink="Ajustes!B27">
          <xdr:nvSpPr>
            <xdr:cNvPr id="54" name="CuadroTexto 53">
              <a:extLst>
                <a:ext uri="{FF2B5EF4-FFF2-40B4-BE49-F238E27FC236}">
                  <a16:creationId xmlns:a16="http://schemas.microsoft.com/office/drawing/2014/main" id="{00000000-0008-0000-0D00-000036000000}"/>
                </a:ext>
              </a:extLst>
            </xdr:cNvPr>
            <xdr:cNvSpPr txBox="1"/>
          </xdr:nvSpPr>
          <xdr:spPr>
            <a:xfrm>
              <a:off x="4714874" y="24203025"/>
              <a:ext cx="762002" cy="1809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2DFC22D-97A5-4D3B-ACBA-83AD0A125C86}" type="TxLink">
                <a:rPr lang="en-US" sz="1100" b="0" i="0" u="none" strike="noStrike">
                  <a:solidFill>
                    <a:srgbClr val="000000"/>
                  </a:solidFill>
                  <a:latin typeface="Calibri"/>
                  <a:ea typeface="Calibri"/>
                  <a:cs typeface="Calibri"/>
                </a:rPr>
                <a:pPr algn="l"/>
                <a:t>11R24.5</a:t>
              </a:fld>
              <a:endParaRPr lang="es-MX" sz="1050">
                <a:latin typeface="+mn-lt"/>
              </a:endParaRPr>
            </a:p>
          </xdr:txBody>
        </xdr:sp>
      </xdr:grpSp>
      <xdr:grpSp>
        <xdr:nvGrpSpPr>
          <xdr:cNvPr id="55" name="Grupo 54">
            <a:extLst>
              <a:ext uri="{FF2B5EF4-FFF2-40B4-BE49-F238E27FC236}">
                <a16:creationId xmlns:a16="http://schemas.microsoft.com/office/drawing/2014/main" id="{00000000-0008-0000-0D00-000037000000}"/>
              </a:ext>
            </a:extLst>
          </xdr:cNvPr>
          <xdr:cNvGrpSpPr/>
        </xdr:nvGrpSpPr>
        <xdr:grpSpPr>
          <a:xfrm>
            <a:off x="4857750" y="25898475"/>
            <a:ext cx="2143127" cy="190500"/>
            <a:chOff x="3333749" y="24193500"/>
            <a:chExt cx="2143127" cy="190500"/>
          </a:xfrm>
        </xdr:grpSpPr>
        <xdr:sp macro="" textlink="">
          <xdr:nvSpPr>
            <xdr:cNvPr id="56" name="CuadroTexto 55">
              <a:extLst>
                <a:ext uri="{FF2B5EF4-FFF2-40B4-BE49-F238E27FC236}">
                  <a16:creationId xmlns:a16="http://schemas.microsoft.com/office/drawing/2014/main" id="{00000000-0008-0000-0D00-000038000000}"/>
                </a:ext>
              </a:extLst>
            </xdr:cNvPr>
            <xdr:cNvSpPr txBox="1"/>
          </xdr:nvSpPr>
          <xdr:spPr>
            <a:xfrm>
              <a:off x="3333749" y="24193500"/>
              <a:ext cx="1381125" cy="190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050">
                  <a:latin typeface="+mn-lt"/>
                </a:rPr>
                <a:t>Sistema ABS:</a:t>
              </a:r>
            </a:p>
          </xdr:txBody>
        </xdr:sp>
        <xdr:sp macro="" textlink="Ajustes!F27">
          <xdr:nvSpPr>
            <xdr:cNvPr id="57" name="CuadroTexto 56">
              <a:extLst>
                <a:ext uri="{FF2B5EF4-FFF2-40B4-BE49-F238E27FC236}">
                  <a16:creationId xmlns:a16="http://schemas.microsoft.com/office/drawing/2014/main" id="{00000000-0008-0000-0D00-000039000000}"/>
                </a:ext>
              </a:extLst>
            </xdr:cNvPr>
            <xdr:cNvSpPr txBox="1"/>
          </xdr:nvSpPr>
          <xdr:spPr>
            <a:xfrm>
              <a:off x="4495800" y="24203026"/>
              <a:ext cx="981076" cy="180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3F4EC1A-9838-4F1B-A546-43584041CF59}" type="TxLink">
                <a:rPr lang="en-US" sz="1100" b="0" i="0" u="none" strike="noStrike">
                  <a:solidFill>
                    <a:srgbClr val="000000"/>
                  </a:solidFill>
                  <a:latin typeface="Calibri"/>
                  <a:ea typeface="Calibri"/>
                  <a:cs typeface="Calibri"/>
                </a:rPr>
                <a:pPr algn="l"/>
                <a:t>Bendix</a:t>
              </a:fld>
              <a:endParaRPr lang="es-MX" sz="1050">
                <a:latin typeface="+mn-lt"/>
              </a:endParaRPr>
            </a:p>
          </xdr:txBody>
        </xdr:sp>
      </xdr:grpSp>
    </xdr:grpSp>
    <xdr:clientData/>
  </xdr:twoCellAnchor>
  <xdr:oneCellAnchor>
    <xdr:from>
      <xdr:col>0</xdr:col>
      <xdr:colOff>85726</xdr:colOff>
      <xdr:row>171</xdr:row>
      <xdr:rowOff>66675</xdr:rowOff>
    </xdr:from>
    <xdr:ext cx="6419850" cy="991870"/>
    <xdr:pic>
      <xdr:nvPicPr>
        <xdr:cNvPr id="59" name="image2.jpeg">
          <a:extLst>
            <a:ext uri="{FF2B5EF4-FFF2-40B4-BE49-F238E27FC236}">
              <a16:creationId xmlns:a16="http://schemas.microsoft.com/office/drawing/2014/main" id="{00000000-0008-0000-0D00-00003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5726" y="33213675"/>
          <a:ext cx="6419850" cy="991870"/>
        </a:xfrm>
        <a:prstGeom prst="rect">
          <a:avLst/>
        </a:prstGeom>
      </xdr:spPr>
    </xdr:pic>
    <xdr:clientData/>
  </xdr:oneCellAnchor>
  <xdr:twoCellAnchor>
    <xdr:from>
      <xdr:col>7</xdr:col>
      <xdr:colOff>171449</xdr:colOff>
      <xdr:row>63</xdr:row>
      <xdr:rowOff>161924</xdr:rowOff>
    </xdr:from>
    <xdr:to>
      <xdr:col>7</xdr:col>
      <xdr:colOff>733424</xdr:colOff>
      <xdr:row>65</xdr:row>
      <xdr:rowOff>190499</xdr:rowOff>
    </xdr:to>
    <xdr:sp macro="" textlink="">
      <xdr:nvSpPr>
        <xdr:cNvPr id="16" name="Rectángulo: esquinas diagonales cortadas 15">
          <a:extLst>
            <a:ext uri="{FF2B5EF4-FFF2-40B4-BE49-F238E27FC236}">
              <a16:creationId xmlns:a16="http://schemas.microsoft.com/office/drawing/2014/main" id="{00000000-0008-0000-0D00-000010000000}"/>
            </a:ext>
          </a:extLst>
        </xdr:cNvPr>
        <xdr:cNvSpPr/>
      </xdr:nvSpPr>
      <xdr:spPr>
        <a:xfrm>
          <a:off x="5095874" y="12353924"/>
          <a:ext cx="561975" cy="409575"/>
        </a:xfrm>
        <a:prstGeom prst="snip2DiagRect">
          <a:avLst>
            <a:gd name="adj1" fmla="val 0"/>
            <a:gd name="adj2" fmla="val 37597"/>
          </a:avLst>
        </a:prstGeom>
        <a:noFill/>
        <a:ln w="254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xdr:col>
      <xdr:colOff>438150</xdr:colOff>
      <xdr:row>64</xdr:row>
      <xdr:rowOff>123825</xdr:rowOff>
    </xdr:from>
    <xdr:to>
      <xdr:col>2</xdr:col>
      <xdr:colOff>228599</xdr:colOff>
      <xdr:row>66</xdr:row>
      <xdr:rowOff>47624</xdr:rowOff>
    </xdr:to>
    <xdr:sp macro="" textlink="">
      <xdr:nvSpPr>
        <xdr:cNvPr id="17" name="Rectángulo: esquinas diagonales cortadas 16">
          <a:extLst>
            <a:ext uri="{FF2B5EF4-FFF2-40B4-BE49-F238E27FC236}">
              <a16:creationId xmlns:a16="http://schemas.microsoft.com/office/drawing/2014/main" id="{00000000-0008-0000-0D00-000011000000}"/>
            </a:ext>
          </a:extLst>
        </xdr:cNvPr>
        <xdr:cNvSpPr/>
      </xdr:nvSpPr>
      <xdr:spPr>
        <a:xfrm>
          <a:off x="1047750" y="12506325"/>
          <a:ext cx="400049" cy="304799"/>
        </a:xfrm>
        <a:prstGeom prst="snip2DiagRect">
          <a:avLst>
            <a:gd name="adj1" fmla="val 0"/>
            <a:gd name="adj2" fmla="val 31548"/>
          </a:avLst>
        </a:prstGeom>
        <a:noFill/>
        <a:ln w="254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xdr:col>
      <xdr:colOff>523875</xdr:colOff>
      <xdr:row>64</xdr:row>
      <xdr:rowOff>57149</xdr:rowOff>
    </xdr:from>
    <xdr:to>
      <xdr:col>7</xdr:col>
      <xdr:colOff>657225</xdr:colOff>
      <xdr:row>66</xdr:row>
      <xdr:rowOff>66674</xdr:rowOff>
    </xdr:to>
    <xdr:sp macro="" textlink="">
      <xdr:nvSpPr>
        <xdr:cNvPr id="7" name="Rectángulo: esquinas diagonales cortadas 6">
          <a:extLst>
            <a:ext uri="{FF2B5EF4-FFF2-40B4-BE49-F238E27FC236}">
              <a16:creationId xmlns:a16="http://schemas.microsoft.com/office/drawing/2014/main" id="{00000000-0008-0000-0D00-000007000000}"/>
            </a:ext>
          </a:extLst>
        </xdr:cNvPr>
        <xdr:cNvSpPr/>
      </xdr:nvSpPr>
      <xdr:spPr>
        <a:xfrm>
          <a:off x="1133475" y="12439649"/>
          <a:ext cx="4448175" cy="390525"/>
        </a:xfrm>
        <a:prstGeom prst="snip2DiagRect">
          <a:avLst>
            <a:gd name="adj1" fmla="val 0"/>
            <a:gd name="adj2" fmla="val 30488"/>
          </a:avLst>
        </a:prstGeom>
      </xdr:spPr>
      <xdr:style>
        <a:lnRef idx="2">
          <a:schemeClr val="accent1">
            <a:shade val="15000"/>
          </a:schemeClr>
        </a:lnRef>
        <a:fillRef idx="1002">
          <a:schemeClr val="dk2"/>
        </a:fillRef>
        <a:effectRef idx="0">
          <a:schemeClr val="accent1"/>
        </a:effectRef>
        <a:fontRef idx="minor">
          <a:schemeClr val="lt1"/>
        </a:fontRef>
      </xdr:style>
      <xdr:txBody>
        <a:bodyPr vertOverflow="clip" horzOverflow="clip" rtlCol="0" anchor="ctr"/>
        <a:lstStyle/>
        <a:p>
          <a:pPr algn="ctr"/>
          <a:r>
            <a:rPr lang="es-MX" sz="1400" b="0" i="0">
              <a:solidFill>
                <a:schemeClr val="lt1"/>
              </a:solidFill>
              <a:effectLst/>
              <a:latin typeface="+mn-lt"/>
              <a:ea typeface="+mn-ea"/>
              <a:cs typeface="+mn-cs"/>
            </a:rPr>
            <a:t>CONSTANCIA DE CUMPLIMIENTO DE LA NOM-035-SCT.</a:t>
          </a:r>
          <a:r>
            <a:rPr lang="es-MX" sz="1400"/>
            <a:t> </a:t>
          </a:r>
          <a:br>
            <a:rPr lang="es-MX" sz="1400"/>
          </a:br>
          <a:endParaRPr lang="es-MX" sz="1400"/>
        </a:p>
      </xdr:txBody>
    </xdr:sp>
    <xdr:clientData/>
  </xdr:twoCellAnchor>
  <xdr:twoCellAnchor>
    <xdr:from>
      <xdr:col>2</xdr:col>
      <xdr:colOff>454883</xdr:colOff>
      <xdr:row>67</xdr:row>
      <xdr:rowOff>63307</xdr:rowOff>
    </xdr:from>
    <xdr:to>
      <xdr:col>4</xdr:col>
      <xdr:colOff>161925</xdr:colOff>
      <xdr:row>68</xdr:row>
      <xdr:rowOff>66675</xdr:rowOff>
    </xdr:to>
    <xdr:sp macro="" textlink="$H$9">
      <xdr:nvSpPr>
        <xdr:cNvPr id="69" name="Textbox 73">
          <a:extLst>
            <a:ext uri="{FF2B5EF4-FFF2-40B4-BE49-F238E27FC236}">
              <a16:creationId xmlns:a16="http://schemas.microsoft.com/office/drawing/2014/main" id="{00000000-0008-0000-0D00-000045000000}"/>
            </a:ext>
          </a:extLst>
        </xdr:cNvPr>
        <xdr:cNvSpPr txBox="1"/>
      </xdr:nvSpPr>
      <xdr:spPr>
        <a:xfrm>
          <a:off x="1674083" y="13588807"/>
          <a:ext cx="1069117" cy="193868"/>
        </a:xfrm>
        <a:prstGeom prst="rect">
          <a:avLst/>
        </a:prstGeom>
        <a:noFill/>
        <a:ln>
          <a:noFill/>
        </a:ln>
      </xdr:spPr>
      <xdr:style>
        <a:lnRef idx="2">
          <a:schemeClr val="dk1"/>
        </a:lnRef>
        <a:fillRef idx="1">
          <a:schemeClr val="lt1"/>
        </a:fillRef>
        <a:effectRef idx="0">
          <a:schemeClr val="dk1"/>
        </a:effectRef>
        <a:fontRef idx="minor">
          <a:schemeClr val="dk1"/>
        </a:fontRef>
      </xdr:style>
      <xdr:txBody>
        <a:bodyPr vertOverflow="clip" lIns="0" tIns="0" rIns="0" bIns="0" anchor="ctr"/>
        <a:lstStyle/>
        <a:p>
          <a:pPr algn="l"/>
          <a:fld id="{7D3A30B5-1547-4D73-9285-329B2F3A7BD9}" type="TxLink">
            <a:rPr lang="en-US" sz="1000" b="0" i="0" u="none" strike="noStrike" spc="0">
              <a:solidFill>
                <a:srgbClr val="000000"/>
              </a:solidFill>
              <a:latin typeface="Arial"/>
              <a:ea typeface="Calibri"/>
              <a:cs typeface="Arial"/>
            </a:rPr>
            <a:pPr algn="l"/>
            <a:t>FOL-06-09-23-02</a:t>
          </a:fld>
          <a:endParaRPr sz="1050" b="0" spc="0">
            <a:latin typeface="Calibri"/>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15</xdr:col>
          <xdr:colOff>0</xdr:colOff>
          <xdr:row>0</xdr:row>
          <xdr:rowOff>38100</xdr:rowOff>
        </xdr:from>
        <xdr:to>
          <xdr:col>17</xdr:col>
          <xdr:colOff>312420</xdr:colOff>
          <xdr:row>2</xdr:row>
          <xdr:rowOff>91440</xdr:rowOff>
        </xdr:to>
        <xdr:sp macro="" textlink="">
          <xdr:nvSpPr>
            <xdr:cNvPr id="94210" name="BT_EN_CARTA_FACTURA" hidden="1">
              <a:extLst>
                <a:ext uri="{63B3BB69-23CF-44E3-9099-C40C66FF867C}">
                  <a14:compatExt spid="_x0000_s94210"/>
                </a:ext>
                <a:ext uri="{FF2B5EF4-FFF2-40B4-BE49-F238E27FC236}">
                  <a16:creationId xmlns:a16="http://schemas.microsoft.com/office/drawing/2014/main" id="{00000000-0008-0000-0D00-000002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213360</xdr:colOff>
          <xdr:row>2</xdr:row>
          <xdr:rowOff>121920</xdr:rowOff>
        </xdr:from>
        <xdr:to>
          <xdr:col>17</xdr:col>
          <xdr:colOff>144780</xdr:colOff>
          <xdr:row>4</xdr:row>
          <xdr:rowOff>106680</xdr:rowOff>
        </xdr:to>
        <xdr:sp macro="" textlink="">
          <xdr:nvSpPr>
            <xdr:cNvPr id="94212" name="bt_GUARD_CARTAFACT_PLANA" hidden="1">
              <a:extLst>
                <a:ext uri="{63B3BB69-23CF-44E3-9099-C40C66FF867C}">
                  <a14:compatExt spid="_x0000_s94212"/>
                </a:ext>
                <a:ext uri="{FF2B5EF4-FFF2-40B4-BE49-F238E27FC236}">
                  <a16:creationId xmlns:a16="http://schemas.microsoft.com/office/drawing/2014/main" id="{00000000-0008-0000-0D00-000004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899160</xdr:colOff>
          <xdr:row>2</xdr:row>
          <xdr:rowOff>0</xdr:rowOff>
        </xdr:from>
        <xdr:to>
          <xdr:col>9</xdr:col>
          <xdr:colOff>228600</xdr:colOff>
          <xdr:row>4</xdr:row>
          <xdr:rowOff>53340</xdr:rowOff>
        </xdr:to>
        <xdr:sp macro="" textlink="">
          <xdr:nvSpPr>
            <xdr:cNvPr id="128002" name="CommandButton1" hidden="1">
              <a:extLst>
                <a:ext uri="{63B3BB69-23CF-44E3-9099-C40C66FF867C}">
                  <a14:compatExt spid="_x0000_s128002"/>
                </a:ext>
                <a:ext uri="{FF2B5EF4-FFF2-40B4-BE49-F238E27FC236}">
                  <a16:creationId xmlns:a16="http://schemas.microsoft.com/office/drawing/2014/main" id="{00000000-0008-0000-0E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9</xdr:row>
          <xdr:rowOff>95251</xdr:rowOff>
        </xdr:from>
        <xdr:to>
          <xdr:col>4</xdr:col>
          <xdr:colOff>76200</xdr:colOff>
          <xdr:row>10</xdr:row>
          <xdr:rowOff>133351</xdr:rowOff>
        </xdr:to>
        <xdr:grpSp>
          <xdr:nvGrpSpPr>
            <xdr:cNvPr id="2" name="Grupo 1">
              <a:extLst>
                <a:ext uri="{FF2B5EF4-FFF2-40B4-BE49-F238E27FC236}">
                  <a16:creationId xmlns:a16="http://schemas.microsoft.com/office/drawing/2014/main" id="{00000000-0008-0000-1000-000002000000}"/>
                </a:ext>
              </a:extLst>
            </xdr:cNvPr>
            <xdr:cNvGrpSpPr/>
          </xdr:nvGrpSpPr>
          <xdr:grpSpPr>
            <a:xfrm>
              <a:off x="76200" y="1741171"/>
              <a:ext cx="3169920" cy="220980"/>
              <a:chOff x="771525" y="1524019"/>
              <a:chExt cx="3048000" cy="228604"/>
            </a:xfrm>
          </xdr:grpSpPr>
          <xdr:sp macro="" textlink="">
            <xdr:nvSpPr>
              <xdr:cNvPr id="70657" name="Drop Down 1" hidden="1">
                <a:extLst>
                  <a:ext uri="{63B3BB69-23CF-44E3-9099-C40C66FF867C}">
                    <a14:compatExt spid="_x0000_s70657"/>
                  </a:ext>
                  <a:ext uri="{FF2B5EF4-FFF2-40B4-BE49-F238E27FC236}">
                    <a16:creationId xmlns:a16="http://schemas.microsoft.com/office/drawing/2014/main" id="{00000000-0008-0000-1000-000001140100}"/>
                  </a:ext>
                </a:extLst>
              </xdr:cNvPr>
              <xdr:cNvSpPr/>
            </xdr:nvSpPr>
            <xdr:spPr bwMode="auto">
              <a:xfrm>
                <a:off x="771525" y="1552597"/>
                <a:ext cx="2305050" cy="200026"/>
              </a:xfrm>
              <a:prstGeom prst="rect">
                <a:avLst/>
              </a:prstGeom>
              <a:noFill/>
              <a:ln>
                <a:noFill/>
              </a:ln>
              <a:extLst>
                <a:ext uri="{91240B29-F687-4F45-9708-019B960494DF}">
                  <a14:hiddenLine w="9525">
                    <a:noFill/>
                    <a:miter lim="800000"/>
                    <a:headEnd/>
                    <a:tailEnd/>
                  </a14:hiddenLine>
                </a:ext>
              </a:extLst>
            </xdr:spPr>
          </xdr:sp>
          <xdr:sp macro="" textlink="">
            <xdr:nvSpPr>
              <xdr:cNvPr id="70666" name="TextBox1" hidden="1">
                <a:extLst>
                  <a:ext uri="{63B3BB69-23CF-44E3-9099-C40C66FF867C}">
                    <a14:compatExt spid="_x0000_s70666"/>
                  </a:ext>
                  <a:ext uri="{FF2B5EF4-FFF2-40B4-BE49-F238E27FC236}">
                    <a16:creationId xmlns:a16="http://schemas.microsoft.com/office/drawing/2014/main" id="{00000000-0008-0000-1000-00000A140100}"/>
                  </a:ext>
                </a:extLst>
              </xdr:cNvPr>
              <xdr:cNvSpPr/>
            </xdr:nvSpPr>
            <xdr:spPr bwMode="auto">
              <a:xfrm>
                <a:off x="3152775" y="1524019"/>
                <a:ext cx="666750" cy="228599"/>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xdr:row>
          <xdr:rowOff>57150</xdr:rowOff>
        </xdr:from>
        <xdr:to>
          <xdr:col>4</xdr:col>
          <xdr:colOff>85725</xdr:colOff>
          <xdr:row>12</xdr:row>
          <xdr:rowOff>121397</xdr:rowOff>
        </xdr:to>
        <xdr:grpSp>
          <xdr:nvGrpSpPr>
            <xdr:cNvPr id="3" name="Grupo 2">
              <a:extLst>
                <a:ext uri="{FF2B5EF4-FFF2-40B4-BE49-F238E27FC236}">
                  <a16:creationId xmlns:a16="http://schemas.microsoft.com/office/drawing/2014/main" id="{00000000-0008-0000-1000-000003000000}"/>
                </a:ext>
              </a:extLst>
            </xdr:cNvPr>
            <xdr:cNvGrpSpPr/>
          </xdr:nvGrpSpPr>
          <xdr:grpSpPr>
            <a:xfrm>
              <a:off x="66675" y="2068830"/>
              <a:ext cx="3188970" cy="247127"/>
              <a:chOff x="762000" y="1913508"/>
              <a:chExt cx="3067051" cy="228600"/>
            </a:xfrm>
          </xdr:grpSpPr>
          <xdr:sp macro="" textlink="">
            <xdr:nvSpPr>
              <xdr:cNvPr id="70658" name="Drop Down 2" hidden="1">
                <a:extLst>
                  <a:ext uri="{63B3BB69-23CF-44E3-9099-C40C66FF867C}">
                    <a14:compatExt spid="_x0000_s70658"/>
                  </a:ext>
                  <a:ext uri="{FF2B5EF4-FFF2-40B4-BE49-F238E27FC236}">
                    <a16:creationId xmlns:a16="http://schemas.microsoft.com/office/drawing/2014/main" id="{00000000-0008-0000-1000-000002140100}"/>
                  </a:ext>
                </a:extLst>
              </xdr:cNvPr>
              <xdr:cNvSpPr/>
            </xdr:nvSpPr>
            <xdr:spPr bwMode="auto">
              <a:xfrm>
                <a:off x="762000" y="1914525"/>
                <a:ext cx="2305060" cy="200025"/>
              </a:xfrm>
              <a:prstGeom prst="rect">
                <a:avLst/>
              </a:prstGeom>
              <a:noFill/>
              <a:ln>
                <a:noFill/>
              </a:ln>
              <a:extLst>
                <a:ext uri="{91240B29-F687-4F45-9708-019B960494DF}">
                  <a14:hiddenLine w="9525">
                    <a:noFill/>
                    <a:miter lim="800000"/>
                    <a:headEnd/>
                    <a:tailEnd/>
                  </a14:hiddenLine>
                </a:ext>
              </a:extLst>
            </xdr:spPr>
          </xdr:sp>
          <xdr:sp macro="" textlink="">
            <xdr:nvSpPr>
              <xdr:cNvPr id="70676" name="TextBox2" hidden="1">
                <a:extLst>
                  <a:ext uri="{63B3BB69-23CF-44E3-9099-C40C66FF867C}">
                    <a14:compatExt spid="_x0000_s70676"/>
                  </a:ext>
                  <a:ext uri="{FF2B5EF4-FFF2-40B4-BE49-F238E27FC236}">
                    <a16:creationId xmlns:a16="http://schemas.microsoft.com/office/drawing/2014/main" id="{00000000-0008-0000-1000-000014140100}"/>
                  </a:ext>
                </a:extLst>
              </xdr:cNvPr>
              <xdr:cNvSpPr/>
            </xdr:nvSpPr>
            <xdr:spPr bwMode="auto">
              <a:xfrm>
                <a:off x="3162301" y="1913508"/>
                <a:ext cx="66675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13</xdr:row>
          <xdr:rowOff>152400</xdr:rowOff>
        </xdr:from>
        <xdr:to>
          <xdr:col>10</xdr:col>
          <xdr:colOff>733424</xdr:colOff>
          <xdr:row>15</xdr:row>
          <xdr:rowOff>38100</xdr:rowOff>
        </xdr:to>
        <xdr:grpSp>
          <xdr:nvGrpSpPr>
            <xdr:cNvPr id="9" name="Grupo 8">
              <a:extLst>
                <a:ext uri="{FF2B5EF4-FFF2-40B4-BE49-F238E27FC236}">
                  <a16:creationId xmlns:a16="http://schemas.microsoft.com/office/drawing/2014/main" id="{00000000-0008-0000-1000-000009000000}"/>
                </a:ext>
              </a:extLst>
            </xdr:cNvPr>
            <xdr:cNvGrpSpPr/>
          </xdr:nvGrpSpPr>
          <xdr:grpSpPr>
            <a:xfrm>
              <a:off x="3728085" y="2529840"/>
              <a:ext cx="3703319" cy="251460"/>
              <a:chOff x="3819528" y="1866904"/>
              <a:chExt cx="4533900" cy="266700"/>
            </a:xfrm>
          </xdr:grpSpPr>
          <xdr:sp macro="" textlink="">
            <xdr:nvSpPr>
              <xdr:cNvPr id="70677" name="TextBox3" hidden="1">
                <a:extLst>
                  <a:ext uri="{63B3BB69-23CF-44E3-9099-C40C66FF867C}">
                    <a14:compatExt spid="_x0000_s70677"/>
                  </a:ext>
                  <a:ext uri="{FF2B5EF4-FFF2-40B4-BE49-F238E27FC236}">
                    <a16:creationId xmlns:a16="http://schemas.microsoft.com/office/drawing/2014/main" id="{00000000-0008-0000-1000-000015140100}"/>
                  </a:ext>
                </a:extLst>
              </xdr:cNvPr>
              <xdr:cNvSpPr/>
            </xdr:nvSpPr>
            <xdr:spPr bwMode="auto">
              <a:xfrm>
                <a:off x="3819528" y="1866904"/>
                <a:ext cx="2419351" cy="247651"/>
              </a:xfrm>
              <a:prstGeom prst="rect">
                <a:avLst/>
              </a:prstGeom>
              <a:noFill/>
              <a:ln>
                <a:noFill/>
              </a:ln>
              <a:extLst>
                <a:ext uri="{91240B29-F687-4F45-9708-019B960494DF}">
                  <a14:hiddenLine w="9525">
                    <a:noFill/>
                    <a:miter lim="800000"/>
                    <a:headEnd/>
                    <a:tailEnd/>
                  </a14:hiddenLine>
                </a:ext>
              </a:extLst>
            </xdr:spPr>
          </xdr:sp>
          <xdr:sp macro="" textlink="">
            <xdr:nvSpPr>
              <xdr:cNvPr id="70678" name="TextBox4" hidden="1">
                <a:extLst>
                  <a:ext uri="{63B3BB69-23CF-44E3-9099-C40C66FF867C}">
                    <a14:compatExt spid="_x0000_s70678"/>
                  </a:ext>
                  <a:ext uri="{FF2B5EF4-FFF2-40B4-BE49-F238E27FC236}">
                    <a16:creationId xmlns:a16="http://schemas.microsoft.com/office/drawing/2014/main" id="{00000000-0008-0000-1000-000016140100}"/>
                  </a:ext>
                </a:extLst>
              </xdr:cNvPr>
              <xdr:cNvSpPr/>
            </xdr:nvSpPr>
            <xdr:spPr bwMode="auto">
              <a:xfrm>
                <a:off x="6286504" y="1876425"/>
                <a:ext cx="676276" cy="247650"/>
              </a:xfrm>
              <a:prstGeom prst="rect">
                <a:avLst/>
              </a:prstGeom>
              <a:noFill/>
              <a:ln>
                <a:noFill/>
              </a:ln>
              <a:extLst>
                <a:ext uri="{91240B29-F687-4F45-9708-019B960494DF}">
                  <a14:hiddenLine w="9525">
                    <a:noFill/>
                    <a:miter lim="800000"/>
                    <a:headEnd/>
                    <a:tailEnd/>
                  </a14:hiddenLine>
                </a:ext>
              </a:extLst>
            </xdr:spPr>
          </xdr:sp>
          <xdr:sp macro="" textlink="">
            <xdr:nvSpPr>
              <xdr:cNvPr id="70679" name="TextBox5" hidden="1">
                <a:extLst>
                  <a:ext uri="{63B3BB69-23CF-44E3-9099-C40C66FF867C}">
                    <a14:compatExt spid="_x0000_s70679"/>
                  </a:ext>
                  <a:ext uri="{FF2B5EF4-FFF2-40B4-BE49-F238E27FC236}">
                    <a16:creationId xmlns:a16="http://schemas.microsoft.com/office/drawing/2014/main" id="{00000000-0008-0000-1000-000017140100}"/>
                  </a:ext>
                </a:extLst>
              </xdr:cNvPr>
              <xdr:cNvSpPr/>
            </xdr:nvSpPr>
            <xdr:spPr bwMode="auto">
              <a:xfrm>
                <a:off x="7086604" y="1885953"/>
                <a:ext cx="1266824" cy="247651"/>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twoCellAnchor>
    <xdr:from>
      <xdr:col>7</xdr:col>
      <xdr:colOff>390525</xdr:colOff>
      <xdr:row>8</xdr:row>
      <xdr:rowOff>57150</xdr:rowOff>
    </xdr:from>
    <xdr:to>
      <xdr:col>9</xdr:col>
      <xdr:colOff>342900</xdr:colOff>
      <xdr:row>10</xdr:row>
      <xdr:rowOff>19050</xdr:rowOff>
    </xdr:to>
    <xdr:sp macro="" textlink="">
      <xdr:nvSpPr>
        <xdr:cNvPr id="4" name="Rectángulo 3">
          <a:extLst>
            <a:ext uri="{FF2B5EF4-FFF2-40B4-BE49-F238E27FC236}">
              <a16:creationId xmlns:a16="http://schemas.microsoft.com/office/drawing/2014/main" id="{00000000-0008-0000-1000-000004000000}"/>
            </a:ext>
          </a:extLst>
        </xdr:cNvPr>
        <xdr:cNvSpPr/>
      </xdr:nvSpPr>
      <xdr:spPr>
        <a:xfrm>
          <a:off x="5724525" y="1581150"/>
          <a:ext cx="1476375" cy="3429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MX" sz="1600"/>
            <a:t>EXTRAS</a:t>
          </a:r>
        </a:p>
      </xdr:txBody>
    </xdr:sp>
    <xdr:clientData/>
  </xdr:twoCellAnchor>
  <xdr:twoCellAnchor>
    <xdr:from>
      <xdr:col>5</xdr:col>
      <xdr:colOff>257175</xdr:colOff>
      <xdr:row>10</xdr:row>
      <xdr:rowOff>171450</xdr:rowOff>
    </xdr:from>
    <xdr:to>
      <xdr:col>7</xdr:col>
      <xdr:colOff>304800</xdr:colOff>
      <xdr:row>12</xdr:row>
      <xdr:rowOff>85725</xdr:rowOff>
    </xdr:to>
    <xdr:sp macro="" textlink="">
      <xdr:nvSpPr>
        <xdr:cNvPr id="5" name="Rectángulo 4">
          <a:extLst>
            <a:ext uri="{FF2B5EF4-FFF2-40B4-BE49-F238E27FC236}">
              <a16:creationId xmlns:a16="http://schemas.microsoft.com/office/drawing/2014/main" id="{00000000-0008-0000-1000-000005000000}"/>
            </a:ext>
          </a:extLst>
        </xdr:cNvPr>
        <xdr:cNvSpPr/>
      </xdr:nvSpPr>
      <xdr:spPr>
        <a:xfrm>
          <a:off x="4067175" y="2076450"/>
          <a:ext cx="1571625" cy="29527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MX" sz="1100"/>
            <a:t>MATERIAL / ACCESORIO</a:t>
          </a:r>
        </a:p>
      </xdr:txBody>
    </xdr:sp>
    <xdr:clientData/>
  </xdr:twoCellAnchor>
  <xdr:twoCellAnchor>
    <xdr:from>
      <xdr:col>8</xdr:col>
      <xdr:colOff>238125</xdr:colOff>
      <xdr:row>10</xdr:row>
      <xdr:rowOff>180975</xdr:rowOff>
    </xdr:from>
    <xdr:to>
      <xdr:col>9</xdr:col>
      <xdr:colOff>361950</xdr:colOff>
      <xdr:row>12</xdr:row>
      <xdr:rowOff>95250</xdr:rowOff>
    </xdr:to>
    <xdr:sp macro="" textlink="">
      <xdr:nvSpPr>
        <xdr:cNvPr id="6" name="Rectángulo 5">
          <a:extLst>
            <a:ext uri="{FF2B5EF4-FFF2-40B4-BE49-F238E27FC236}">
              <a16:creationId xmlns:a16="http://schemas.microsoft.com/office/drawing/2014/main" id="{00000000-0008-0000-1000-000006000000}"/>
            </a:ext>
          </a:extLst>
        </xdr:cNvPr>
        <xdr:cNvSpPr/>
      </xdr:nvSpPr>
      <xdr:spPr>
        <a:xfrm>
          <a:off x="5572125" y="2085975"/>
          <a:ext cx="504825" cy="29527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MX" sz="1100"/>
            <a:t>PZAS</a:t>
          </a:r>
        </a:p>
      </xdr:txBody>
    </xdr:sp>
    <xdr:clientData/>
  </xdr:twoCellAnchor>
  <xdr:twoCellAnchor>
    <xdr:from>
      <xdr:col>9</xdr:col>
      <xdr:colOff>428625</xdr:colOff>
      <xdr:row>11</xdr:row>
      <xdr:rowOff>0</xdr:rowOff>
    </xdr:from>
    <xdr:to>
      <xdr:col>10</xdr:col>
      <xdr:colOff>333375</xdr:colOff>
      <xdr:row>12</xdr:row>
      <xdr:rowOff>104775</xdr:rowOff>
    </xdr:to>
    <xdr:sp macro="" textlink="">
      <xdr:nvSpPr>
        <xdr:cNvPr id="7" name="Rectángulo 6">
          <a:extLst>
            <a:ext uri="{FF2B5EF4-FFF2-40B4-BE49-F238E27FC236}">
              <a16:creationId xmlns:a16="http://schemas.microsoft.com/office/drawing/2014/main" id="{00000000-0008-0000-1000-000007000000}"/>
            </a:ext>
          </a:extLst>
        </xdr:cNvPr>
        <xdr:cNvSpPr/>
      </xdr:nvSpPr>
      <xdr:spPr>
        <a:xfrm>
          <a:off x="7286625" y="2095500"/>
          <a:ext cx="666750" cy="29527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MX" sz="1100"/>
            <a:t>$ C/U</a:t>
          </a:r>
        </a:p>
      </xdr:txBody>
    </xdr:sp>
    <xdr:clientData/>
  </xdr:twoCellAnchor>
  <mc:AlternateContent xmlns:mc="http://schemas.openxmlformats.org/markup-compatibility/2006">
    <mc:Choice xmlns:a14="http://schemas.microsoft.com/office/drawing/2010/main" Requires="a14">
      <xdr:twoCellAnchor>
        <xdr:from>
          <xdr:col>5</xdr:col>
          <xdr:colOff>0</xdr:colOff>
          <xdr:row>15</xdr:row>
          <xdr:rowOff>161925</xdr:rowOff>
        </xdr:from>
        <xdr:to>
          <xdr:col>10</xdr:col>
          <xdr:colOff>723899</xdr:colOff>
          <xdr:row>17</xdr:row>
          <xdr:rowOff>47625</xdr:rowOff>
        </xdr:to>
        <xdr:grpSp>
          <xdr:nvGrpSpPr>
            <xdr:cNvPr id="10" name="Grupo 9">
              <a:extLst>
                <a:ext uri="{FF2B5EF4-FFF2-40B4-BE49-F238E27FC236}">
                  <a16:creationId xmlns:a16="http://schemas.microsoft.com/office/drawing/2014/main" id="{00000000-0008-0000-1000-00000A000000}"/>
                </a:ext>
              </a:extLst>
            </xdr:cNvPr>
            <xdr:cNvGrpSpPr/>
          </xdr:nvGrpSpPr>
          <xdr:grpSpPr>
            <a:xfrm>
              <a:off x="3718560" y="2905125"/>
              <a:ext cx="3703319" cy="251460"/>
              <a:chOff x="3819528" y="1866904"/>
              <a:chExt cx="4533900" cy="266700"/>
            </a:xfrm>
          </xdr:grpSpPr>
          <xdr:sp macro="" textlink="">
            <xdr:nvSpPr>
              <xdr:cNvPr id="70680" name="TextBox6" hidden="1">
                <a:extLst>
                  <a:ext uri="{63B3BB69-23CF-44E3-9099-C40C66FF867C}">
                    <a14:compatExt spid="_x0000_s70680"/>
                  </a:ext>
                  <a:ext uri="{FF2B5EF4-FFF2-40B4-BE49-F238E27FC236}">
                    <a16:creationId xmlns:a16="http://schemas.microsoft.com/office/drawing/2014/main" id="{00000000-0008-0000-1000-000018140100}"/>
                  </a:ext>
                </a:extLst>
              </xdr:cNvPr>
              <xdr:cNvSpPr/>
            </xdr:nvSpPr>
            <xdr:spPr bwMode="auto">
              <a:xfrm>
                <a:off x="3819528" y="1866904"/>
                <a:ext cx="2419351" cy="247651"/>
              </a:xfrm>
              <a:prstGeom prst="rect">
                <a:avLst/>
              </a:prstGeom>
              <a:noFill/>
              <a:ln>
                <a:noFill/>
              </a:ln>
              <a:extLst>
                <a:ext uri="{91240B29-F687-4F45-9708-019B960494DF}">
                  <a14:hiddenLine w="9525">
                    <a:noFill/>
                    <a:miter lim="800000"/>
                    <a:headEnd/>
                    <a:tailEnd/>
                  </a14:hiddenLine>
                </a:ext>
              </a:extLst>
            </xdr:spPr>
          </xdr:sp>
          <xdr:sp macro="" textlink="">
            <xdr:nvSpPr>
              <xdr:cNvPr id="70681" name="TextBox7" hidden="1">
                <a:extLst>
                  <a:ext uri="{63B3BB69-23CF-44E3-9099-C40C66FF867C}">
                    <a14:compatExt spid="_x0000_s70681"/>
                  </a:ext>
                  <a:ext uri="{FF2B5EF4-FFF2-40B4-BE49-F238E27FC236}">
                    <a16:creationId xmlns:a16="http://schemas.microsoft.com/office/drawing/2014/main" id="{00000000-0008-0000-1000-000019140100}"/>
                  </a:ext>
                </a:extLst>
              </xdr:cNvPr>
              <xdr:cNvSpPr/>
            </xdr:nvSpPr>
            <xdr:spPr bwMode="auto">
              <a:xfrm>
                <a:off x="6286504" y="1876425"/>
                <a:ext cx="676276" cy="247650"/>
              </a:xfrm>
              <a:prstGeom prst="rect">
                <a:avLst/>
              </a:prstGeom>
              <a:noFill/>
              <a:ln>
                <a:noFill/>
              </a:ln>
              <a:extLst>
                <a:ext uri="{91240B29-F687-4F45-9708-019B960494DF}">
                  <a14:hiddenLine w="9525">
                    <a:noFill/>
                    <a:miter lim="800000"/>
                    <a:headEnd/>
                    <a:tailEnd/>
                  </a14:hiddenLine>
                </a:ext>
              </a:extLst>
            </xdr:spPr>
          </xdr:sp>
          <xdr:sp macro="" textlink="">
            <xdr:nvSpPr>
              <xdr:cNvPr id="70682" name="TextBox8" hidden="1">
                <a:extLst>
                  <a:ext uri="{63B3BB69-23CF-44E3-9099-C40C66FF867C}">
                    <a14:compatExt spid="_x0000_s70682"/>
                  </a:ext>
                  <a:ext uri="{FF2B5EF4-FFF2-40B4-BE49-F238E27FC236}">
                    <a16:creationId xmlns:a16="http://schemas.microsoft.com/office/drawing/2014/main" id="{00000000-0008-0000-1000-00001A140100}"/>
                  </a:ext>
                </a:extLst>
              </xdr:cNvPr>
              <xdr:cNvSpPr/>
            </xdr:nvSpPr>
            <xdr:spPr bwMode="auto">
              <a:xfrm>
                <a:off x="7086604" y="1885953"/>
                <a:ext cx="1266824" cy="247651"/>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752475</xdr:colOff>
          <xdr:row>17</xdr:row>
          <xdr:rowOff>171450</xdr:rowOff>
        </xdr:from>
        <xdr:to>
          <xdr:col>10</xdr:col>
          <xdr:colOff>714374</xdr:colOff>
          <xdr:row>19</xdr:row>
          <xdr:rowOff>57150</xdr:rowOff>
        </xdr:to>
        <xdr:grpSp>
          <xdr:nvGrpSpPr>
            <xdr:cNvPr id="11" name="Grupo 10">
              <a:extLst>
                <a:ext uri="{FF2B5EF4-FFF2-40B4-BE49-F238E27FC236}">
                  <a16:creationId xmlns:a16="http://schemas.microsoft.com/office/drawing/2014/main" id="{00000000-0008-0000-1000-00000B000000}"/>
                </a:ext>
              </a:extLst>
            </xdr:cNvPr>
            <xdr:cNvGrpSpPr/>
          </xdr:nvGrpSpPr>
          <xdr:grpSpPr>
            <a:xfrm>
              <a:off x="3716655" y="3280410"/>
              <a:ext cx="3695699" cy="251460"/>
              <a:chOff x="3819523" y="1866904"/>
              <a:chExt cx="4533907" cy="266700"/>
            </a:xfrm>
          </xdr:grpSpPr>
          <xdr:sp macro="" textlink="">
            <xdr:nvSpPr>
              <xdr:cNvPr id="70683" name="TextBox9" hidden="1">
                <a:extLst>
                  <a:ext uri="{63B3BB69-23CF-44E3-9099-C40C66FF867C}">
                    <a14:compatExt spid="_x0000_s70683"/>
                  </a:ext>
                  <a:ext uri="{FF2B5EF4-FFF2-40B4-BE49-F238E27FC236}">
                    <a16:creationId xmlns:a16="http://schemas.microsoft.com/office/drawing/2014/main" id="{00000000-0008-0000-1000-00001B140100}"/>
                  </a:ext>
                </a:extLst>
              </xdr:cNvPr>
              <xdr:cNvSpPr/>
            </xdr:nvSpPr>
            <xdr:spPr bwMode="auto">
              <a:xfrm>
                <a:off x="3819523" y="1866904"/>
                <a:ext cx="2419351" cy="247651"/>
              </a:xfrm>
              <a:prstGeom prst="rect">
                <a:avLst/>
              </a:prstGeom>
              <a:noFill/>
              <a:ln>
                <a:noFill/>
              </a:ln>
              <a:extLst>
                <a:ext uri="{91240B29-F687-4F45-9708-019B960494DF}">
                  <a14:hiddenLine w="9525">
                    <a:noFill/>
                    <a:miter lim="800000"/>
                    <a:headEnd/>
                    <a:tailEnd/>
                  </a14:hiddenLine>
                </a:ext>
              </a:extLst>
            </xdr:spPr>
          </xdr:sp>
          <xdr:sp macro="" textlink="">
            <xdr:nvSpPr>
              <xdr:cNvPr id="70684" name="TextBox10" hidden="1">
                <a:extLst>
                  <a:ext uri="{63B3BB69-23CF-44E3-9099-C40C66FF867C}">
                    <a14:compatExt spid="_x0000_s70684"/>
                  </a:ext>
                  <a:ext uri="{FF2B5EF4-FFF2-40B4-BE49-F238E27FC236}">
                    <a16:creationId xmlns:a16="http://schemas.microsoft.com/office/drawing/2014/main" id="{00000000-0008-0000-1000-00001C140100}"/>
                  </a:ext>
                </a:extLst>
              </xdr:cNvPr>
              <xdr:cNvSpPr/>
            </xdr:nvSpPr>
            <xdr:spPr bwMode="auto">
              <a:xfrm>
                <a:off x="6286499" y="1876425"/>
                <a:ext cx="676276" cy="247650"/>
              </a:xfrm>
              <a:prstGeom prst="rect">
                <a:avLst/>
              </a:prstGeom>
              <a:noFill/>
              <a:ln>
                <a:noFill/>
              </a:ln>
              <a:extLst>
                <a:ext uri="{91240B29-F687-4F45-9708-019B960494DF}">
                  <a14:hiddenLine w="9525">
                    <a:noFill/>
                    <a:miter lim="800000"/>
                    <a:headEnd/>
                    <a:tailEnd/>
                  </a14:hiddenLine>
                </a:ext>
              </a:extLst>
            </xdr:spPr>
          </xdr:sp>
          <xdr:sp macro="" textlink="">
            <xdr:nvSpPr>
              <xdr:cNvPr id="70685" name="TextBox11" hidden="1">
                <a:extLst>
                  <a:ext uri="{63B3BB69-23CF-44E3-9099-C40C66FF867C}">
                    <a14:compatExt spid="_x0000_s70685"/>
                  </a:ext>
                  <a:ext uri="{FF2B5EF4-FFF2-40B4-BE49-F238E27FC236}">
                    <a16:creationId xmlns:a16="http://schemas.microsoft.com/office/drawing/2014/main" id="{00000000-0008-0000-1000-00001D140100}"/>
                  </a:ext>
                </a:extLst>
              </xdr:cNvPr>
              <xdr:cNvSpPr/>
            </xdr:nvSpPr>
            <xdr:spPr bwMode="auto">
              <a:xfrm>
                <a:off x="7086604" y="1885953"/>
                <a:ext cx="1266826" cy="247651"/>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19</xdr:row>
          <xdr:rowOff>133350</xdr:rowOff>
        </xdr:from>
        <xdr:to>
          <xdr:col>10</xdr:col>
          <xdr:colOff>723899</xdr:colOff>
          <xdr:row>21</xdr:row>
          <xdr:rowOff>19050</xdr:rowOff>
        </xdr:to>
        <xdr:grpSp>
          <xdr:nvGrpSpPr>
            <xdr:cNvPr id="12" name="Grupo 11">
              <a:extLst>
                <a:ext uri="{FF2B5EF4-FFF2-40B4-BE49-F238E27FC236}">
                  <a16:creationId xmlns:a16="http://schemas.microsoft.com/office/drawing/2014/main" id="{00000000-0008-0000-1000-00000C000000}"/>
                </a:ext>
              </a:extLst>
            </xdr:cNvPr>
            <xdr:cNvGrpSpPr/>
          </xdr:nvGrpSpPr>
          <xdr:grpSpPr>
            <a:xfrm>
              <a:off x="3718560" y="3608070"/>
              <a:ext cx="3703319" cy="251460"/>
              <a:chOff x="3819528" y="1866904"/>
              <a:chExt cx="4533900" cy="266700"/>
            </a:xfrm>
          </xdr:grpSpPr>
          <xdr:sp macro="" textlink="">
            <xdr:nvSpPr>
              <xdr:cNvPr id="70686" name="TextBox12" hidden="1">
                <a:extLst>
                  <a:ext uri="{63B3BB69-23CF-44E3-9099-C40C66FF867C}">
                    <a14:compatExt spid="_x0000_s70686"/>
                  </a:ext>
                  <a:ext uri="{FF2B5EF4-FFF2-40B4-BE49-F238E27FC236}">
                    <a16:creationId xmlns:a16="http://schemas.microsoft.com/office/drawing/2014/main" id="{00000000-0008-0000-1000-00001E140100}"/>
                  </a:ext>
                </a:extLst>
              </xdr:cNvPr>
              <xdr:cNvSpPr/>
            </xdr:nvSpPr>
            <xdr:spPr bwMode="auto">
              <a:xfrm>
                <a:off x="3819528" y="1866904"/>
                <a:ext cx="2419351" cy="247651"/>
              </a:xfrm>
              <a:prstGeom prst="rect">
                <a:avLst/>
              </a:prstGeom>
              <a:noFill/>
              <a:ln>
                <a:noFill/>
              </a:ln>
              <a:extLst>
                <a:ext uri="{91240B29-F687-4F45-9708-019B960494DF}">
                  <a14:hiddenLine w="9525">
                    <a:noFill/>
                    <a:miter lim="800000"/>
                    <a:headEnd/>
                    <a:tailEnd/>
                  </a14:hiddenLine>
                </a:ext>
              </a:extLst>
            </xdr:spPr>
          </xdr:sp>
          <xdr:sp macro="" textlink="">
            <xdr:nvSpPr>
              <xdr:cNvPr id="70687" name="TextBox13" hidden="1">
                <a:extLst>
                  <a:ext uri="{63B3BB69-23CF-44E3-9099-C40C66FF867C}">
                    <a14:compatExt spid="_x0000_s70687"/>
                  </a:ext>
                  <a:ext uri="{FF2B5EF4-FFF2-40B4-BE49-F238E27FC236}">
                    <a16:creationId xmlns:a16="http://schemas.microsoft.com/office/drawing/2014/main" id="{00000000-0008-0000-1000-00001F140100}"/>
                  </a:ext>
                </a:extLst>
              </xdr:cNvPr>
              <xdr:cNvSpPr/>
            </xdr:nvSpPr>
            <xdr:spPr bwMode="auto">
              <a:xfrm>
                <a:off x="6286504" y="1876425"/>
                <a:ext cx="676276" cy="247650"/>
              </a:xfrm>
              <a:prstGeom prst="rect">
                <a:avLst/>
              </a:prstGeom>
              <a:noFill/>
              <a:ln>
                <a:noFill/>
              </a:ln>
              <a:extLst>
                <a:ext uri="{91240B29-F687-4F45-9708-019B960494DF}">
                  <a14:hiddenLine w="9525">
                    <a:noFill/>
                    <a:miter lim="800000"/>
                    <a:headEnd/>
                    <a:tailEnd/>
                  </a14:hiddenLine>
                </a:ext>
              </a:extLst>
            </xdr:spPr>
          </xdr:sp>
          <xdr:sp macro="" textlink="">
            <xdr:nvSpPr>
              <xdr:cNvPr id="70688" name="TextBox14" hidden="1">
                <a:extLst>
                  <a:ext uri="{63B3BB69-23CF-44E3-9099-C40C66FF867C}">
                    <a14:compatExt spid="_x0000_s70688"/>
                  </a:ext>
                  <a:ext uri="{FF2B5EF4-FFF2-40B4-BE49-F238E27FC236}">
                    <a16:creationId xmlns:a16="http://schemas.microsoft.com/office/drawing/2014/main" id="{00000000-0008-0000-1000-000020140100}"/>
                  </a:ext>
                </a:extLst>
              </xdr:cNvPr>
              <xdr:cNvSpPr/>
            </xdr:nvSpPr>
            <xdr:spPr bwMode="auto">
              <a:xfrm>
                <a:off x="7086604" y="1885953"/>
                <a:ext cx="1266824" cy="247651"/>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twoCellAnchor>
    <xdr:from>
      <xdr:col>0</xdr:col>
      <xdr:colOff>342900</xdr:colOff>
      <xdr:row>7</xdr:row>
      <xdr:rowOff>85725</xdr:rowOff>
    </xdr:from>
    <xdr:to>
      <xdr:col>2</xdr:col>
      <xdr:colOff>390525</xdr:colOff>
      <xdr:row>9</xdr:row>
      <xdr:rowOff>0</xdr:rowOff>
    </xdr:to>
    <xdr:sp macro="" textlink="">
      <xdr:nvSpPr>
        <xdr:cNvPr id="13" name="Rectángulo 12">
          <a:extLst>
            <a:ext uri="{FF2B5EF4-FFF2-40B4-BE49-F238E27FC236}">
              <a16:creationId xmlns:a16="http://schemas.microsoft.com/office/drawing/2014/main" id="{00000000-0008-0000-1000-00000D000000}"/>
            </a:ext>
          </a:extLst>
        </xdr:cNvPr>
        <xdr:cNvSpPr/>
      </xdr:nvSpPr>
      <xdr:spPr>
        <a:xfrm>
          <a:off x="342900" y="1419225"/>
          <a:ext cx="1571625" cy="29527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MX" sz="1100"/>
            <a:t>SUSPENSIÓN  / EJES</a:t>
          </a:r>
        </a:p>
      </xdr:txBody>
    </xdr:sp>
    <xdr:clientData/>
  </xdr:twoCellAnchor>
  <mc:AlternateContent xmlns:mc="http://schemas.openxmlformats.org/markup-compatibility/2006">
    <mc:Choice xmlns:a14="http://schemas.microsoft.com/office/drawing/2010/main" Requires="a14">
      <xdr:twoCellAnchor>
        <xdr:from>
          <xdr:col>0</xdr:col>
          <xdr:colOff>200025</xdr:colOff>
          <xdr:row>5</xdr:row>
          <xdr:rowOff>142876</xdr:rowOff>
        </xdr:from>
        <xdr:to>
          <xdr:col>4</xdr:col>
          <xdr:colOff>200025</xdr:colOff>
          <xdr:row>6</xdr:row>
          <xdr:rowOff>180976</xdr:rowOff>
        </xdr:to>
        <xdr:grpSp>
          <xdr:nvGrpSpPr>
            <xdr:cNvPr id="14" name="Grupo 13">
              <a:extLst>
                <a:ext uri="{FF2B5EF4-FFF2-40B4-BE49-F238E27FC236}">
                  <a16:creationId xmlns:a16="http://schemas.microsoft.com/office/drawing/2014/main" id="{00000000-0008-0000-1000-00000E000000}"/>
                </a:ext>
              </a:extLst>
            </xdr:cNvPr>
            <xdr:cNvGrpSpPr/>
          </xdr:nvGrpSpPr>
          <xdr:grpSpPr>
            <a:xfrm>
              <a:off x="200025" y="1057276"/>
              <a:ext cx="3169920" cy="220980"/>
              <a:chOff x="771525" y="1524019"/>
              <a:chExt cx="3048000" cy="228604"/>
            </a:xfrm>
          </xdr:grpSpPr>
          <xdr:sp macro="" textlink="">
            <xdr:nvSpPr>
              <xdr:cNvPr id="70691" name="Drop Down 35" hidden="1">
                <a:extLst>
                  <a:ext uri="{63B3BB69-23CF-44E3-9099-C40C66FF867C}">
                    <a14:compatExt spid="_x0000_s70691"/>
                  </a:ext>
                  <a:ext uri="{FF2B5EF4-FFF2-40B4-BE49-F238E27FC236}">
                    <a16:creationId xmlns:a16="http://schemas.microsoft.com/office/drawing/2014/main" id="{00000000-0008-0000-1000-000023140100}"/>
                  </a:ext>
                </a:extLst>
              </xdr:cNvPr>
              <xdr:cNvSpPr/>
            </xdr:nvSpPr>
            <xdr:spPr bwMode="auto">
              <a:xfrm>
                <a:off x="771525" y="1552597"/>
                <a:ext cx="2305050" cy="200026"/>
              </a:xfrm>
              <a:prstGeom prst="rect">
                <a:avLst/>
              </a:prstGeom>
              <a:noFill/>
              <a:ln>
                <a:noFill/>
              </a:ln>
              <a:extLst>
                <a:ext uri="{91240B29-F687-4F45-9708-019B960494DF}">
                  <a14:hiddenLine w="9525">
                    <a:noFill/>
                    <a:miter lim="800000"/>
                    <a:headEnd/>
                    <a:tailEnd/>
                  </a14:hiddenLine>
                </a:ext>
              </a:extLst>
            </xdr:spPr>
          </xdr:sp>
          <xdr:sp macro="" textlink="">
            <xdr:nvSpPr>
              <xdr:cNvPr id="70692" name="TextBox15" hidden="1">
                <a:extLst>
                  <a:ext uri="{63B3BB69-23CF-44E3-9099-C40C66FF867C}">
                    <a14:compatExt spid="_x0000_s70692"/>
                  </a:ext>
                  <a:ext uri="{FF2B5EF4-FFF2-40B4-BE49-F238E27FC236}">
                    <a16:creationId xmlns:a16="http://schemas.microsoft.com/office/drawing/2014/main" id="{00000000-0008-0000-1000-000024140100}"/>
                  </a:ext>
                </a:extLst>
              </xdr:cNvPr>
              <xdr:cNvSpPr/>
            </xdr:nvSpPr>
            <xdr:spPr bwMode="auto">
              <a:xfrm>
                <a:off x="3152775" y="1524019"/>
                <a:ext cx="666750" cy="228599"/>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twoCellAnchor>
    <xdr:from>
      <xdr:col>0</xdr:col>
      <xdr:colOff>523875</xdr:colOff>
      <xdr:row>0</xdr:row>
      <xdr:rowOff>152400</xdr:rowOff>
    </xdr:from>
    <xdr:to>
      <xdr:col>5</xdr:col>
      <xdr:colOff>381000</xdr:colOff>
      <xdr:row>2</xdr:row>
      <xdr:rowOff>95250</xdr:rowOff>
    </xdr:to>
    <xdr:sp macro="" textlink="">
      <xdr:nvSpPr>
        <xdr:cNvPr id="15" name="CuadroTexto 14">
          <a:extLst>
            <a:ext uri="{FF2B5EF4-FFF2-40B4-BE49-F238E27FC236}">
              <a16:creationId xmlns:a16="http://schemas.microsoft.com/office/drawing/2014/main" id="{00000000-0008-0000-1000-00000F000000}"/>
            </a:ext>
          </a:extLst>
        </xdr:cNvPr>
        <xdr:cNvSpPr txBox="1"/>
      </xdr:nvSpPr>
      <xdr:spPr>
        <a:xfrm>
          <a:off x="523875" y="152400"/>
          <a:ext cx="3667125" cy="32385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2000">
              <a:solidFill>
                <a:schemeClr val="bg1"/>
              </a:solidFill>
            </a:rPr>
            <a:t>EQUIPAMIENTO DE DOLLY</a:t>
          </a:r>
        </a:p>
      </xdr:txBody>
    </xdr:sp>
    <xdr:clientData/>
  </xdr:twoCellAnchor>
  <mc:AlternateContent xmlns:mc="http://schemas.openxmlformats.org/markup-compatibility/2006">
    <mc:Choice xmlns:a14="http://schemas.microsoft.com/office/drawing/2010/main" Requires="a14">
      <xdr:twoCellAnchor editAs="oneCell">
        <xdr:from>
          <xdr:col>9</xdr:col>
          <xdr:colOff>68580</xdr:colOff>
          <xdr:row>2</xdr:row>
          <xdr:rowOff>30480</xdr:rowOff>
        </xdr:from>
        <xdr:to>
          <xdr:col>10</xdr:col>
          <xdr:colOff>586740</xdr:colOff>
          <xdr:row>4</xdr:row>
          <xdr:rowOff>53340</xdr:rowOff>
        </xdr:to>
        <xdr:sp macro="" textlink="">
          <xdr:nvSpPr>
            <xdr:cNvPr id="70695" name="eQUIPDOLLYBOTN" hidden="1">
              <a:extLst>
                <a:ext uri="{63B3BB69-23CF-44E3-9099-C40C66FF867C}">
                  <a14:compatExt spid="_x0000_s70695"/>
                </a:ext>
                <a:ext uri="{FF2B5EF4-FFF2-40B4-BE49-F238E27FC236}">
                  <a16:creationId xmlns:a16="http://schemas.microsoft.com/office/drawing/2014/main" id="{00000000-0008-0000-1000-000027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18</xdr:row>
          <xdr:rowOff>57150</xdr:rowOff>
        </xdr:from>
        <xdr:to>
          <xdr:col>4</xdr:col>
          <xdr:colOff>57150</xdr:colOff>
          <xdr:row>19</xdr:row>
          <xdr:rowOff>95250</xdr:rowOff>
        </xdr:to>
        <xdr:grpSp>
          <xdr:nvGrpSpPr>
            <xdr:cNvPr id="37" name="Grupo 36">
              <a:extLst>
                <a:ext uri="{FF2B5EF4-FFF2-40B4-BE49-F238E27FC236}">
                  <a16:creationId xmlns:a16="http://schemas.microsoft.com/office/drawing/2014/main" id="{00000000-0008-0000-1000-000025000000}"/>
                </a:ext>
              </a:extLst>
            </xdr:cNvPr>
            <xdr:cNvGrpSpPr/>
          </xdr:nvGrpSpPr>
          <xdr:grpSpPr>
            <a:xfrm>
              <a:off x="38100" y="3348990"/>
              <a:ext cx="3188970" cy="220980"/>
              <a:chOff x="762000" y="1914527"/>
              <a:chExt cx="3067051" cy="228597"/>
            </a:xfrm>
          </xdr:grpSpPr>
          <xdr:sp macro="" textlink="">
            <xdr:nvSpPr>
              <xdr:cNvPr id="70698" name="Drop Down 42" hidden="1">
                <a:extLst>
                  <a:ext uri="{63B3BB69-23CF-44E3-9099-C40C66FF867C}">
                    <a14:compatExt spid="_x0000_s70698"/>
                  </a:ext>
                  <a:ext uri="{FF2B5EF4-FFF2-40B4-BE49-F238E27FC236}">
                    <a16:creationId xmlns:a16="http://schemas.microsoft.com/office/drawing/2014/main" id="{00000000-0008-0000-1000-00002A140100}"/>
                  </a:ext>
                </a:extLst>
              </xdr:cNvPr>
              <xdr:cNvSpPr/>
            </xdr:nvSpPr>
            <xdr:spPr bwMode="auto">
              <a:xfrm>
                <a:off x="762000" y="1914527"/>
                <a:ext cx="2305060" cy="200025"/>
              </a:xfrm>
              <a:prstGeom prst="rect">
                <a:avLst/>
              </a:prstGeom>
              <a:noFill/>
              <a:ln>
                <a:noFill/>
              </a:ln>
              <a:extLst>
                <a:ext uri="{91240B29-F687-4F45-9708-019B960494DF}">
                  <a14:hiddenLine w="9525">
                    <a:noFill/>
                    <a:miter lim="800000"/>
                    <a:headEnd/>
                    <a:tailEnd/>
                  </a14:hiddenLine>
                </a:ext>
              </a:extLst>
            </xdr:spPr>
          </xdr:sp>
          <xdr:sp macro="" textlink="">
            <xdr:nvSpPr>
              <xdr:cNvPr id="70699" name="TextBox16" hidden="1">
                <a:extLst>
                  <a:ext uri="{63B3BB69-23CF-44E3-9099-C40C66FF867C}">
                    <a14:compatExt spid="_x0000_s70699"/>
                  </a:ext>
                  <a:ext uri="{FF2B5EF4-FFF2-40B4-BE49-F238E27FC236}">
                    <a16:creationId xmlns:a16="http://schemas.microsoft.com/office/drawing/2014/main" id="{00000000-0008-0000-1000-00002B140100}"/>
                  </a:ext>
                </a:extLst>
              </xdr:cNvPr>
              <xdr:cNvSpPr/>
            </xdr:nvSpPr>
            <xdr:spPr bwMode="auto">
              <a:xfrm>
                <a:off x="3162301" y="1914527"/>
                <a:ext cx="666750" cy="228597"/>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twoCellAnchor>
    <xdr:from>
      <xdr:col>0</xdr:col>
      <xdr:colOff>95250</xdr:colOff>
      <xdr:row>15</xdr:row>
      <xdr:rowOff>104775</xdr:rowOff>
    </xdr:from>
    <xdr:to>
      <xdr:col>3</xdr:col>
      <xdr:colOff>714375</xdr:colOff>
      <xdr:row>17</xdr:row>
      <xdr:rowOff>19050</xdr:rowOff>
    </xdr:to>
    <xdr:sp macro="" textlink="">
      <xdr:nvSpPr>
        <xdr:cNvPr id="40" name="Rectángulo 39">
          <a:extLst>
            <a:ext uri="{FF2B5EF4-FFF2-40B4-BE49-F238E27FC236}">
              <a16:creationId xmlns:a16="http://schemas.microsoft.com/office/drawing/2014/main" id="{00000000-0008-0000-1000-000028000000}"/>
            </a:ext>
          </a:extLst>
        </xdr:cNvPr>
        <xdr:cNvSpPr/>
      </xdr:nvSpPr>
      <xdr:spPr>
        <a:xfrm>
          <a:off x="95250" y="2771775"/>
          <a:ext cx="2905125" cy="29527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MX" sz="1100"/>
            <a:t>RINES,</a:t>
          </a:r>
          <a:r>
            <a:rPr lang="es-MX" sz="1100" baseline="0"/>
            <a:t> LLANTAS Y RETRACTIL</a:t>
          </a:r>
          <a:endParaRPr lang="es-MX" sz="1100"/>
        </a:p>
      </xdr:txBody>
    </xdr:sp>
    <xdr:clientData/>
  </xdr:twoCellAnchor>
  <mc:AlternateContent xmlns:mc="http://schemas.openxmlformats.org/markup-compatibility/2006">
    <mc:Choice xmlns:a14="http://schemas.microsoft.com/office/drawing/2010/main" Requires="a14">
      <xdr:twoCellAnchor>
        <xdr:from>
          <xdr:col>0</xdr:col>
          <xdr:colOff>47625</xdr:colOff>
          <xdr:row>21</xdr:row>
          <xdr:rowOff>161925</xdr:rowOff>
        </xdr:from>
        <xdr:to>
          <xdr:col>4</xdr:col>
          <xdr:colOff>66675</xdr:colOff>
          <xdr:row>23</xdr:row>
          <xdr:rowOff>9525</xdr:rowOff>
        </xdr:to>
        <xdr:grpSp>
          <xdr:nvGrpSpPr>
            <xdr:cNvPr id="42" name="Grupo 41">
              <a:extLst>
                <a:ext uri="{FF2B5EF4-FFF2-40B4-BE49-F238E27FC236}">
                  <a16:creationId xmlns:a16="http://schemas.microsoft.com/office/drawing/2014/main" id="{00000000-0008-0000-1000-00002A000000}"/>
                </a:ext>
              </a:extLst>
            </xdr:cNvPr>
            <xdr:cNvGrpSpPr/>
          </xdr:nvGrpSpPr>
          <xdr:grpSpPr>
            <a:xfrm>
              <a:off x="47625" y="4002405"/>
              <a:ext cx="3188970" cy="213360"/>
              <a:chOff x="762000" y="1914525"/>
              <a:chExt cx="3067051" cy="228600"/>
            </a:xfrm>
          </xdr:grpSpPr>
          <xdr:sp macro="" textlink="">
            <xdr:nvSpPr>
              <xdr:cNvPr id="70701" name="Drop Down 45" hidden="1">
                <a:extLst>
                  <a:ext uri="{63B3BB69-23CF-44E3-9099-C40C66FF867C}">
                    <a14:compatExt spid="_x0000_s70701"/>
                  </a:ext>
                  <a:ext uri="{FF2B5EF4-FFF2-40B4-BE49-F238E27FC236}">
                    <a16:creationId xmlns:a16="http://schemas.microsoft.com/office/drawing/2014/main" id="{00000000-0008-0000-1000-00002D140100}"/>
                  </a:ext>
                </a:extLst>
              </xdr:cNvPr>
              <xdr:cNvSpPr/>
            </xdr:nvSpPr>
            <xdr:spPr bwMode="auto">
              <a:xfrm>
                <a:off x="762000" y="1914525"/>
                <a:ext cx="2305060" cy="200025"/>
              </a:xfrm>
              <a:prstGeom prst="rect">
                <a:avLst/>
              </a:prstGeom>
              <a:noFill/>
              <a:ln>
                <a:noFill/>
              </a:ln>
              <a:extLst>
                <a:ext uri="{91240B29-F687-4F45-9708-019B960494DF}">
                  <a14:hiddenLine w="9525">
                    <a:noFill/>
                    <a:miter lim="800000"/>
                    <a:headEnd/>
                    <a:tailEnd/>
                  </a14:hiddenLine>
                </a:ext>
              </a:extLst>
            </xdr:spPr>
          </xdr:sp>
          <xdr:sp macro="" textlink="">
            <xdr:nvSpPr>
              <xdr:cNvPr id="70702" name="TextBox17" hidden="1">
                <a:extLst>
                  <a:ext uri="{63B3BB69-23CF-44E3-9099-C40C66FF867C}">
                    <a14:compatExt spid="_x0000_s70702"/>
                  </a:ext>
                  <a:ext uri="{FF2B5EF4-FFF2-40B4-BE49-F238E27FC236}">
                    <a16:creationId xmlns:a16="http://schemas.microsoft.com/office/drawing/2014/main" id="{00000000-0008-0000-1000-00002E140100}"/>
                  </a:ext>
                </a:extLst>
              </xdr:cNvPr>
              <xdr:cNvSpPr/>
            </xdr:nvSpPr>
            <xdr:spPr bwMode="auto">
              <a:xfrm>
                <a:off x="3162301" y="1914525"/>
                <a:ext cx="66675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142875</xdr:rowOff>
        </xdr:from>
        <xdr:to>
          <xdr:col>4</xdr:col>
          <xdr:colOff>38100</xdr:colOff>
          <xdr:row>24</xdr:row>
          <xdr:rowOff>180975</xdr:rowOff>
        </xdr:to>
        <xdr:grpSp>
          <xdr:nvGrpSpPr>
            <xdr:cNvPr id="45" name="Grupo 44">
              <a:extLst>
                <a:ext uri="{FF2B5EF4-FFF2-40B4-BE49-F238E27FC236}">
                  <a16:creationId xmlns:a16="http://schemas.microsoft.com/office/drawing/2014/main" id="{00000000-0008-0000-1000-00002D000000}"/>
                </a:ext>
              </a:extLst>
            </xdr:cNvPr>
            <xdr:cNvGrpSpPr/>
          </xdr:nvGrpSpPr>
          <xdr:grpSpPr>
            <a:xfrm>
              <a:off x="19050" y="4349115"/>
              <a:ext cx="3188970" cy="220980"/>
              <a:chOff x="762000" y="1914527"/>
              <a:chExt cx="3067051" cy="228597"/>
            </a:xfrm>
          </xdr:grpSpPr>
          <xdr:sp macro="" textlink="">
            <xdr:nvSpPr>
              <xdr:cNvPr id="70703" name="Drop Down 47" hidden="1">
                <a:extLst>
                  <a:ext uri="{63B3BB69-23CF-44E3-9099-C40C66FF867C}">
                    <a14:compatExt spid="_x0000_s70703"/>
                  </a:ext>
                  <a:ext uri="{FF2B5EF4-FFF2-40B4-BE49-F238E27FC236}">
                    <a16:creationId xmlns:a16="http://schemas.microsoft.com/office/drawing/2014/main" id="{00000000-0008-0000-1000-00002F140100}"/>
                  </a:ext>
                </a:extLst>
              </xdr:cNvPr>
              <xdr:cNvSpPr/>
            </xdr:nvSpPr>
            <xdr:spPr bwMode="auto">
              <a:xfrm>
                <a:off x="762000" y="1914527"/>
                <a:ext cx="2305060" cy="200025"/>
              </a:xfrm>
              <a:prstGeom prst="rect">
                <a:avLst/>
              </a:prstGeom>
              <a:noFill/>
              <a:ln>
                <a:noFill/>
              </a:ln>
              <a:extLst>
                <a:ext uri="{91240B29-F687-4F45-9708-019B960494DF}">
                  <a14:hiddenLine w="9525">
                    <a:noFill/>
                    <a:miter lim="800000"/>
                    <a:headEnd/>
                    <a:tailEnd/>
                  </a14:hiddenLine>
                </a:ext>
              </a:extLst>
            </xdr:spPr>
          </xdr:sp>
          <xdr:sp macro="" textlink="">
            <xdr:nvSpPr>
              <xdr:cNvPr id="70704" name="TextBox18" hidden="1">
                <a:extLst>
                  <a:ext uri="{63B3BB69-23CF-44E3-9099-C40C66FF867C}">
                    <a14:compatExt spid="_x0000_s70704"/>
                  </a:ext>
                  <a:ext uri="{FF2B5EF4-FFF2-40B4-BE49-F238E27FC236}">
                    <a16:creationId xmlns:a16="http://schemas.microsoft.com/office/drawing/2014/main" id="{00000000-0008-0000-1000-000030140100}"/>
                  </a:ext>
                </a:extLst>
              </xdr:cNvPr>
              <xdr:cNvSpPr/>
            </xdr:nvSpPr>
            <xdr:spPr bwMode="auto">
              <a:xfrm>
                <a:off x="3162301" y="1914527"/>
                <a:ext cx="666750" cy="228597"/>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198120</xdr:colOff>
          <xdr:row>4</xdr:row>
          <xdr:rowOff>121920</xdr:rowOff>
        </xdr:from>
        <xdr:to>
          <xdr:col>10</xdr:col>
          <xdr:colOff>723900</xdr:colOff>
          <xdr:row>6</xdr:row>
          <xdr:rowOff>182880</xdr:rowOff>
        </xdr:to>
        <xdr:sp macro="" textlink="">
          <xdr:nvSpPr>
            <xdr:cNvPr id="70707" name="Button 51" hidden="1">
              <a:extLst>
                <a:ext uri="{63B3BB69-23CF-44E3-9099-C40C66FF867C}">
                  <a14:compatExt spid="_x0000_s70707"/>
                </a:ext>
                <a:ext uri="{FF2B5EF4-FFF2-40B4-BE49-F238E27FC236}">
                  <a16:creationId xmlns:a16="http://schemas.microsoft.com/office/drawing/2014/main" id="{00000000-0008-0000-1000-000033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ea typeface="Calibri"/>
                  <a:cs typeface="Calibri"/>
                </a:rPr>
                <a:t>GUARDAR FORMULARIO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xdr:row>
          <xdr:rowOff>180975</xdr:rowOff>
        </xdr:from>
        <xdr:to>
          <xdr:col>4</xdr:col>
          <xdr:colOff>47625</xdr:colOff>
          <xdr:row>21</xdr:row>
          <xdr:rowOff>28575</xdr:rowOff>
        </xdr:to>
        <xdr:grpSp>
          <xdr:nvGrpSpPr>
            <xdr:cNvPr id="8" name="Grupo 7">
              <a:extLst>
                <a:ext uri="{FF2B5EF4-FFF2-40B4-BE49-F238E27FC236}">
                  <a16:creationId xmlns:a16="http://schemas.microsoft.com/office/drawing/2014/main" id="{00000000-0008-0000-1000-000008000000}"/>
                </a:ext>
              </a:extLst>
            </xdr:cNvPr>
            <xdr:cNvGrpSpPr/>
          </xdr:nvGrpSpPr>
          <xdr:grpSpPr>
            <a:xfrm>
              <a:off x="28575" y="3655695"/>
              <a:ext cx="3188970" cy="213360"/>
              <a:chOff x="762000" y="1914525"/>
              <a:chExt cx="3067051" cy="228600"/>
            </a:xfrm>
          </xdr:grpSpPr>
          <xdr:sp macro="" textlink="">
            <xdr:nvSpPr>
              <xdr:cNvPr id="70708" name="Drop Down 52" hidden="1">
                <a:extLst>
                  <a:ext uri="{63B3BB69-23CF-44E3-9099-C40C66FF867C}">
                    <a14:compatExt spid="_x0000_s70708"/>
                  </a:ext>
                  <a:ext uri="{FF2B5EF4-FFF2-40B4-BE49-F238E27FC236}">
                    <a16:creationId xmlns:a16="http://schemas.microsoft.com/office/drawing/2014/main" id="{00000000-0008-0000-1000-000034140100}"/>
                  </a:ext>
                </a:extLst>
              </xdr:cNvPr>
              <xdr:cNvSpPr/>
            </xdr:nvSpPr>
            <xdr:spPr bwMode="auto">
              <a:xfrm>
                <a:off x="762000" y="1914525"/>
                <a:ext cx="2305060" cy="200025"/>
              </a:xfrm>
              <a:prstGeom prst="rect">
                <a:avLst/>
              </a:prstGeom>
              <a:noFill/>
              <a:ln>
                <a:noFill/>
              </a:ln>
              <a:extLst>
                <a:ext uri="{91240B29-F687-4F45-9708-019B960494DF}">
                  <a14:hiddenLine w="9525">
                    <a:noFill/>
                    <a:miter lim="800000"/>
                    <a:headEnd/>
                    <a:tailEnd/>
                  </a14:hiddenLine>
                </a:ext>
              </a:extLst>
            </xdr:spPr>
          </xdr:sp>
          <xdr:sp macro="" textlink="">
            <xdr:nvSpPr>
              <xdr:cNvPr id="70709" name="TextBox19" hidden="1">
                <a:extLst>
                  <a:ext uri="{63B3BB69-23CF-44E3-9099-C40C66FF867C}">
                    <a14:compatExt spid="_x0000_s70709"/>
                  </a:ext>
                  <a:ext uri="{FF2B5EF4-FFF2-40B4-BE49-F238E27FC236}">
                    <a16:creationId xmlns:a16="http://schemas.microsoft.com/office/drawing/2014/main" id="{00000000-0008-0000-1000-000035140100}"/>
                  </a:ext>
                </a:extLst>
              </xdr:cNvPr>
              <xdr:cNvSpPr/>
            </xdr:nvSpPr>
            <xdr:spPr bwMode="auto">
              <a:xfrm>
                <a:off x="3162301" y="1914525"/>
                <a:ext cx="66675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601980</xdr:colOff>
          <xdr:row>0</xdr:row>
          <xdr:rowOff>121920</xdr:rowOff>
        </xdr:from>
        <xdr:to>
          <xdr:col>11</xdr:col>
          <xdr:colOff>411480</xdr:colOff>
          <xdr:row>2</xdr:row>
          <xdr:rowOff>175260</xdr:rowOff>
        </xdr:to>
        <xdr:sp macro="" textlink="">
          <xdr:nvSpPr>
            <xdr:cNvPr id="67587" name="PRESDOLLYBTON" hidden="1">
              <a:extLst>
                <a:ext uri="{63B3BB69-23CF-44E3-9099-C40C66FF867C}">
                  <a14:compatExt spid="_x0000_s67587"/>
                </a:ext>
                <a:ext uri="{FF2B5EF4-FFF2-40B4-BE49-F238E27FC236}">
                  <a16:creationId xmlns:a16="http://schemas.microsoft.com/office/drawing/2014/main" id="{00000000-0008-0000-1100-000003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655320</xdr:colOff>
          <xdr:row>3</xdr:row>
          <xdr:rowOff>152400</xdr:rowOff>
        </xdr:from>
        <xdr:to>
          <xdr:col>11</xdr:col>
          <xdr:colOff>365760</xdr:colOff>
          <xdr:row>5</xdr:row>
          <xdr:rowOff>114300</xdr:rowOff>
        </xdr:to>
        <xdr:sp macro="" textlink="">
          <xdr:nvSpPr>
            <xdr:cNvPr id="67588" name="PDFPRESUPDOLLY" hidden="1">
              <a:extLst>
                <a:ext uri="{63B3BB69-23CF-44E3-9099-C40C66FF867C}">
                  <a14:compatExt spid="_x0000_s67588"/>
                </a:ext>
                <a:ext uri="{FF2B5EF4-FFF2-40B4-BE49-F238E27FC236}">
                  <a16:creationId xmlns:a16="http://schemas.microsoft.com/office/drawing/2014/main" id="{00000000-0008-0000-1100-000004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251460</xdr:colOff>
          <xdr:row>2</xdr:row>
          <xdr:rowOff>121920</xdr:rowOff>
        </xdr:from>
        <xdr:to>
          <xdr:col>7</xdr:col>
          <xdr:colOff>434340</xdr:colOff>
          <xdr:row>4</xdr:row>
          <xdr:rowOff>175260</xdr:rowOff>
        </xdr:to>
        <xdr:sp macro="" textlink="">
          <xdr:nvSpPr>
            <xdr:cNvPr id="117762" name="BT_en_Form_Dolly" hidden="1">
              <a:extLst>
                <a:ext uri="{63B3BB69-23CF-44E3-9099-C40C66FF867C}">
                  <a14:compatExt spid="_x0000_s117762"/>
                </a:ext>
                <a:ext uri="{FF2B5EF4-FFF2-40B4-BE49-F238E27FC236}">
                  <a16:creationId xmlns:a16="http://schemas.microsoft.com/office/drawing/2014/main" id="{00000000-0008-0000-1200-000002C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0</xdr:col>
      <xdr:colOff>66675</xdr:colOff>
      <xdr:row>6</xdr:row>
      <xdr:rowOff>152399</xdr:rowOff>
    </xdr:from>
    <xdr:to>
      <xdr:col>1</xdr:col>
      <xdr:colOff>38100</xdr:colOff>
      <xdr:row>8</xdr:row>
      <xdr:rowOff>0</xdr:rowOff>
    </xdr:to>
    <xdr:sp macro="" textlink="">
      <xdr:nvSpPr>
        <xdr:cNvPr id="5" name="CuadroTexto 4">
          <a:extLst>
            <a:ext uri="{FF2B5EF4-FFF2-40B4-BE49-F238E27FC236}">
              <a16:creationId xmlns:a16="http://schemas.microsoft.com/office/drawing/2014/main" id="{00000000-0008-0000-1300-000005000000}"/>
            </a:ext>
          </a:extLst>
        </xdr:cNvPr>
        <xdr:cNvSpPr txBox="1"/>
      </xdr:nvSpPr>
      <xdr:spPr>
        <a:xfrm>
          <a:off x="66675" y="1276349"/>
          <a:ext cx="828675"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a:t>Atencion a:</a:t>
          </a:r>
        </a:p>
      </xdr:txBody>
    </xdr:sp>
    <xdr:clientData/>
  </xdr:twoCellAnchor>
  <mc:AlternateContent xmlns:mc="http://schemas.openxmlformats.org/markup-compatibility/2006">
    <mc:Choice xmlns:a14="http://schemas.microsoft.com/office/drawing/2010/main" Requires="a14">
      <xdr:twoCellAnchor editAs="oneCell">
        <xdr:from>
          <xdr:col>0</xdr:col>
          <xdr:colOff>30566</xdr:colOff>
          <xdr:row>40</xdr:row>
          <xdr:rowOff>66676</xdr:rowOff>
        </xdr:from>
        <xdr:to>
          <xdr:col>4</xdr:col>
          <xdr:colOff>520948</xdr:colOff>
          <xdr:row>51</xdr:row>
          <xdr:rowOff>66676</xdr:rowOff>
        </xdr:to>
        <xdr:pic>
          <xdr:nvPicPr>
            <xdr:cNvPr id="6" name="Imagen 5">
              <a:extLst>
                <a:ext uri="{FF2B5EF4-FFF2-40B4-BE49-F238E27FC236}">
                  <a16:creationId xmlns:a16="http://schemas.microsoft.com/office/drawing/2014/main" id="{00000000-0008-0000-1300-000006000000}"/>
                </a:ext>
              </a:extLst>
            </xdr:cNvPr>
            <xdr:cNvPicPr>
              <a:picLocks noChangeAspect="1"/>
              <a:extLst>
                <a:ext uri="{84589F7E-364E-4C9E-8A38-B11213B215E9}">
                  <a14:cameraTool cellRange="Foto_dolly_Frente" spid="_x0000_s1816047"/>
                </a:ext>
              </a:extLst>
            </xdr:cNvPicPr>
          </xdr:nvPicPr>
          <xdr:blipFill>
            <a:blip xmlns:r="http://schemas.openxmlformats.org/officeDocument/2006/relationships" r:embed="rId1">
              <a:alphaModFix amt="20000"/>
            </a:blip>
            <a:stretch>
              <a:fillRect/>
            </a:stretch>
          </xdr:blipFill>
          <xdr:spPr>
            <a:xfrm>
              <a:off x="30566" y="6905626"/>
              <a:ext cx="3357407" cy="188595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494147</xdr:colOff>
          <xdr:row>39</xdr:row>
          <xdr:rowOff>152400</xdr:rowOff>
        </xdr:from>
        <xdr:to>
          <xdr:col>8</xdr:col>
          <xdr:colOff>552513</xdr:colOff>
          <xdr:row>51</xdr:row>
          <xdr:rowOff>19051</xdr:rowOff>
        </xdr:to>
        <xdr:pic>
          <xdr:nvPicPr>
            <xdr:cNvPr id="7" name="Imagen 6">
              <a:extLst>
                <a:ext uri="{FF2B5EF4-FFF2-40B4-BE49-F238E27FC236}">
                  <a16:creationId xmlns:a16="http://schemas.microsoft.com/office/drawing/2014/main" id="{00000000-0008-0000-1300-000007000000}"/>
                </a:ext>
              </a:extLst>
            </xdr:cNvPr>
            <xdr:cNvPicPr>
              <a:picLocks noChangeAspect="1"/>
              <a:extLst>
                <a:ext uri="{84589F7E-364E-4C9E-8A38-B11213B215E9}">
                  <a14:cameraTool cellRange="FOTO_DOLLY_TRASERA" spid="_x0000_s1816048"/>
                </a:ext>
              </a:extLst>
            </xdr:cNvPicPr>
          </xdr:nvPicPr>
          <xdr:blipFill>
            <a:blip xmlns:r="http://schemas.openxmlformats.org/officeDocument/2006/relationships" r:embed="rId2">
              <a:alphaModFix amt="20000"/>
            </a:blip>
            <a:stretch>
              <a:fillRect/>
            </a:stretch>
          </xdr:blipFill>
          <xdr:spPr>
            <a:xfrm>
              <a:off x="4266047" y="6800850"/>
              <a:ext cx="2687266" cy="1943100"/>
            </a:xfrm>
            <a:prstGeom prst="rect">
              <a:avLst/>
            </a:prstGeom>
          </xdr:spPr>
        </xdr:pic>
        <xdr:clientData/>
      </xdr:twoCellAnchor>
    </mc:Choice>
    <mc:Fallback/>
  </mc:AlternateContent>
  <xdr:twoCellAnchor editAs="absolute">
    <xdr:from>
      <xdr:col>0</xdr:col>
      <xdr:colOff>0</xdr:colOff>
      <xdr:row>0</xdr:row>
      <xdr:rowOff>0</xdr:rowOff>
    </xdr:from>
    <xdr:to>
      <xdr:col>8</xdr:col>
      <xdr:colOff>511475</xdr:colOff>
      <xdr:row>4</xdr:row>
      <xdr:rowOff>69008</xdr:rowOff>
    </xdr:to>
    <xdr:grpSp>
      <xdr:nvGrpSpPr>
        <xdr:cNvPr id="8" name="Grupo 7">
          <a:extLst>
            <a:ext uri="{FF2B5EF4-FFF2-40B4-BE49-F238E27FC236}">
              <a16:creationId xmlns:a16="http://schemas.microsoft.com/office/drawing/2014/main" id="{00000000-0008-0000-1300-000008000000}"/>
            </a:ext>
          </a:extLst>
        </xdr:cNvPr>
        <xdr:cNvGrpSpPr>
          <a:grpSpLocks noChangeAspect="1"/>
        </xdr:cNvGrpSpPr>
      </xdr:nvGrpSpPr>
      <xdr:grpSpPr>
        <a:xfrm>
          <a:off x="0" y="0"/>
          <a:ext cx="6648664" cy="810413"/>
          <a:chOff x="254735" y="9977561"/>
          <a:chExt cx="7229382" cy="896983"/>
        </a:xfrm>
      </xdr:grpSpPr>
      <xdr:pic>
        <xdr:nvPicPr>
          <xdr:cNvPr id="9" name="image1.png">
            <a:extLst>
              <a:ext uri="{FF2B5EF4-FFF2-40B4-BE49-F238E27FC236}">
                <a16:creationId xmlns:a16="http://schemas.microsoft.com/office/drawing/2014/main" id="{00000000-0008-0000-1300-000009000000}"/>
              </a:ext>
            </a:extLst>
          </xdr:cNvPr>
          <xdr:cNvPicPr>
            <a:picLocks noChangeAspect="1"/>
          </xdr:cNvPicPr>
        </xdr:nvPicPr>
        <xdr:blipFill>
          <a:blip xmlns:r="http://schemas.openxmlformats.org/officeDocument/2006/relationships" r:embed="rId3">
            <a:clrChange>
              <a:clrFrom>
                <a:srgbClr val="7F7F7F">
                  <a:alpha val="49804"/>
                </a:srgbClr>
              </a:clrFrom>
              <a:clrTo>
                <a:srgbClr val="7F7F7F">
                  <a:alpha val="0"/>
                </a:srgbClr>
              </a:clrTo>
            </a:clrChange>
            <a:biLevel thresh="50000"/>
            <a:extLst>
              <a:ext uri="{BEBA8EAE-BF5A-486C-A8C5-ECC9F3942E4B}">
                <a14:imgProps xmlns:a14="http://schemas.microsoft.com/office/drawing/2010/main">
                  <a14:imgLayer r:embed="rId4">
                    <a14:imgEffect>
                      <a14:sharpenSoften amount="50000"/>
                    </a14:imgEffect>
                    <a14:imgEffect>
                      <a14:colorTemperature colorTemp="8800"/>
                    </a14:imgEffect>
                    <a14:imgEffect>
                      <a14:saturation sat="66000"/>
                    </a14:imgEffect>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254735" y="9986691"/>
            <a:ext cx="4321697" cy="887853"/>
          </a:xfrm>
          <a:prstGeom prst="rect">
            <a:avLst/>
          </a:prstGeom>
        </xdr:spPr>
      </xdr:pic>
      <xdr:sp macro="" textlink="">
        <xdr:nvSpPr>
          <xdr:cNvPr id="10" name="CuadroTexto 9">
            <a:extLst>
              <a:ext uri="{FF2B5EF4-FFF2-40B4-BE49-F238E27FC236}">
                <a16:creationId xmlns:a16="http://schemas.microsoft.com/office/drawing/2014/main" id="{00000000-0008-0000-1300-00000A000000}"/>
              </a:ext>
            </a:extLst>
          </xdr:cNvPr>
          <xdr:cNvSpPr txBox="1"/>
        </xdr:nvSpPr>
        <xdr:spPr>
          <a:xfrm>
            <a:off x="4277697" y="9977561"/>
            <a:ext cx="3206420" cy="877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a:t>FABRICACIÓN Y REPARACIÓN DE REMOLQUES Y SEMIRREMOLQUES</a:t>
            </a:r>
          </a:p>
          <a:p>
            <a:pPr algn="ctr"/>
            <a:r>
              <a:rPr lang="es-MX" sz="1100"/>
              <a:t>R.F.C. ALE1808225X5</a:t>
            </a:r>
            <a:r>
              <a:rPr lang="es-MX" sz="1100" baseline="0"/>
              <a:t> </a:t>
            </a:r>
            <a:r>
              <a:rPr lang="es-MX" sz="1100"/>
              <a:t>Col. San Miguel Ayotla           C.P. 73180, Ahuazotepec, Puebla.</a:t>
            </a:r>
          </a:p>
        </xdr:txBody>
      </xdr:sp>
    </xdr:grpSp>
    <xdr:clientData/>
  </xdr:twoCellAnchor>
  <mc:AlternateContent xmlns:mc="http://schemas.openxmlformats.org/markup-compatibility/2006">
    <mc:Choice xmlns:a14="http://schemas.microsoft.com/office/drawing/2010/main" Requires="a14">
      <xdr:twoCellAnchor editAs="absolute">
        <xdr:from>
          <xdr:col>11</xdr:col>
          <xdr:colOff>289560</xdr:colOff>
          <xdr:row>0</xdr:row>
          <xdr:rowOff>83820</xdr:rowOff>
        </xdr:from>
        <xdr:to>
          <xdr:col>12</xdr:col>
          <xdr:colOff>228600</xdr:colOff>
          <xdr:row>2</xdr:row>
          <xdr:rowOff>137160</xdr:rowOff>
        </xdr:to>
        <xdr:sp macro="" textlink="">
          <xdr:nvSpPr>
            <xdr:cNvPr id="144415" name="bT_COTIZ2" hidden="1">
              <a:extLst>
                <a:ext uri="{63B3BB69-23CF-44E3-9099-C40C66FF867C}">
                  <a14:compatExt spid="_x0000_s144415"/>
                </a:ext>
                <a:ext uri="{FF2B5EF4-FFF2-40B4-BE49-F238E27FC236}">
                  <a16:creationId xmlns:a16="http://schemas.microsoft.com/office/drawing/2014/main" id="{00000000-0008-0000-1300-00001F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0</xdr:row>
          <xdr:rowOff>137160</xdr:rowOff>
        </xdr:from>
        <xdr:to>
          <xdr:col>11</xdr:col>
          <xdr:colOff>114300</xdr:colOff>
          <xdr:row>2</xdr:row>
          <xdr:rowOff>99060</xdr:rowOff>
        </xdr:to>
        <xdr:sp macro="" textlink="">
          <xdr:nvSpPr>
            <xdr:cNvPr id="144416" name="btGuar_pdf_Cotiz2" hidden="1">
              <a:extLst>
                <a:ext uri="{63B3BB69-23CF-44E3-9099-C40C66FF867C}">
                  <a14:compatExt spid="_x0000_s144416"/>
                </a:ext>
                <a:ext uri="{FF2B5EF4-FFF2-40B4-BE49-F238E27FC236}">
                  <a16:creationId xmlns:a16="http://schemas.microsoft.com/office/drawing/2014/main" id="{00000000-0008-0000-1300-000020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7620</xdr:colOff>
          <xdr:row>1</xdr:row>
          <xdr:rowOff>7620</xdr:rowOff>
        </xdr:from>
        <xdr:to>
          <xdr:col>13</xdr:col>
          <xdr:colOff>609600</xdr:colOff>
          <xdr:row>3</xdr:row>
          <xdr:rowOff>60960</xdr:rowOff>
        </xdr:to>
        <xdr:sp macro="" textlink="">
          <xdr:nvSpPr>
            <xdr:cNvPr id="105577" name="BT_Cot_dolly" hidden="1">
              <a:extLst>
                <a:ext uri="{63B3BB69-23CF-44E3-9099-C40C66FF867C}">
                  <a14:compatExt spid="_x0000_s105577"/>
                </a:ext>
                <a:ext uri="{FF2B5EF4-FFF2-40B4-BE49-F238E27FC236}">
                  <a16:creationId xmlns:a16="http://schemas.microsoft.com/office/drawing/2014/main" id="{00000000-0008-0000-1400-000069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4</xdr:row>
          <xdr:rowOff>137160</xdr:rowOff>
        </xdr:from>
        <xdr:to>
          <xdr:col>13</xdr:col>
          <xdr:colOff>586740</xdr:colOff>
          <xdr:row>6</xdr:row>
          <xdr:rowOff>99060</xdr:rowOff>
        </xdr:to>
        <xdr:sp macro="" textlink="">
          <xdr:nvSpPr>
            <xdr:cNvPr id="105591" name="bt_guard_PDF_cotiz_Dolly" hidden="1">
              <a:extLst>
                <a:ext uri="{63B3BB69-23CF-44E3-9099-C40C66FF867C}">
                  <a14:compatExt spid="_x0000_s105591"/>
                </a:ext>
                <a:ext uri="{FF2B5EF4-FFF2-40B4-BE49-F238E27FC236}">
                  <a16:creationId xmlns:a16="http://schemas.microsoft.com/office/drawing/2014/main" id="{00000000-0008-0000-1400-000077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33</xdr:row>
          <xdr:rowOff>142875</xdr:rowOff>
        </xdr:from>
        <xdr:to>
          <xdr:col>8</xdr:col>
          <xdr:colOff>285750</xdr:colOff>
          <xdr:row>36</xdr:row>
          <xdr:rowOff>47625</xdr:rowOff>
        </xdr:to>
        <xdr:pic>
          <xdr:nvPicPr>
            <xdr:cNvPr id="1772368" name="Imagen 36">
              <a:extLst>
                <a:ext uri="{FF2B5EF4-FFF2-40B4-BE49-F238E27FC236}">
                  <a16:creationId xmlns:a16="http://schemas.microsoft.com/office/drawing/2014/main" id="{58A138F1-15A3-7F2F-6AA8-9DB893FE4207}"/>
                </a:ext>
              </a:extLst>
            </xdr:cNvPr>
            <xdr:cNvPicPr>
              <a:picLocks noChangeAspect="1" noChangeArrowheads="1"/>
              <a:extLst>
                <a:ext uri="{84589F7E-364E-4C9E-8A38-B11213B215E9}">
                  <a14:cameraTool cellRange="Foto_color1" spid="_x0000_s1830396"/>
                </a:ext>
              </a:extLst>
            </xdr:cNvPicPr>
          </xdr:nvPicPr>
          <xdr:blipFill>
            <a:blip xmlns:r="http://schemas.openxmlformats.org/officeDocument/2006/relationships" r:embed="rId1">
              <a:extLst>
                <a:ext uri="{28A0092B-C50C-407E-A947-70E740481C1C}">
                  <a14:useLocalDpi val="0"/>
                </a:ext>
              </a:extLst>
            </a:blip>
            <a:srcRect/>
            <a:stretch>
              <a:fillRect/>
            </a:stretch>
          </xdr:blipFill>
          <xdr:spPr bwMode="auto">
            <a:xfrm>
              <a:off x="4143375" y="6638925"/>
              <a:ext cx="1219200" cy="5048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0</xdr:row>
          <xdr:rowOff>0</xdr:rowOff>
        </xdr:from>
        <xdr:to>
          <xdr:col>0</xdr:col>
          <xdr:colOff>371475</xdr:colOff>
          <xdr:row>1</xdr:row>
          <xdr:rowOff>171450</xdr:rowOff>
        </xdr:to>
        <xdr:pic>
          <xdr:nvPicPr>
            <xdr:cNvPr id="1772369" name="Imagen 37">
              <a:extLst>
                <a:ext uri="{FF2B5EF4-FFF2-40B4-BE49-F238E27FC236}">
                  <a16:creationId xmlns:a16="http://schemas.microsoft.com/office/drawing/2014/main" id="{5373EF22-24E1-057D-EF2E-38BD2C1B8FF4}"/>
                </a:ext>
              </a:extLst>
            </xdr:cNvPr>
            <xdr:cNvPicPr>
              <a:picLocks noChangeAspect="1" noChangeArrowheads="1"/>
              <a:extLst>
                <a:ext uri="{84589F7E-364E-4C9E-8A38-B11213B215E9}">
                  <a14:cameraTool cellRange="foto_color2" spid="_x0000_s1830397"/>
                </a:ext>
              </a:extLst>
            </xdr:cNvPicPr>
          </xdr:nvPicPr>
          <xdr:blipFill>
            <a:blip xmlns:r="http://schemas.openxmlformats.org/officeDocument/2006/relationships" r:embed="rId2">
              <a:extLst>
                <a:ext uri="{28A0092B-C50C-407E-A947-70E740481C1C}">
                  <a14:useLocalDpi val="0"/>
                </a:ext>
              </a:extLst>
            </a:blip>
            <a:srcRect/>
            <a:stretch>
              <a:fillRect/>
            </a:stretch>
          </xdr:blipFill>
          <xdr:spPr bwMode="auto">
            <a:xfrm>
              <a:off x="9525" y="0"/>
              <a:ext cx="361950" cy="3619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3</xdr:col>
          <xdr:colOff>85725</xdr:colOff>
          <xdr:row>5</xdr:row>
          <xdr:rowOff>76200</xdr:rowOff>
        </xdr:to>
        <xdr:pic>
          <xdr:nvPicPr>
            <xdr:cNvPr id="1772370" name="Imagen 38">
              <a:extLst>
                <a:ext uri="{FF2B5EF4-FFF2-40B4-BE49-F238E27FC236}">
                  <a16:creationId xmlns:a16="http://schemas.microsoft.com/office/drawing/2014/main" id="{96EDD950-2CF6-C8A1-2C7E-6E4E062B7206}"/>
                </a:ext>
              </a:extLst>
            </xdr:cNvPr>
            <xdr:cNvPicPr>
              <a:picLocks noChangeAspect="1" noChangeArrowheads="1"/>
              <a:extLst>
                <a:ext uri="{84589F7E-364E-4C9E-8A38-B11213B215E9}">
                  <a14:cameraTool cellRange="bUSCA_pLANA" spid="_x0000_s1830398"/>
                </a:ext>
              </a:extLst>
            </xdr:cNvPicPr>
          </xdr:nvPicPr>
          <xdr:blipFill>
            <a:blip xmlns:r="http://schemas.openxmlformats.org/officeDocument/2006/relationships" r:embed="rId3"/>
            <a:srcRect/>
            <a:stretch>
              <a:fillRect/>
            </a:stretch>
          </xdr:blipFill>
          <xdr:spPr bwMode="auto">
            <a:xfrm>
              <a:off x="0" y="0"/>
              <a:ext cx="1724025" cy="10287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152400</xdr:colOff>
          <xdr:row>5</xdr:row>
          <xdr:rowOff>85725</xdr:rowOff>
        </xdr:to>
        <xdr:pic>
          <xdr:nvPicPr>
            <xdr:cNvPr id="1772371" name="Imagen 44">
              <a:extLst>
                <a:ext uri="{FF2B5EF4-FFF2-40B4-BE49-F238E27FC236}">
                  <a16:creationId xmlns:a16="http://schemas.microsoft.com/office/drawing/2014/main" id="{1C5C2004-D4B2-338F-4CCE-FB0E6A0C09C5}"/>
                </a:ext>
              </a:extLst>
            </xdr:cNvPr>
            <xdr:cNvPicPr>
              <a:picLocks noChangeAspect="1" noChangeArrowheads="1"/>
              <a:extLst>
                <a:ext uri="{84589F7E-364E-4C9E-8A38-B11213B215E9}">
                  <a14:cameraTool cellRange="FOTO_DOLLY_TRASERA" spid="_x0000_s1830399"/>
                </a:ext>
              </a:extLst>
            </xdr:cNvPicPr>
          </xdr:nvPicPr>
          <xdr:blipFill>
            <a:blip xmlns:r="http://schemas.openxmlformats.org/officeDocument/2006/relationships" r:embed="rId4"/>
            <a:srcRect/>
            <a:stretch>
              <a:fillRect/>
            </a:stretch>
          </xdr:blipFill>
          <xdr:spPr bwMode="auto">
            <a:xfrm>
              <a:off x="0" y="0"/>
              <a:ext cx="1381125" cy="103822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2</xdr:row>
      <xdr:rowOff>171450</xdr:rowOff>
    </xdr:from>
    <xdr:to>
      <xdr:col>3</xdr:col>
      <xdr:colOff>158400</xdr:colOff>
      <xdr:row>5</xdr:row>
      <xdr:rowOff>97463</xdr:rowOff>
    </xdr:to>
    <xdr:grpSp>
      <xdr:nvGrpSpPr>
        <xdr:cNvPr id="13" name="Grupo 12">
          <a:hlinkClick xmlns:r="http://schemas.openxmlformats.org/officeDocument/2006/relationships" r:id="rId1"/>
          <a:extLst>
            <a:ext uri="{FF2B5EF4-FFF2-40B4-BE49-F238E27FC236}">
              <a16:creationId xmlns:a16="http://schemas.microsoft.com/office/drawing/2014/main" id="{00000000-0008-0000-1500-00000D000000}"/>
            </a:ext>
          </a:extLst>
        </xdr:cNvPr>
        <xdr:cNvGrpSpPr>
          <a:grpSpLocks noChangeAspect="1"/>
        </xdr:cNvGrpSpPr>
      </xdr:nvGrpSpPr>
      <xdr:grpSpPr>
        <a:xfrm>
          <a:off x="0" y="537210"/>
          <a:ext cx="2535840" cy="474653"/>
          <a:chOff x="1466849" y="0"/>
          <a:chExt cx="1762126" cy="385789"/>
        </a:xfrm>
      </xdr:grpSpPr>
      <xdr:pic>
        <xdr:nvPicPr>
          <xdr:cNvPr id="14" name="Imagen 13">
            <a:extLst>
              <a:ext uri="{FF2B5EF4-FFF2-40B4-BE49-F238E27FC236}">
                <a16:creationId xmlns:a16="http://schemas.microsoft.com/office/drawing/2014/main" id="{00000000-0008-0000-15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043" t="22024" r="10057" b="22918"/>
          <a:stretch/>
        </xdr:blipFill>
        <xdr:spPr>
          <a:xfrm>
            <a:off x="1466849" y="0"/>
            <a:ext cx="1762126" cy="385789"/>
          </a:xfrm>
          <a:prstGeom prst="rect">
            <a:avLst/>
          </a:prstGeom>
        </xdr:spPr>
      </xdr:pic>
      <xdr:sp macro="" textlink="">
        <xdr:nvSpPr>
          <xdr:cNvPr id="15" name="CuadroTexto 14">
            <a:extLst>
              <a:ext uri="{FF2B5EF4-FFF2-40B4-BE49-F238E27FC236}">
                <a16:creationId xmlns:a16="http://schemas.microsoft.com/office/drawing/2014/main" id="{00000000-0008-0000-1500-00000F000000}"/>
              </a:ext>
            </a:extLst>
          </xdr:cNvPr>
          <xdr:cNvSpPr txBox="1"/>
        </xdr:nvSpPr>
        <xdr:spPr>
          <a:xfrm>
            <a:off x="1676400" y="47625"/>
            <a:ext cx="13620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200">
                <a:solidFill>
                  <a:schemeClr val="bg1"/>
                </a:solidFill>
              </a:rPr>
              <a:t>IR</a:t>
            </a:r>
            <a:r>
              <a:rPr lang="es-MX" sz="1200" baseline="0">
                <a:solidFill>
                  <a:schemeClr val="bg1"/>
                </a:solidFill>
              </a:rPr>
              <a:t> A COTIZACION</a:t>
            </a:r>
            <a:endParaRPr lang="es-MX" sz="1200">
              <a:solidFill>
                <a:schemeClr val="bg1"/>
              </a:solidFill>
            </a:endParaRPr>
          </a:p>
        </xdr:txBody>
      </xdr:sp>
    </xdr:grpSp>
    <xdr:clientData/>
  </xdr:twoCellAnchor>
  <xdr:twoCellAnchor editAs="absolute">
    <xdr:from>
      <xdr:col>0</xdr:col>
      <xdr:colOff>0</xdr:colOff>
      <xdr:row>5</xdr:row>
      <xdr:rowOff>180974</xdr:rowOff>
    </xdr:from>
    <xdr:to>
      <xdr:col>3</xdr:col>
      <xdr:colOff>158400</xdr:colOff>
      <xdr:row>8</xdr:row>
      <xdr:rowOff>80926</xdr:rowOff>
    </xdr:to>
    <xdr:grpSp>
      <xdr:nvGrpSpPr>
        <xdr:cNvPr id="25" name="Grupo 24">
          <a:hlinkClick xmlns:r="http://schemas.openxmlformats.org/officeDocument/2006/relationships" r:id="rId3"/>
          <a:extLst>
            <a:ext uri="{FF2B5EF4-FFF2-40B4-BE49-F238E27FC236}">
              <a16:creationId xmlns:a16="http://schemas.microsoft.com/office/drawing/2014/main" id="{00000000-0008-0000-1500-000019000000}"/>
            </a:ext>
          </a:extLst>
        </xdr:cNvPr>
        <xdr:cNvGrpSpPr>
          <a:grpSpLocks noChangeAspect="1"/>
        </xdr:cNvGrpSpPr>
      </xdr:nvGrpSpPr>
      <xdr:grpSpPr>
        <a:xfrm>
          <a:off x="0" y="1095374"/>
          <a:ext cx="2535840" cy="448592"/>
          <a:chOff x="1466849" y="0"/>
          <a:chExt cx="1762126" cy="385789"/>
        </a:xfrm>
      </xdr:grpSpPr>
      <xdr:pic>
        <xdr:nvPicPr>
          <xdr:cNvPr id="26" name="Imagen 25">
            <a:extLst>
              <a:ext uri="{FF2B5EF4-FFF2-40B4-BE49-F238E27FC236}">
                <a16:creationId xmlns:a16="http://schemas.microsoft.com/office/drawing/2014/main" id="{00000000-0008-0000-15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043" t="22024" r="10057" b="22918"/>
          <a:stretch/>
        </xdr:blipFill>
        <xdr:spPr>
          <a:xfrm>
            <a:off x="1466849" y="0"/>
            <a:ext cx="1762126" cy="385789"/>
          </a:xfrm>
          <a:prstGeom prst="rect">
            <a:avLst/>
          </a:prstGeom>
        </xdr:spPr>
      </xdr:pic>
      <xdr:sp macro="" textlink="">
        <xdr:nvSpPr>
          <xdr:cNvPr id="27" name="CuadroTexto 26">
            <a:extLst>
              <a:ext uri="{FF2B5EF4-FFF2-40B4-BE49-F238E27FC236}">
                <a16:creationId xmlns:a16="http://schemas.microsoft.com/office/drawing/2014/main" id="{00000000-0008-0000-1500-00001B000000}"/>
              </a:ext>
            </a:extLst>
          </xdr:cNvPr>
          <xdr:cNvSpPr txBox="1"/>
        </xdr:nvSpPr>
        <xdr:spPr>
          <a:xfrm>
            <a:off x="1676400" y="47625"/>
            <a:ext cx="13620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200">
                <a:solidFill>
                  <a:schemeClr val="bg1"/>
                </a:solidFill>
              </a:rPr>
              <a:t>IR</a:t>
            </a:r>
            <a:r>
              <a:rPr lang="es-MX" sz="1200" baseline="0">
                <a:solidFill>
                  <a:schemeClr val="bg1"/>
                </a:solidFill>
              </a:rPr>
              <a:t> A CLIENTES</a:t>
            </a:r>
            <a:endParaRPr lang="es-MX" sz="1200">
              <a:solidFill>
                <a:schemeClr val="bg1"/>
              </a:solidFill>
            </a:endParaRPr>
          </a:p>
        </xdr:txBody>
      </xdr:sp>
    </xdr:grpSp>
    <xdr:clientData/>
  </xdr:twoCellAnchor>
  <xdr:twoCellAnchor editAs="absolute">
    <xdr:from>
      <xdr:col>3</xdr:col>
      <xdr:colOff>704850</xdr:colOff>
      <xdr:row>2</xdr:row>
      <xdr:rowOff>152400</xdr:rowOff>
    </xdr:from>
    <xdr:to>
      <xdr:col>7</xdr:col>
      <xdr:colOff>101250</xdr:colOff>
      <xdr:row>5</xdr:row>
      <xdr:rowOff>34025</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1500-00001C000000}"/>
            </a:ext>
          </a:extLst>
        </xdr:cNvPr>
        <xdr:cNvGrpSpPr>
          <a:grpSpLocks noChangeAspect="1"/>
        </xdr:cNvGrpSpPr>
      </xdr:nvGrpSpPr>
      <xdr:grpSpPr>
        <a:xfrm>
          <a:off x="3082290" y="518160"/>
          <a:ext cx="2566320" cy="430265"/>
          <a:chOff x="1466849" y="0"/>
          <a:chExt cx="1762126" cy="385789"/>
        </a:xfrm>
      </xdr:grpSpPr>
      <xdr:pic>
        <xdr:nvPicPr>
          <xdr:cNvPr id="29" name="Imagen 28">
            <a:extLst>
              <a:ext uri="{FF2B5EF4-FFF2-40B4-BE49-F238E27FC236}">
                <a16:creationId xmlns:a16="http://schemas.microsoft.com/office/drawing/2014/main" id="{00000000-0008-0000-1500-00001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043" t="22024" r="10057" b="22918"/>
          <a:stretch/>
        </xdr:blipFill>
        <xdr:spPr>
          <a:xfrm>
            <a:off x="1466849" y="0"/>
            <a:ext cx="1762126" cy="385789"/>
          </a:xfrm>
          <a:prstGeom prst="rect">
            <a:avLst/>
          </a:prstGeom>
        </xdr:spPr>
      </xdr:pic>
      <xdr:sp macro="" textlink="">
        <xdr:nvSpPr>
          <xdr:cNvPr id="30" name="CuadroTexto 29">
            <a:extLst>
              <a:ext uri="{FF2B5EF4-FFF2-40B4-BE49-F238E27FC236}">
                <a16:creationId xmlns:a16="http://schemas.microsoft.com/office/drawing/2014/main" id="{00000000-0008-0000-1500-00001E000000}"/>
              </a:ext>
            </a:extLst>
          </xdr:cNvPr>
          <xdr:cNvSpPr txBox="1"/>
        </xdr:nvSpPr>
        <xdr:spPr>
          <a:xfrm>
            <a:off x="1676400" y="47625"/>
            <a:ext cx="13620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200">
                <a:solidFill>
                  <a:schemeClr val="bg1"/>
                </a:solidFill>
              </a:rPr>
              <a:t>B PRESUPUESTO</a:t>
            </a:r>
          </a:p>
        </xdr:txBody>
      </xdr:sp>
    </xdr:grpSp>
    <xdr:clientData/>
  </xdr:twoCellAnchor>
  <xdr:twoCellAnchor editAs="absolute">
    <xdr:from>
      <xdr:col>7</xdr:col>
      <xdr:colOff>600075</xdr:colOff>
      <xdr:row>2</xdr:row>
      <xdr:rowOff>154780</xdr:rowOff>
    </xdr:from>
    <xdr:to>
      <xdr:col>10</xdr:col>
      <xdr:colOff>758475</xdr:colOff>
      <xdr:row>5</xdr:row>
      <xdr:rowOff>59295</xdr:rowOff>
    </xdr:to>
    <xdr:grpSp>
      <xdr:nvGrpSpPr>
        <xdr:cNvPr id="31" name="Grupo 30">
          <a:hlinkClick xmlns:r="http://schemas.openxmlformats.org/officeDocument/2006/relationships" r:id="rId5"/>
          <a:extLst>
            <a:ext uri="{FF2B5EF4-FFF2-40B4-BE49-F238E27FC236}">
              <a16:creationId xmlns:a16="http://schemas.microsoft.com/office/drawing/2014/main" id="{00000000-0008-0000-1500-00001F000000}"/>
            </a:ext>
          </a:extLst>
        </xdr:cNvPr>
        <xdr:cNvGrpSpPr>
          <a:grpSpLocks noChangeAspect="1"/>
        </xdr:cNvGrpSpPr>
      </xdr:nvGrpSpPr>
      <xdr:grpSpPr>
        <a:xfrm>
          <a:off x="6147435" y="520540"/>
          <a:ext cx="2535840" cy="453155"/>
          <a:chOff x="1466849" y="0"/>
          <a:chExt cx="1762126" cy="385789"/>
        </a:xfrm>
      </xdr:grpSpPr>
      <xdr:pic>
        <xdr:nvPicPr>
          <xdr:cNvPr id="32" name="Imagen 31">
            <a:extLst>
              <a:ext uri="{FF2B5EF4-FFF2-40B4-BE49-F238E27FC236}">
                <a16:creationId xmlns:a16="http://schemas.microsoft.com/office/drawing/2014/main" id="{00000000-0008-0000-1500-000020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043" t="22024" r="10057" b="22918"/>
          <a:stretch/>
        </xdr:blipFill>
        <xdr:spPr>
          <a:xfrm>
            <a:off x="1466849" y="0"/>
            <a:ext cx="1762126" cy="385789"/>
          </a:xfrm>
          <a:prstGeom prst="rect">
            <a:avLst/>
          </a:prstGeom>
        </xdr:spPr>
      </xdr:pic>
      <xdr:sp macro="" textlink="">
        <xdr:nvSpPr>
          <xdr:cNvPr id="33" name="CuadroTexto 32">
            <a:extLst>
              <a:ext uri="{FF2B5EF4-FFF2-40B4-BE49-F238E27FC236}">
                <a16:creationId xmlns:a16="http://schemas.microsoft.com/office/drawing/2014/main" id="{00000000-0008-0000-1500-000021000000}"/>
              </a:ext>
            </a:extLst>
          </xdr:cNvPr>
          <xdr:cNvSpPr txBox="1"/>
        </xdr:nvSpPr>
        <xdr:spPr>
          <a:xfrm>
            <a:off x="1676400" y="47625"/>
            <a:ext cx="13620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200">
                <a:solidFill>
                  <a:schemeClr val="bg1"/>
                </a:solidFill>
              </a:rPr>
              <a:t>Carta</a:t>
            </a:r>
            <a:r>
              <a:rPr lang="es-MX" sz="1200" baseline="0">
                <a:solidFill>
                  <a:schemeClr val="bg1"/>
                </a:solidFill>
              </a:rPr>
              <a:t> Factura Y Normas</a:t>
            </a:r>
            <a:endParaRPr lang="es-MX" sz="1200">
              <a:solidFill>
                <a:schemeClr val="bg1"/>
              </a:solidFill>
            </a:endParaRPr>
          </a:p>
        </xdr:txBody>
      </xdr:sp>
    </xdr:grpSp>
    <xdr:clientData/>
  </xdr:twoCellAnchor>
  <xdr:twoCellAnchor editAs="absolute">
    <xdr:from>
      <xdr:col>7</xdr:col>
      <xdr:colOff>609600</xdr:colOff>
      <xdr:row>6</xdr:row>
      <xdr:rowOff>0</xdr:rowOff>
    </xdr:from>
    <xdr:to>
      <xdr:col>11</xdr:col>
      <xdr:colOff>7206</xdr:colOff>
      <xdr:row>8</xdr:row>
      <xdr:rowOff>95250</xdr:rowOff>
    </xdr:to>
    <xdr:grpSp>
      <xdr:nvGrpSpPr>
        <xdr:cNvPr id="37" name="Grupo 36">
          <a:hlinkClick xmlns:r="http://schemas.openxmlformats.org/officeDocument/2006/relationships" r:id="rId6"/>
          <a:extLst>
            <a:ext uri="{FF2B5EF4-FFF2-40B4-BE49-F238E27FC236}">
              <a16:creationId xmlns:a16="http://schemas.microsoft.com/office/drawing/2014/main" id="{00000000-0008-0000-1500-000025000000}"/>
            </a:ext>
          </a:extLst>
        </xdr:cNvPr>
        <xdr:cNvGrpSpPr>
          <a:grpSpLocks noChangeAspect="1"/>
        </xdr:cNvGrpSpPr>
      </xdr:nvGrpSpPr>
      <xdr:grpSpPr>
        <a:xfrm>
          <a:off x="6156960" y="1097280"/>
          <a:ext cx="2567526" cy="461010"/>
          <a:chOff x="1466849" y="0"/>
          <a:chExt cx="1762126" cy="385789"/>
        </a:xfrm>
      </xdr:grpSpPr>
      <xdr:pic>
        <xdr:nvPicPr>
          <xdr:cNvPr id="38" name="Imagen 37">
            <a:extLst>
              <a:ext uri="{FF2B5EF4-FFF2-40B4-BE49-F238E27FC236}">
                <a16:creationId xmlns:a16="http://schemas.microsoft.com/office/drawing/2014/main" id="{00000000-0008-0000-1500-00002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043" t="22024" r="10057" b="22918"/>
          <a:stretch/>
        </xdr:blipFill>
        <xdr:spPr>
          <a:xfrm>
            <a:off x="1466849" y="0"/>
            <a:ext cx="1762126" cy="385789"/>
          </a:xfrm>
          <a:prstGeom prst="rect">
            <a:avLst/>
          </a:prstGeom>
        </xdr:spPr>
      </xdr:pic>
      <xdr:sp macro="" textlink="">
        <xdr:nvSpPr>
          <xdr:cNvPr id="39" name="CuadroTexto 38">
            <a:extLst>
              <a:ext uri="{FF2B5EF4-FFF2-40B4-BE49-F238E27FC236}">
                <a16:creationId xmlns:a16="http://schemas.microsoft.com/office/drawing/2014/main" id="{00000000-0008-0000-1500-000027000000}"/>
              </a:ext>
            </a:extLst>
          </xdr:cNvPr>
          <xdr:cNvSpPr txBox="1"/>
        </xdr:nvSpPr>
        <xdr:spPr>
          <a:xfrm>
            <a:off x="1676400" y="47625"/>
            <a:ext cx="13620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200">
                <a:solidFill>
                  <a:schemeClr val="bg1"/>
                </a:solidFill>
              </a:rPr>
              <a:t>FOTOS P/ COTIZACION</a:t>
            </a:r>
          </a:p>
        </xdr:txBody>
      </xdr:sp>
    </xdr:grpSp>
    <xdr:clientData/>
  </xdr:twoCellAnchor>
  <xdr:twoCellAnchor editAs="absolute">
    <xdr:from>
      <xdr:col>3</xdr:col>
      <xdr:colOff>723901</xdr:colOff>
      <xdr:row>5</xdr:row>
      <xdr:rowOff>114300</xdr:rowOff>
    </xdr:from>
    <xdr:to>
      <xdr:col>7</xdr:col>
      <xdr:colOff>120301</xdr:colOff>
      <xdr:row>8</xdr:row>
      <xdr:rowOff>68825</xdr:rowOff>
    </xdr:to>
    <xdr:grpSp>
      <xdr:nvGrpSpPr>
        <xdr:cNvPr id="55" name="Grupo 54">
          <a:hlinkClick xmlns:r="http://schemas.openxmlformats.org/officeDocument/2006/relationships" r:id="rId7"/>
          <a:extLst>
            <a:ext uri="{FF2B5EF4-FFF2-40B4-BE49-F238E27FC236}">
              <a16:creationId xmlns:a16="http://schemas.microsoft.com/office/drawing/2014/main" id="{00000000-0008-0000-1500-000037000000}"/>
            </a:ext>
          </a:extLst>
        </xdr:cNvPr>
        <xdr:cNvGrpSpPr>
          <a:grpSpLocks noChangeAspect="1"/>
        </xdr:cNvGrpSpPr>
      </xdr:nvGrpSpPr>
      <xdr:grpSpPr>
        <a:xfrm>
          <a:off x="3101341" y="1028700"/>
          <a:ext cx="2566320" cy="503165"/>
          <a:chOff x="1466849" y="0"/>
          <a:chExt cx="1762126" cy="385789"/>
        </a:xfrm>
      </xdr:grpSpPr>
      <xdr:pic>
        <xdr:nvPicPr>
          <xdr:cNvPr id="56" name="Imagen 55">
            <a:extLst>
              <a:ext uri="{FF2B5EF4-FFF2-40B4-BE49-F238E27FC236}">
                <a16:creationId xmlns:a16="http://schemas.microsoft.com/office/drawing/2014/main" id="{00000000-0008-0000-1500-000038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043" t="22024" r="10057" b="22918"/>
          <a:stretch/>
        </xdr:blipFill>
        <xdr:spPr>
          <a:xfrm>
            <a:off x="1466849" y="0"/>
            <a:ext cx="1762126" cy="385789"/>
          </a:xfrm>
          <a:prstGeom prst="rect">
            <a:avLst/>
          </a:prstGeom>
        </xdr:spPr>
      </xdr:pic>
      <xdr:sp macro="" textlink="">
        <xdr:nvSpPr>
          <xdr:cNvPr id="57" name="CuadroTexto 56">
            <a:extLst>
              <a:ext uri="{FF2B5EF4-FFF2-40B4-BE49-F238E27FC236}">
                <a16:creationId xmlns:a16="http://schemas.microsoft.com/office/drawing/2014/main" id="{00000000-0008-0000-1500-000039000000}"/>
              </a:ext>
            </a:extLst>
          </xdr:cNvPr>
          <xdr:cNvSpPr txBox="1"/>
        </xdr:nvSpPr>
        <xdr:spPr>
          <a:xfrm>
            <a:off x="1676400" y="47625"/>
            <a:ext cx="13620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200">
                <a:solidFill>
                  <a:schemeClr val="bg1"/>
                </a:solidFill>
              </a:rPr>
              <a:t>IR</a:t>
            </a:r>
            <a:r>
              <a:rPr lang="es-MX" sz="1200" baseline="0">
                <a:solidFill>
                  <a:schemeClr val="bg1"/>
                </a:solidFill>
              </a:rPr>
              <a:t> A PRESUPUETO</a:t>
            </a:r>
            <a:endParaRPr lang="es-MX" sz="1200">
              <a:solidFill>
                <a:schemeClr val="bg1"/>
              </a:solidFill>
            </a:endParaRPr>
          </a:p>
        </xdr:txBody>
      </xdr:sp>
    </xdr:grpSp>
    <xdr:clientData/>
  </xdr:twoCellAnchor>
  <xdr:twoCellAnchor editAs="absolute">
    <xdr:from>
      <xdr:col>4</xdr:col>
      <xdr:colOff>0</xdr:colOff>
      <xdr:row>15</xdr:row>
      <xdr:rowOff>161925</xdr:rowOff>
    </xdr:from>
    <xdr:to>
      <xdr:col>7</xdr:col>
      <xdr:colOff>159606</xdr:colOff>
      <xdr:row>18</xdr:row>
      <xdr:rowOff>66675</xdr:rowOff>
    </xdr:to>
    <xdr:grpSp>
      <xdr:nvGrpSpPr>
        <xdr:cNvPr id="58" name="Grupo 57">
          <a:hlinkClick xmlns:r="http://schemas.openxmlformats.org/officeDocument/2006/relationships" r:id="rId8"/>
          <a:extLst>
            <a:ext uri="{FF2B5EF4-FFF2-40B4-BE49-F238E27FC236}">
              <a16:creationId xmlns:a16="http://schemas.microsoft.com/office/drawing/2014/main" id="{00000000-0008-0000-1500-00003A000000}"/>
            </a:ext>
          </a:extLst>
        </xdr:cNvPr>
        <xdr:cNvGrpSpPr>
          <a:grpSpLocks noChangeAspect="1"/>
        </xdr:cNvGrpSpPr>
      </xdr:nvGrpSpPr>
      <xdr:grpSpPr>
        <a:xfrm>
          <a:off x="3169920" y="2905125"/>
          <a:ext cx="2537046" cy="453390"/>
          <a:chOff x="1466849" y="0"/>
          <a:chExt cx="1762126" cy="385789"/>
        </a:xfrm>
      </xdr:grpSpPr>
      <xdr:pic>
        <xdr:nvPicPr>
          <xdr:cNvPr id="59" name="Imagen 58">
            <a:extLst>
              <a:ext uri="{FF2B5EF4-FFF2-40B4-BE49-F238E27FC236}">
                <a16:creationId xmlns:a16="http://schemas.microsoft.com/office/drawing/2014/main" id="{00000000-0008-0000-1500-00003B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043" t="22024" r="10057" b="22918"/>
          <a:stretch/>
        </xdr:blipFill>
        <xdr:spPr>
          <a:xfrm>
            <a:off x="1466849" y="0"/>
            <a:ext cx="1762126" cy="385789"/>
          </a:xfrm>
          <a:prstGeom prst="rect">
            <a:avLst/>
          </a:prstGeom>
        </xdr:spPr>
      </xdr:pic>
      <xdr:sp macro="" textlink="">
        <xdr:nvSpPr>
          <xdr:cNvPr id="60" name="CuadroTexto 59">
            <a:extLst>
              <a:ext uri="{FF2B5EF4-FFF2-40B4-BE49-F238E27FC236}">
                <a16:creationId xmlns:a16="http://schemas.microsoft.com/office/drawing/2014/main" id="{00000000-0008-0000-1500-00003C000000}"/>
              </a:ext>
            </a:extLst>
          </xdr:cNvPr>
          <xdr:cNvSpPr txBox="1"/>
        </xdr:nvSpPr>
        <xdr:spPr>
          <a:xfrm>
            <a:off x="1676400" y="47625"/>
            <a:ext cx="13620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200">
                <a:solidFill>
                  <a:schemeClr val="bg1"/>
                </a:solidFill>
              </a:rPr>
              <a:t>IR</a:t>
            </a:r>
            <a:r>
              <a:rPr lang="es-MX" sz="1200" baseline="0">
                <a:solidFill>
                  <a:schemeClr val="bg1"/>
                </a:solidFill>
              </a:rPr>
              <a:t> A AJUSTES</a:t>
            </a:r>
            <a:endParaRPr lang="es-MX" sz="1200">
              <a:solidFill>
                <a:schemeClr val="bg1"/>
              </a:solidFill>
            </a:endParaRPr>
          </a:p>
        </xdr:txBody>
      </xdr:sp>
    </xdr:grpSp>
    <xdr:clientData/>
  </xdr:twoCellAnchor>
  <xdr:twoCellAnchor editAs="absolute">
    <xdr:from>
      <xdr:col>3</xdr:col>
      <xdr:colOff>742951</xdr:colOff>
      <xdr:row>9</xdr:row>
      <xdr:rowOff>19050</xdr:rowOff>
    </xdr:from>
    <xdr:to>
      <xdr:col>7</xdr:col>
      <xdr:colOff>139351</xdr:colOff>
      <xdr:row>11</xdr:row>
      <xdr:rowOff>164075</xdr:rowOff>
    </xdr:to>
    <xdr:grpSp>
      <xdr:nvGrpSpPr>
        <xdr:cNvPr id="2" name="Grupo 1">
          <a:hlinkClick xmlns:r="http://schemas.openxmlformats.org/officeDocument/2006/relationships" r:id="rId9"/>
          <a:extLst>
            <a:ext uri="{FF2B5EF4-FFF2-40B4-BE49-F238E27FC236}">
              <a16:creationId xmlns:a16="http://schemas.microsoft.com/office/drawing/2014/main" id="{00000000-0008-0000-1500-000002000000}"/>
            </a:ext>
          </a:extLst>
        </xdr:cNvPr>
        <xdr:cNvGrpSpPr>
          <a:grpSpLocks noChangeAspect="1"/>
        </xdr:cNvGrpSpPr>
      </xdr:nvGrpSpPr>
      <xdr:grpSpPr>
        <a:xfrm>
          <a:off x="3120391" y="1664970"/>
          <a:ext cx="2566320" cy="510785"/>
          <a:chOff x="1466849" y="0"/>
          <a:chExt cx="1762126" cy="385789"/>
        </a:xfrm>
      </xdr:grpSpPr>
      <xdr:pic>
        <xdr:nvPicPr>
          <xdr:cNvPr id="6" name="Imagen 5">
            <a:extLst>
              <a:ext uri="{FF2B5EF4-FFF2-40B4-BE49-F238E27FC236}">
                <a16:creationId xmlns:a16="http://schemas.microsoft.com/office/drawing/2014/main" id="{00000000-0008-0000-15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043" t="22024" r="10057" b="22918"/>
          <a:stretch/>
        </xdr:blipFill>
        <xdr:spPr>
          <a:xfrm>
            <a:off x="1466849" y="0"/>
            <a:ext cx="1762126" cy="385789"/>
          </a:xfrm>
          <a:prstGeom prst="rect">
            <a:avLst/>
          </a:prstGeom>
        </xdr:spPr>
      </xdr:pic>
      <xdr:sp macro="" textlink="">
        <xdr:nvSpPr>
          <xdr:cNvPr id="7" name="CuadroTexto 6">
            <a:extLst>
              <a:ext uri="{FF2B5EF4-FFF2-40B4-BE49-F238E27FC236}">
                <a16:creationId xmlns:a16="http://schemas.microsoft.com/office/drawing/2014/main" id="{00000000-0008-0000-1500-000007000000}"/>
              </a:ext>
            </a:extLst>
          </xdr:cNvPr>
          <xdr:cNvSpPr txBox="1"/>
        </xdr:nvSpPr>
        <xdr:spPr>
          <a:xfrm>
            <a:off x="1676400" y="47625"/>
            <a:ext cx="13620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200">
                <a:solidFill>
                  <a:schemeClr val="bg1"/>
                </a:solidFill>
              </a:rPr>
              <a:t>IR</a:t>
            </a:r>
            <a:r>
              <a:rPr lang="es-MX" sz="1200" baseline="0">
                <a:solidFill>
                  <a:schemeClr val="bg1"/>
                </a:solidFill>
              </a:rPr>
              <a:t> A EQUIPAMIENTO</a:t>
            </a:r>
            <a:endParaRPr lang="es-MX" sz="1200">
              <a:solidFill>
                <a:schemeClr val="bg1"/>
              </a:solidFill>
            </a:endParaRPr>
          </a:p>
        </xdr:txBody>
      </xdr:sp>
    </xdr:grpSp>
    <xdr:clientData/>
  </xdr:twoCellAnchor>
  <xdr:twoCellAnchor>
    <xdr:from>
      <xdr:col>11</xdr:col>
      <xdr:colOff>57149</xdr:colOff>
      <xdr:row>2</xdr:row>
      <xdr:rowOff>19050</xdr:rowOff>
    </xdr:from>
    <xdr:to>
      <xdr:col>16</xdr:col>
      <xdr:colOff>295275</xdr:colOff>
      <xdr:row>21</xdr:row>
      <xdr:rowOff>5673</xdr:rowOff>
    </xdr:to>
    <xdr:grpSp>
      <xdr:nvGrpSpPr>
        <xdr:cNvPr id="18" name="Grupo 17">
          <a:extLst>
            <a:ext uri="{FF2B5EF4-FFF2-40B4-BE49-F238E27FC236}">
              <a16:creationId xmlns:a16="http://schemas.microsoft.com/office/drawing/2014/main" id="{00000000-0008-0000-1500-000012000000}"/>
            </a:ext>
          </a:extLst>
        </xdr:cNvPr>
        <xdr:cNvGrpSpPr/>
      </xdr:nvGrpSpPr>
      <xdr:grpSpPr>
        <a:xfrm>
          <a:off x="8774429" y="384810"/>
          <a:ext cx="4200526" cy="3461343"/>
          <a:chOff x="5210174" y="1733550"/>
          <a:chExt cx="4048126" cy="3606123"/>
        </a:xfrm>
      </xdr:grpSpPr>
      <xdr:grpSp>
        <xdr:nvGrpSpPr>
          <xdr:cNvPr id="16" name="Grupo 15">
            <a:extLst>
              <a:ext uri="{FF2B5EF4-FFF2-40B4-BE49-F238E27FC236}">
                <a16:creationId xmlns:a16="http://schemas.microsoft.com/office/drawing/2014/main" id="{00000000-0008-0000-1500-000010000000}"/>
              </a:ext>
            </a:extLst>
          </xdr:cNvPr>
          <xdr:cNvGrpSpPr/>
        </xdr:nvGrpSpPr>
        <xdr:grpSpPr>
          <a:xfrm>
            <a:off x="5676900" y="2171700"/>
            <a:ext cx="2771775" cy="3167973"/>
            <a:chOff x="6300809" y="2409825"/>
            <a:chExt cx="2668444" cy="3159944"/>
          </a:xfrm>
        </xdr:grpSpPr>
        <xdr:sp macro="" textlink="">
          <xdr:nvSpPr>
            <xdr:cNvPr id="4" name="CuadroTexto 3">
              <a:extLst>
                <a:ext uri="{FF2B5EF4-FFF2-40B4-BE49-F238E27FC236}">
                  <a16:creationId xmlns:a16="http://schemas.microsoft.com/office/drawing/2014/main" id="{00000000-0008-0000-1500-000004000000}"/>
                </a:ext>
              </a:extLst>
            </xdr:cNvPr>
            <xdr:cNvSpPr txBox="1"/>
          </xdr:nvSpPr>
          <xdr:spPr>
            <a:xfrm>
              <a:off x="6300809" y="4794540"/>
              <a:ext cx="2668444" cy="7752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4000" b="1" cap="none" spc="0">
                  <a:ln w="0"/>
                  <a:solidFill>
                    <a:schemeClr val="tx1">
                      <a:alpha val="74000"/>
                    </a:schemeClr>
                  </a:solidFill>
                  <a:effectLst>
                    <a:outerShdw blurRad="50800" dist="50800" dir="5400000" algn="ctr" rotWithShape="0">
                      <a:schemeClr val="tx1"/>
                    </a:outerShdw>
                  </a:effectLst>
                  <a:latin typeface="Copperplate Gothic Light" panose="020E0507020206020404" pitchFamily="34" charset="0"/>
                </a:rPr>
                <a:t> LEOLCA</a:t>
              </a:r>
            </a:p>
          </xdr:txBody>
        </xdr:sp>
        <xdr:pic>
          <xdr:nvPicPr>
            <xdr:cNvPr id="11" name="Imagen 10">
              <a:extLst>
                <a:ext uri="{FF2B5EF4-FFF2-40B4-BE49-F238E27FC236}">
                  <a16:creationId xmlns:a16="http://schemas.microsoft.com/office/drawing/2014/main" id="{00000000-0008-0000-1500-00000B000000}"/>
                </a:ext>
              </a:extLst>
            </xdr:cNvPr>
            <xdr:cNvPicPr>
              <a:picLocks noChangeAspect="1"/>
            </xdr:cNvPicPr>
          </xdr:nvPicPr>
          <xdr:blipFill>
            <a:blip xmlns:r="http://schemas.openxmlformats.org/officeDocument/2006/relationships" r:embed="rId10">
              <a:biLevel thresh="75000"/>
              <a:extLst>
                <a:ext uri="{BEBA8EAE-BF5A-486C-A8C5-ECC9F3942E4B}">
                  <a14:imgProps xmlns:a14="http://schemas.microsoft.com/office/drawing/2010/main">
                    <a14:imgLayer r:embed="rId11">
                      <a14:imgEffect>
                        <a14:backgroundRemoval t="2682" b="94636" l="5046" r="96789">
                          <a14:foregroundMark x1="43578" y1="24521" x2="43578" y2="24521"/>
                          <a14:foregroundMark x1="55505" y1="3065" x2="55505" y2="3065"/>
                          <a14:foregroundMark x1="73853" y1="24904" x2="73853" y2="24904"/>
                          <a14:foregroundMark x1="70183" y1="32184" x2="70183" y2="32184"/>
                          <a14:foregroundMark x1="96330" y1="37165" x2="96330" y2="37165"/>
                          <a14:foregroundMark x1="96789" y1="49425" x2="96789" y2="49425"/>
                          <a14:foregroundMark x1="72477" y1="58238" x2="72477" y2="58238"/>
                          <a14:foregroundMark x1="62844" y1="37165" x2="62844" y2="37165"/>
                          <a14:foregroundMark x1="40826" y1="36398" x2="40826" y2="36398"/>
                          <a14:foregroundMark x1="31651" y1="24521" x2="31651" y2="24521"/>
                          <a14:foregroundMark x1="21101" y1="19923" x2="21101" y2="19923"/>
                          <a14:foregroundMark x1="22936" y1="33716" x2="22936" y2="33716"/>
                          <a14:foregroundMark x1="5046" y1="41762" x2="5046" y2="41762"/>
                          <a14:foregroundMark x1="13303" y1="46360" x2="13303" y2="46360"/>
                          <a14:foregroundMark x1="17890" y1="54789" x2="17890" y2="54789"/>
                          <a14:foregroundMark x1="24312" y1="63218" x2="24312" y2="63218"/>
                          <a14:foregroundMark x1="33028" y1="44828" x2="33028" y2="44828"/>
                          <a14:foregroundMark x1="47248" y1="94636" x2="47248" y2="94636"/>
                        </a14:backgroundRemoval>
                      </a14:imgEffect>
                    </a14:imgLayer>
                  </a14:imgProps>
                </a:ext>
                <a:ext uri="{28A0092B-C50C-407E-A947-70E740481C1C}">
                  <a14:useLocalDpi xmlns:a14="http://schemas.microsoft.com/office/drawing/2010/main" val="0"/>
                </a:ext>
              </a:extLst>
            </a:blip>
            <a:stretch>
              <a:fillRect/>
            </a:stretch>
          </xdr:blipFill>
          <xdr:spPr>
            <a:xfrm>
              <a:off x="6448425" y="2409825"/>
              <a:ext cx="2188378" cy="2620030"/>
            </a:xfrm>
            <a:prstGeom prst="rect">
              <a:avLst/>
            </a:prstGeom>
            <a:ln>
              <a:noFill/>
            </a:ln>
            <a:effectLst>
              <a:outerShdw blurRad="50800" dist="38100" dir="2700000" algn="tl" rotWithShape="0">
                <a:prstClr val="black">
                  <a:alpha val="40000"/>
                </a:prstClr>
              </a:outerShdw>
            </a:effectLst>
          </xdr:spPr>
        </xdr:pic>
      </xdr:grpSp>
      <xdr:sp macro="" textlink="">
        <xdr:nvSpPr>
          <xdr:cNvPr id="17" name="CuadroTexto 16">
            <a:extLst>
              <a:ext uri="{FF2B5EF4-FFF2-40B4-BE49-F238E27FC236}">
                <a16:creationId xmlns:a16="http://schemas.microsoft.com/office/drawing/2014/main" id="{00000000-0008-0000-1500-000011000000}"/>
              </a:ext>
            </a:extLst>
          </xdr:cNvPr>
          <xdr:cNvSpPr txBox="1"/>
        </xdr:nvSpPr>
        <xdr:spPr>
          <a:xfrm>
            <a:off x="5210174" y="1733550"/>
            <a:ext cx="4048126" cy="695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4000" b="1" cap="none" spc="0">
                <a:ln w="0"/>
                <a:solidFill>
                  <a:schemeClr val="tx1">
                    <a:alpha val="74000"/>
                  </a:schemeClr>
                </a:solidFill>
                <a:effectLst>
                  <a:outerShdw blurRad="50800" dist="50800" dir="5400000" algn="ctr" rotWithShape="0">
                    <a:schemeClr val="tx1"/>
                  </a:outerShdw>
                </a:effectLst>
                <a:latin typeface="Copperplate Gothic Light" panose="020E0507020206020404" pitchFamily="34" charset="0"/>
              </a:rPr>
              <a:t>REMOLQUES </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304800</xdr:colOff>
      <xdr:row>6</xdr:row>
      <xdr:rowOff>161925</xdr:rowOff>
    </xdr:from>
    <xdr:to>
      <xdr:col>6</xdr:col>
      <xdr:colOff>647700</xdr:colOff>
      <xdr:row>21</xdr:row>
      <xdr:rowOff>161290</xdr:rowOff>
    </xdr:to>
    <xdr:grpSp>
      <xdr:nvGrpSpPr>
        <xdr:cNvPr id="25" name="Grupo 24">
          <a:extLst>
            <a:ext uri="{FF2B5EF4-FFF2-40B4-BE49-F238E27FC236}">
              <a16:creationId xmlns:a16="http://schemas.microsoft.com/office/drawing/2014/main" id="{00000000-0008-0000-1600-000019000000}"/>
            </a:ext>
          </a:extLst>
        </xdr:cNvPr>
        <xdr:cNvGrpSpPr/>
      </xdr:nvGrpSpPr>
      <xdr:grpSpPr>
        <a:xfrm>
          <a:off x="3609975" y="1247775"/>
          <a:ext cx="2714625" cy="2713990"/>
          <a:chOff x="2647950" y="942975"/>
          <a:chExt cx="2628900" cy="2856865"/>
        </a:xfrm>
      </xdr:grpSpPr>
      <xdr:sp macro="" textlink="">
        <xdr:nvSpPr>
          <xdr:cNvPr id="4" name="Shape 82">
            <a:extLst>
              <a:ext uri="{FF2B5EF4-FFF2-40B4-BE49-F238E27FC236}">
                <a16:creationId xmlns:a16="http://schemas.microsoft.com/office/drawing/2014/main" id="{00000000-0008-0000-1600-000004000000}"/>
              </a:ext>
            </a:extLst>
          </xdr:cNvPr>
          <xdr:cNvSpPr/>
        </xdr:nvSpPr>
        <xdr:spPr>
          <a:xfrm>
            <a:off x="2647950" y="942975"/>
            <a:ext cx="2628900" cy="2856865"/>
          </a:xfrm>
          <a:custGeom>
            <a:avLst/>
            <a:gdLst/>
            <a:ahLst/>
            <a:cxnLst/>
            <a:rect l="0" t="0" r="0" b="0"/>
            <a:pathLst>
              <a:path w="2628900" h="2857500">
                <a:moveTo>
                  <a:pt x="0" y="0"/>
                </a:moveTo>
                <a:lnTo>
                  <a:pt x="2190750" y="0"/>
                </a:lnTo>
                <a:lnTo>
                  <a:pt x="2628900" y="438150"/>
                </a:lnTo>
                <a:lnTo>
                  <a:pt x="2628900" y="2857500"/>
                </a:lnTo>
                <a:lnTo>
                  <a:pt x="438150" y="2857500"/>
                </a:lnTo>
                <a:lnTo>
                  <a:pt x="0" y="2419350"/>
                </a:lnTo>
                <a:lnTo>
                  <a:pt x="0" y="0"/>
                </a:lnTo>
                <a:close/>
              </a:path>
            </a:pathLst>
          </a:custGeom>
          <a:ln w="0" cap="flat">
            <a:miter lim="127000"/>
          </a:ln>
        </xdr:spPr>
        <xdr:style>
          <a:lnRef idx="0">
            <a:srgbClr val="000000">
              <a:alpha val="0"/>
            </a:srgbClr>
          </a:lnRef>
          <a:fillRef idx="1">
            <a:srgbClr val="B4C7E7"/>
          </a:fillRef>
          <a:effectRef idx="0">
            <a:scrgbClr r="0" g="0" b="0"/>
          </a:effectRef>
          <a:fontRef idx="none"/>
        </xdr:style>
        <xdr:txBody>
          <a:bodyPr wrap="square"/>
          <a:lstStyle/>
          <a:p>
            <a:endParaRPr lang="es-MX"/>
          </a:p>
        </xdr:txBody>
      </xdr:sp>
      <xdr:sp macro="" textlink="">
        <xdr:nvSpPr>
          <xdr:cNvPr id="6" name="Rectangle 84">
            <a:extLst>
              <a:ext uri="{FF2B5EF4-FFF2-40B4-BE49-F238E27FC236}">
                <a16:creationId xmlns:a16="http://schemas.microsoft.com/office/drawing/2014/main" id="{00000000-0008-0000-1600-000006000000}"/>
              </a:ext>
            </a:extLst>
          </xdr:cNvPr>
          <xdr:cNvSpPr/>
        </xdr:nvSpPr>
        <xdr:spPr>
          <a:xfrm>
            <a:off x="2886075" y="1238250"/>
            <a:ext cx="1981200" cy="228600"/>
          </a:xfrm>
          <a:prstGeom prst="rect">
            <a:avLst/>
          </a:prstGeom>
          <a:ln>
            <a:noFill/>
          </a:ln>
        </xdr:spPr>
        <xdr:txBody>
          <a:bodyPr vert="horz" wrap="square" lIns="0" tIns="0" rIns="0" bIns="0" rtlCol="0">
            <a:noAutofit/>
          </a:bodyPr>
          <a:lstStyle/>
          <a:p>
            <a:pPr>
              <a:lnSpc>
                <a:spcPct val="107000"/>
              </a:lnSpc>
              <a:spcAft>
                <a:spcPts val="800"/>
              </a:spcAft>
            </a:pPr>
            <a:r>
              <a:rPr lang="es-MX" sz="1100" b="1">
                <a:solidFill>
                  <a:srgbClr val="000000"/>
                </a:solidFill>
                <a:effectLst/>
                <a:latin typeface="Calibri" panose="020F0502020204030204" pitchFamily="34" charset="0"/>
                <a:ea typeface="Calibri" panose="020F0502020204030204" pitchFamily="34" charset="0"/>
              </a:rPr>
              <a:t>CARACTERISTICAS PRINCIPALES:</a:t>
            </a:r>
            <a:endParaRPr lang="es-MX" sz="1100">
              <a:solidFill>
                <a:srgbClr val="000000"/>
              </a:solidFill>
              <a:effectLst/>
              <a:latin typeface="Calibri" panose="020F0502020204030204" pitchFamily="34" charset="0"/>
              <a:ea typeface="Calibri" panose="020F0502020204030204" pitchFamily="34" charset="0"/>
            </a:endParaRPr>
          </a:p>
        </xdr:txBody>
      </xdr:sp>
      <xdr:sp macro="" textlink="">
        <xdr:nvSpPr>
          <xdr:cNvPr id="8" name="Rectangle 87">
            <a:extLst>
              <a:ext uri="{FF2B5EF4-FFF2-40B4-BE49-F238E27FC236}">
                <a16:creationId xmlns:a16="http://schemas.microsoft.com/office/drawing/2014/main" id="{00000000-0008-0000-1600-000008000000}"/>
              </a:ext>
            </a:extLst>
          </xdr:cNvPr>
          <xdr:cNvSpPr/>
        </xdr:nvSpPr>
        <xdr:spPr>
          <a:xfrm>
            <a:off x="2876550" y="1666875"/>
            <a:ext cx="476250" cy="200025"/>
          </a:xfrm>
          <a:prstGeom prst="rect">
            <a:avLst/>
          </a:prstGeom>
          <a:ln>
            <a:noFill/>
          </a:ln>
        </xdr:spPr>
        <xdr:txBody>
          <a:bodyPr vert="horz" wrap="square" lIns="0" tIns="0" rIns="0" bIns="0" rtlCol="0">
            <a:noAutofit/>
          </a:bodyPr>
          <a:lstStyle/>
          <a:p>
            <a:pPr>
              <a:lnSpc>
                <a:spcPct val="107000"/>
              </a:lnSpc>
              <a:spcAft>
                <a:spcPts val="800"/>
              </a:spcAft>
            </a:pPr>
            <a:r>
              <a:rPr lang="es-MX" sz="1100">
                <a:solidFill>
                  <a:srgbClr val="000000"/>
                </a:solidFill>
                <a:effectLst/>
                <a:latin typeface="Calibri" panose="020F0502020204030204" pitchFamily="34" charset="0"/>
                <a:ea typeface="Calibri" panose="020F0502020204030204" pitchFamily="34" charset="0"/>
              </a:rPr>
              <a:t>LARGO:</a:t>
            </a:r>
          </a:p>
        </xdr:txBody>
      </xdr:sp>
      <xdr:sp macro="" textlink="">
        <xdr:nvSpPr>
          <xdr:cNvPr id="10" name="Rectangle 89">
            <a:extLst>
              <a:ext uri="{FF2B5EF4-FFF2-40B4-BE49-F238E27FC236}">
                <a16:creationId xmlns:a16="http://schemas.microsoft.com/office/drawing/2014/main" id="{00000000-0008-0000-1600-00000A000000}"/>
              </a:ext>
            </a:extLst>
          </xdr:cNvPr>
          <xdr:cNvSpPr/>
        </xdr:nvSpPr>
        <xdr:spPr>
          <a:xfrm>
            <a:off x="2867025" y="1971675"/>
            <a:ext cx="2000885" cy="188595"/>
          </a:xfrm>
          <a:prstGeom prst="rect">
            <a:avLst/>
          </a:prstGeom>
          <a:ln>
            <a:noFill/>
          </a:ln>
        </xdr:spPr>
        <xdr:txBody>
          <a:bodyPr vert="horz" wrap="square" lIns="0" tIns="0" rIns="0" bIns="0" rtlCol="0">
            <a:noAutofit/>
          </a:bodyPr>
          <a:lstStyle/>
          <a:p>
            <a:pPr>
              <a:lnSpc>
                <a:spcPct val="107000"/>
              </a:lnSpc>
              <a:spcAft>
                <a:spcPts val="800"/>
              </a:spcAft>
            </a:pPr>
            <a:r>
              <a:rPr lang="es-MX" sz="1100">
                <a:solidFill>
                  <a:srgbClr val="000000"/>
                </a:solidFill>
                <a:effectLst/>
                <a:latin typeface="Calibri" panose="020F0502020204030204" pitchFamily="34" charset="0"/>
                <a:ea typeface="Calibri" panose="020F0502020204030204" pitchFamily="34" charset="0"/>
              </a:rPr>
              <a:t>ANCHO DE CARGA: 2.60m.</a:t>
            </a:r>
          </a:p>
        </xdr:txBody>
      </xdr:sp>
      <xdr:sp macro="" textlink="">
        <xdr:nvSpPr>
          <xdr:cNvPr id="12" name="Rectangle 91">
            <a:extLst>
              <a:ext uri="{FF2B5EF4-FFF2-40B4-BE49-F238E27FC236}">
                <a16:creationId xmlns:a16="http://schemas.microsoft.com/office/drawing/2014/main" id="{00000000-0008-0000-1600-00000C000000}"/>
              </a:ext>
            </a:extLst>
          </xdr:cNvPr>
          <xdr:cNvSpPr/>
        </xdr:nvSpPr>
        <xdr:spPr>
          <a:xfrm>
            <a:off x="2886075" y="2286000"/>
            <a:ext cx="1015365" cy="188595"/>
          </a:xfrm>
          <a:prstGeom prst="rect">
            <a:avLst/>
          </a:prstGeom>
          <a:ln>
            <a:noFill/>
          </a:ln>
        </xdr:spPr>
        <xdr:txBody>
          <a:bodyPr vert="horz" wrap="square" lIns="0" tIns="0" rIns="0" bIns="0" rtlCol="0">
            <a:noAutofit/>
          </a:bodyPr>
          <a:lstStyle/>
          <a:p>
            <a:pPr>
              <a:lnSpc>
                <a:spcPct val="107000"/>
              </a:lnSpc>
              <a:spcAft>
                <a:spcPts val="800"/>
              </a:spcAft>
            </a:pPr>
            <a:r>
              <a:rPr lang="es-MX" sz="1100">
                <a:solidFill>
                  <a:srgbClr val="000000"/>
                </a:solidFill>
                <a:effectLst/>
                <a:latin typeface="Calibri" panose="020F0502020204030204" pitchFamily="34" charset="0"/>
                <a:ea typeface="Calibri" panose="020F0502020204030204" pitchFamily="34" charset="0"/>
              </a:rPr>
              <a:t>ALTO: 2.55m.</a:t>
            </a:r>
          </a:p>
        </xdr:txBody>
      </xdr:sp>
      <xdr:sp macro="" textlink="">
        <xdr:nvSpPr>
          <xdr:cNvPr id="15" name="Rectangle 93">
            <a:extLst>
              <a:ext uri="{FF2B5EF4-FFF2-40B4-BE49-F238E27FC236}">
                <a16:creationId xmlns:a16="http://schemas.microsoft.com/office/drawing/2014/main" id="{00000000-0008-0000-1600-00000F000000}"/>
              </a:ext>
            </a:extLst>
          </xdr:cNvPr>
          <xdr:cNvSpPr/>
        </xdr:nvSpPr>
        <xdr:spPr>
          <a:xfrm>
            <a:off x="2905125" y="2581275"/>
            <a:ext cx="1153795" cy="188595"/>
          </a:xfrm>
          <a:prstGeom prst="rect">
            <a:avLst/>
          </a:prstGeom>
          <a:ln>
            <a:noFill/>
          </a:ln>
        </xdr:spPr>
        <xdr:txBody>
          <a:bodyPr vert="horz" wrap="square" lIns="0" tIns="0" rIns="0" bIns="0" rtlCol="0">
            <a:noAutofit/>
          </a:bodyPr>
          <a:lstStyle/>
          <a:p>
            <a:pPr>
              <a:lnSpc>
                <a:spcPct val="107000"/>
              </a:lnSpc>
              <a:spcAft>
                <a:spcPts val="800"/>
              </a:spcAft>
            </a:pPr>
            <a:r>
              <a:rPr lang="es-MX" sz="1100">
                <a:solidFill>
                  <a:srgbClr val="000000"/>
                </a:solidFill>
                <a:effectLst/>
                <a:latin typeface="Calibri" panose="020F0502020204030204" pitchFamily="34" charset="0"/>
                <a:ea typeface="Calibri" panose="020F0502020204030204" pitchFamily="34" charset="0"/>
              </a:rPr>
              <a:t>MODELO: 2024</a:t>
            </a:r>
          </a:p>
        </xdr:txBody>
      </xdr:sp>
      <xdr:sp macro="" textlink="">
        <xdr:nvSpPr>
          <xdr:cNvPr id="17" name="Rectangle 96">
            <a:extLst>
              <a:ext uri="{FF2B5EF4-FFF2-40B4-BE49-F238E27FC236}">
                <a16:creationId xmlns:a16="http://schemas.microsoft.com/office/drawing/2014/main" id="{00000000-0008-0000-1600-000011000000}"/>
              </a:ext>
            </a:extLst>
          </xdr:cNvPr>
          <xdr:cNvSpPr/>
        </xdr:nvSpPr>
        <xdr:spPr>
          <a:xfrm>
            <a:off x="2924175" y="2895600"/>
            <a:ext cx="352425" cy="190500"/>
          </a:xfrm>
          <a:prstGeom prst="rect">
            <a:avLst/>
          </a:prstGeom>
          <a:ln>
            <a:noFill/>
          </a:ln>
        </xdr:spPr>
        <xdr:txBody>
          <a:bodyPr vert="horz" wrap="square" lIns="0" tIns="0" rIns="0" bIns="0" rtlCol="0">
            <a:noAutofit/>
          </a:bodyPr>
          <a:lstStyle/>
          <a:p>
            <a:pPr>
              <a:lnSpc>
                <a:spcPct val="107000"/>
              </a:lnSpc>
              <a:spcAft>
                <a:spcPts val="800"/>
              </a:spcAft>
            </a:pPr>
            <a:r>
              <a:rPr lang="es-MX" sz="1100">
                <a:solidFill>
                  <a:srgbClr val="000000"/>
                </a:solidFill>
                <a:effectLst/>
                <a:latin typeface="Calibri" panose="020F0502020204030204" pitchFamily="34" charset="0"/>
                <a:ea typeface="Calibri" panose="020F0502020204030204" pitchFamily="34" charset="0"/>
              </a:rPr>
              <a:t>EJES: </a:t>
            </a:r>
          </a:p>
        </xdr:txBody>
      </xdr:sp>
      <xdr:sp macro="" textlink="">
        <xdr:nvSpPr>
          <xdr:cNvPr id="21" name="Rectangle 98">
            <a:extLst>
              <a:ext uri="{FF2B5EF4-FFF2-40B4-BE49-F238E27FC236}">
                <a16:creationId xmlns:a16="http://schemas.microsoft.com/office/drawing/2014/main" id="{00000000-0008-0000-1600-000015000000}"/>
              </a:ext>
            </a:extLst>
          </xdr:cNvPr>
          <xdr:cNvSpPr/>
        </xdr:nvSpPr>
        <xdr:spPr>
          <a:xfrm>
            <a:off x="2933700" y="3200400"/>
            <a:ext cx="600075" cy="200025"/>
          </a:xfrm>
          <a:prstGeom prst="rect">
            <a:avLst/>
          </a:prstGeom>
          <a:ln>
            <a:noFill/>
          </a:ln>
        </xdr:spPr>
        <xdr:txBody>
          <a:bodyPr vert="horz" wrap="square" lIns="0" tIns="0" rIns="0" bIns="0" rtlCol="0">
            <a:noAutofit/>
          </a:bodyPr>
          <a:lstStyle/>
          <a:p>
            <a:pPr>
              <a:lnSpc>
                <a:spcPct val="107000"/>
              </a:lnSpc>
              <a:spcAft>
                <a:spcPts val="800"/>
              </a:spcAft>
            </a:pPr>
            <a:r>
              <a:rPr lang="es-MX" sz="1100">
                <a:solidFill>
                  <a:srgbClr val="000000"/>
                </a:solidFill>
                <a:effectLst/>
                <a:latin typeface="Calibri" panose="020F0502020204030204" pitchFamily="34" charset="0"/>
                <a:ea typeface="Calibri" panose="020F0502020204030204" pitchFamily="34" charset="0"/>
              </a:rPr>
              <a:t>MARCA: </a:t>
            </a:r>
          </a:p>
        </xdr:txBody>
      </xdr:sp>
      <xdr:sp macro="" textlink="$B$11">
        <xdr:nvSpPr>
          <xdr:cNvPr id="22" name="Rectangle 87">
            <a:extLst>
              <a:ext uri="{FF2B5EF4-FFF2-40B4-BE49-F238E27FC236}">
                <a16:creationId xmlns:a16="http://schemas.microsoft.com/office/drawing/2014/main" id="{00000000-0008-0000-1600-000016000000}"/>
              </a:ext>
            </a:extLst>
          </xdr:cNvPr>
          <xdr:cNvSpPr/>
        </xdr:nvSpPr>
        <xdr:spPr>
          <a:xfrm>
            <a:off x="3400425" y="1666875"/>
            <a:ext cx="742950" cy="200025"/>
          </a:xfrm>
          <a:prstGeom prst="rect">
            <a:avLst/>
          </a:prstGeom>
          <a:ln>
            <a:noFill/>
          </a:ln>
        </xdr:spPr>
        <xdr:txBody>
          <a:bodyPr vert="horz" wrap="square" lIns="0" tIns="0" rIns="0" bIns="0" rtlCol="0">
            <a:noAutofit/>
          </a:bodyPr>
          <a:lstStyle/>
          <a:p>
            <a:pPr>
              <a:lnSpc>
                <a:spcPct val="107000"/>
              </a:lnSpc>
              <a:spcAft>
                <a:spcPts val="800"/>
              </a:spcAft>
            </a:pPr>
            <a:fld id="{5DAF4734-6415-41A9-B6CD-30188FF923E1}" type="TxLink">
              <a:rPr lang="en-US" sz="1100" b="0" i="0" u="none" strike="noStrike">
                <a:solidFill>
                  <a:srgbClr val="000000"/>
                </a:solidFill>
                <a:effectLst/>
                <a:latin typeface="Calibri"/>
                <a:ea typeface="Calibri"/>
                <a:cs typeface="Calibri"/>
              </a:rPr>
              <a:pPr>
                <a:lnSpc>
                  <a:spcPct val="107000"/>
                </a:lnSpc>
                <a:spcAft>
                  <a:spcPts val="800"/>
                </a:spcAft>
              </a:pPr>
              <a:t>40 FT</a:t>
            </a:fld>
            <a:endParaRPr lang="es-MX" sz="1100">
              <a:solidFill>
                <a:srgbClr val="000000"/>
              </a:solidFill>
              <a:effectLst/>
              <a:latin typeface="Calibri" panose="020F0502020204030204" pitchFamily="34" charset="0"/>
              <a:ea typeface="Calibri" panose="020F0502020204030204" pitchFamily="34" charset="0"/>
            </a:endParaRPr>
          </a:p>
        </xdr:txBody>
      </xdr:sp>
      <xdr:sp macro="" textlink="$B$15">
        <xdr:nvSpPr>
          <xdr:cNvPr id="23" name="Rectangle 96">
            <a:extLst>
              <a:ext uri="{FF2B5EF4-FFF2-40B4-BE49-F238E27FC236}">
                <a16:creationId xmlns:a16="http://schemas.microsoft.com/office/drawing/2014/main" id="{00000000-0008-0000-1600-000017000000}"/>
              </a:ext>
            </a:extLst>
          </xdr:cNvPr>
          <xdr:cNvSpPr/>
        </xdr:nvSpPr>
        <xdr:spPr>
          <a:xfrm>
            <a:off x="3286125" y="2895599"/>
            <a:ext cx="609600" cy="209551"/>
          </a:xfrm>
          <a:prstGeom prst="rect">
            <a:avLst/>
          </a:prstGeom>
          <a:ln>
            <a:noFill/>
          </a:ln>
        </xdr:spPr>
        <xdr:txBody>
          <a:bodyPr vert="horz" wrap="square" lIns="0" tIns="0" rIns="0" bIns="0" rtlCol="0">
            <a:noAutofit/>
          </a:bodyPr>
          <a:lstStyle/>
          <a:p>
            <a:pPr>
              <a:lnSpc>
                <a:spcPct val="107000"/>
              </a:lnSpc>
              <a:spcAft>
                <a:spcPts val="800"/>
              </a:spcAft>
            </a:pPr>
            <a:fld id="{59373A77-2669-4533-98F1-8BC1896028B0}" type="TxLink">
              <a:rPr lang="en-US" sz="1100" b="0" i="0" u="none" strike="noStrike">
                <a:solidFill>
                  <a:srgbClr val="000000"/>
                </a:solidFill>
                <a:effectLst/>
                <a:latin typeface="Calibri"/>
                <a:ea typeface="Calibri"/>
                <a:cs typeface="Calibri"/>
              </a:rPr>
              <a:pPr>
                <a:lnSpc>
                  <a:spcPct val="107000"/>
                </a:lnSpc>
                <a:spcAft>
                  <a:spcPts val="800"/>
                </a:spcAft>
              </a:pPr>
              <a:t>2</a:t>
            </a:fld>
            <a:endParaRPr lang="es-MX" sz="1100">
              <a:solidFill>
                <a:srgbClr val="000000"/>
              </a:solidFill>
              <a:effectLst/>
              <a:latin typeface="Calibri" panose="020F0502020204030204" pitchFamily="34" charset="0"/>
              <a:ea typeface="Calibri" panose="020F0502020204030204" pitchFamily="34" charset="0"/>
            </a:endParaRPr>
          </a:p>
        </xdr:txBody>
      </xdr:sp>
      <xdr:sp macro="" textlink="$B$16">
        <xdr:nvSpPr>
          <xdr:cNvPr id="24" name="Rectangle 98">
            <a:extLst>
              <a:ext uri="{FF2B5EF4-FFF2-40B4-BE49-F238E27FC236}">
                <a16:creationId xmlns:a16="http://schemas.microsoft.com/office/drawing/2014/main" id="{00000000-0008-0000-1600-000018000000}"/>
              </a:ext>
            </a:extLst>
          </xdr:cNvPr>
          <xdr:cNvSpPr/>
        </xdr:nvSpPr>
        <xdr:spPr>
          <a:xfrm>
            <a:off x="3505200" y="3190876"/>
            <a:ext cx="1485900" cy="190500"/>
          </a:xfrm>
          <a:prstGeom prst="rect">
            <a:avLst/>
          </a:prstGeom>
          <a:ln>
            <a:noFill/>
          </a:ln>
        </xdr:spPr>
        <xdr:txBody>
          <a:bodyPr vert="horz" wrap="square" lIns="0" tIns="0" rIns="0" bIns="0" rtlCol="0">
            <a:noAutofit/>
          </a:bodyPr>
          <a:lstStyle/>
          <a:p>
            <a:pPr>
              <a:lnSpc>
                <a:spcPct val="107000"/>
              </a:lnSpc>
              <a:spcAft>
                <a:spcPts val="800"/>
              </a:spcAft>
            </a:pPr>
            <a:fld id="{9288A157-70D0-41CE-BD3D-E8A6649592AA}" type="TxLink">
              <a:rPr lang="en-US" sz="1100" b="0" i="0" u="none" strike="noStrike">
                <a:solidFill>
                  <a:srgbClr val="000000"/>
                </a:solidFill>
                <a:effectLst/>
                <a:latin typeface="Calibri"/>
                <a:ea typeface="Calibri"/>
                <a:cs typeface="Calibri"/>
              </a:rPr>
              <a:pPr>
                <a:lnSpc>
                  <a:spcPct val="107000"/>
                </a:lnSpc>
                <a:spcAft>
                  <a:spcPts val="800"/>
                </a:spcAft>
              </a:pPr>
              <a:t>"REMOLQUES LEOLCA"</a:t>
            </a:fld>
            <a:endParaRPr lang="es-MX" sz="1100">
              <a:solidFill>
                <a:srgbClr val="000000"/>
              </a:solidFill>
              <a:effectLst/>
              <a:latin typeface="Calibri" panose="020F0502020204030204" pitchFamily="34" charset="0"/>
              <a:ea typeface="Calibri" panose="020F0502020204030204" pitchFamily="34" charset="0"/>
            </a:endParaRPr>
          </a:p>
        </xdr:txBody>
      </xdr:sp>
    </xdr:grpSp>
    <xdr:clientData/>
  </xdr:twoCellAnchor>
  <xdr:twoCellAnchor editAs="absolute">
    <xdr:from>
      <xdr:col>0</xdr:col>
      <xdr:colOff>323850</xdr:colOff>
      <xdr:row>0</xdr:row>
      <xdr:rowOff>47625</xdr:rowOff>
    </xdr:from>
    <xdr:to>
      <xdr:col>2</xdr:col>
      <xdr:colOff>335819</xdr:colOff>
      <xdr:row>2</xdr:row>
      <xdr:rowOff>142875</xdr:rowOff>
    </xdr:to>
    <xdr:grpSp>
      <xdr:nvGrpSpPr>
        <xdr:cNvPr id="7" name="Grupo 6">
          <a:hlinkClick xmlns:r="http://schemas.openxmlformats.org/officeDocument/2006/relationships" r:id="rId1"/>
          <a:extLst>
            <a:ext uri="{FF2B5EF4-FFF2-40B4-BE49-F238E27FC236}">
              <a16:creationId xmlns:a16="http://schemas.microsoft.com/office/drawing/2014/main" id="{00000000-0008-0000-1600-000007000000}"/>
            </a:ext>
          </a:extLst>
        </xdr:cNvPr>
        <xdr:cNvGrpSpPr>
          <a:grpSpLocks noChangeAspect="1"/>
        </xdr:cNvGrpSpPr>
      </xdr:nvGrpSpPr>
      <xdr:grpSpPr>
        <a:xfrm>
          <a:off x="323850" y="47625"/>
          <a:ext cx="2526569" cy="457200"/>
          <a:chOff x="1466849" y="0"/>
          <a:chExt cx="1762126" cy="385789"/>
        </a:xfrm>
      </xdr:grpSpPr>
      <xdr:pic>
        <xdr:nvPicPr>
          <xdr:cNvPr id="9" name="Imagen 8">
            <a:extLst>
              <a:ext uri="{FF2B5EF4-FFF2-40B4-BE49-F238E27FC236}">
                <a16:creationId xmlns:a16="http://schemas.microsoft.com/office/drawing/2014/main" id="{00000000-0008-0000-16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043" t="22024" r="10057" b="22918"/>
          <a:stretch/>
        </xdr:blipFill>
        <xdr:spPr>
          <a:xfrm>
            <a:off x="1466849" y="0"/>
            <a:ext cx="1762126" cy="385789"/>
          </a:xfrm>
          <a:prstGeom prst="rect">
            <a:avLst/>
          </a:prstGeom>
        </xdr:spPr>
      </xdr:pic>
      <xdr:sp macro="" textlink="">
        <xdr:nvSpPr>
          <xdr:cNvPr id="11" name="CuadroTexto 10">
            <a:extLst>
              <a:ext uri="{FF2B5EF4-FFF2-40B4-BE49-F238E27FC236}">
                <a16:creationId xmlns:a16="http://schemas.microsoft.com/office/drawing/2014/main" id="{00000000-0008-0000-1600-00000B000000}"/>
              </a:ext>
            </a:extLst>
          </xdr:cNvPr>
          <xdr:cNvSpPr txBox="1"/>
        </xdr:nvSpPr>
        <xdr:spPr>
          <a:xfrm>
            <a:off x="1676400" y="47625"/>
            <a:ext cx="13620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200">
                <a:solidFill>
                  <a:schemeClr val="bg1"/>
                </a:solidFill>
              </a:rPr>
              <a:t>IR</a:t>
            </a:r>
            <a:r>
              <a:rPr lang="es-MX" sz="1200" baseline="0">
                <a:solidFill>
                  <a:schemeClr val="bg1"/>
                </a:solidFill>
              </a:rPr>
              <a:t> A LOBBY</a:t>
            </a:r>
            <a:endParaRPr lang="es-MX" sz="1200">
              <a:solidFill>
                <a:schemeClr val="bg1"/>
              </a:solidFill>
            </a:endParaRPr>
          </a:p>
        </xdr:txBody>
      </xdr:sp>
    </xdr:grpSp>
    <xdr:clientData/>
  </xdr:twoCellAnchor>
</xdr:wsDr>
</file>

<file path=xl/drawings/drawing21.xml><?xml version="1.0" encoding="utf-8"?>
<xdr:wsDr xmlns:xdr="http://schemas.openxmlformats.org/drawingml/2006/spreadsheetDrawing" xmlns:a="http://schemas.openxmlformats.org/drawingml/2006/main">
  <xdr:twoCellAnchor editAs="oneCell">
    <xdr:from>
      <xdr:col>2</xdr:col>
      <xdr:colOff>0</xdr:colOff>
      <xdr:row>9</xdr:row>
      <xdr:rowOff>0</xdr:rowOff>
    </xdr:from>
    <xdr:to>
      <xdr:col>3</xdr:col>
      <xdr:colOff>248</xdr:colOff>
      <xdr:row>10</xdr:row>
      <xdr:rowOff>163</xdr:rowOff>
    </xdr:to>
    <xdr:pic>
      <xdr:nvPicPr>
        <xdr:cNvPr id="3" name="Imagen 2">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9901" b="91089" l="4422" r="90986">
                      <a14:foregroundMark x1="6117" y1="42079" x2="4422" y2="30693"/>
                      <a14:foregroundMark x1="6264" y1="43069" x2="6117" y2="42079"/>
                      <a14:foregroundMark x1="6351" y1="43653" x2="6264" y2="43069"/>
                      <a14:foregroundMark x1="8844" y1="60396" x2="8725" y2="59593"/>
                      <a14:foregroundMark x1="71939" y1="91089" x2="71939" y2="91089"/>
                      <a14:foregroundMark x1="72789" y1="83663" x2="72789" y2="83663"/>
                      <a14:foregroundMark x1="82143" y1="91584" x2="82143" y2="91584"/>
                      <a14:foregroundMark x1="90986" y1="67327" x2="90986" y2="67327"/>
                      <a14:foregroundMark x1="52992" y1="74752" x2="53302" y2="74940"/>
                      <a14:foregroundMark x1="52176" y1="74257" x2="52992" y2="74752"/>
                      <a14:foregroundMark x1="51360" y1="73762" x2="52176" y2="74257"/>
                      <a14:foregroundMark x1="50544" y1="73267" x2="51360" y2="73762"/>
                      <a14:foregroundMark x1="47279" y1="71287" x2="50544" y2="73267"/>
                      <a14:foregroundMark x1="72279" y1="79208" x2="72449" y2="86139"/>
                      <a14:backgroundMark x1="6463" y1="43564" x2="7653" y2="55941"/>
                      <a14:backgroundMark x1="7653" y1="55941" x2="9524" y2="55941"/>
                      <a14:backgroundMark x1="7653" y1="51485" x2="7483" y2="42574"/>
                      <a14:backgroundMark x1="6293" y1="42079" x2="6293" y2="42079"/>
                      <a14:backgroundMark x1="6293" y1="43069" x2="6293" y2="43069"/>
                      <a14:backgroundMark x1="33503" y1="75248" x2="33503" y2="75248"/>
                      <a14:backgroundMark x1="33503" y1="75248" x2="33503" y2="75248"/>
                      <a14:backgroundMark x1="33503" y1="75248" x2="33503" y2="75248"/>
                      <a14:backgroundMark x1="34014" y1="74257" x2="34014" y2="74257"/>
                      <a14:backgroundMark x1="33673" y1="73267" x2="33163" y2="77723"/>
                      <a14:backgroundMark x1="49320" y1="78218" x2="49320" y2="78218"/>
                      <a14:backgroundMark x1="53741" y1="77228" x2="53741" y2="77228"/>
                      <a14:backgroundMark x1="53401" y1="74752" x2="53401" y2="74752"/>
                      <a14:backgroundMark x1="53401" y1="74752" x2="53401" y2="74752"/>
                      <a14:backgroundMark x1="53401" y1="74752" x2="53401" y2="74752"/>
                      <a14:backgroundMark x1="53401" y1="74752" x2="53401" y2="74752"/>
                      <a14:backgroundMark x1="53401" y1="74752" x2="53912" y2="76733"/>
                      <a14:backgroundMark x1="54592" y1="78713" x2="54592" y2="75248"/>
                      <a14:backgroundMark x1="55102" y1="75743" x2="53231" y2="73762"/>
                      <a14:backgroundMark x1="52551" y1="73762" x2="52551" y2="73762"/>
                      <a14:backgroundMark x1="52551" y1="73762" x2="52551" y2="73762"/>
                      <a14:backgroundMark x1="52551" y1="74752" x2="52551" y2="74752"/>
                      <a14:backgroundMark x1="52551" y1="74752" x2="52551" y2="74752"/>
                      <a14:backgroundMark x1="53061" y1="75248" x2="53061" y2="75248"/>
                      <a14:backgroundMark x1="53061" y1="75248" x2="53061" y2="75248"/>
                      <a14:backgroundMark x1="52891" y1="74257" x2="52891" y2="74257"/>
                      <a14:backgroundMark x1="52891" y1="74257" x2="52891" y2="74257"/>
                      <a14:backgroundMark x1="52041" y1="73762" x2="52041" y2="73762"/>
                      <a14:backgroundMark x1="52041" y1="73762" x2="52041" y2="73762"/>
                      <a14:backgroundMark x1="55442" y1="75743" x2="55442" y2="75743"/>
                      <a14:backgroundMark x1="54762" y1="76238" x2="54762" y2="76238"/>
                      <a14:backgroundMark x1="50680" y1="73762" x2="50680" y2="73762"/>
                      <a14:backgroundMark x1="50680" y1="73267" x2="50680" y2="73267"/>
                      <a14:backgroundMark x1="50000" y1="73267" x2="50000" y2="73267"/>
                      <a14:backgroundMark x1="50850" y1="73267" x2="50850" y2="73267"/>
                      <a14:backgroundMark x1="49490" y1="73267" x2="49490" y2="73267"/>
                      <a14:backgroundMark x1="52041" y1="74257" x2="52041" y2="74257"/>
                    </a14:backgroundRemoval>
                  </a14:imgEffect>
                </a14:imgLayer>
              </a14:imgProps>
            </a:ext>
          </a:extLst>
        </a:blip>
        <a:stretch>
          <a:fillRect/>
        </a:stretch>
      </xdr:blipFill>
      <xdr:spPr>
        <a:xfrm>
          <a:off x="2070652" y="2381250"/>
          <a:ext cx="1573696" cy="890380"/>
        </a:xfrm>
        <a:prstGeom prst="rect">
          <a:avLst/>
        </a:prstGeom>
      </xdr:spPr>
    </xdr:pic>
    <xdr:clientData/>
  </xdr:twoCellAnchor>
  <xdr:twoCellAnchor editAs="oneCell">
    <xdr:from>
      <xdr:col>4</xdr:col>
      <xdr:colOff>1304510</xdr:colOff>
      <xdr:row>7</xdr:row>
      <xdr:rowOff>186358</xdr:rowOff>
    </xdr:from>
    <xdr:to>
      <xdr:col>6</xdr:col>
      <xdr:colOff>1464</xdr:colOff>
      <xdr:row>9</xdr:row>
      <xdr:rowOff>271</xdr:rowOff>
    </xdr:to>
    <xdr:pic>
      <xdr:nvPicPr>
        <xdr:cNvPr id="6" name="Imagen 5">
          <a:extLst>
            <a:ext uri="{FF2B5EF4-FFF2-40B4-BE49-F238E27FC236}">
              <a16:creationId xmlns:a16="http://schemas.microsoft.com/office/drawing/2014/main" id="{00000000-0008-0000-1700-000006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9825" b="93333" l="9709" r="90291">
                      <a14:foregroundMark x1="52104" y1="37895" x2="52104" y2="37895"/>
                      <a14:foregroundMark x1="49191" y1="37544" x2="54369" y2="37895"/>
                      <a14:foregroundMark x1="21359" y1="86667" x2="21359" y2="86667"/>
                      <a14:foregroundMark x1="22006" y1="89825" x2="20065" y2="84912"/>
                      <a14:foregroundMark x1="20065" y1="93684" x2="20065" y2="93684"/>
                      <a14:foregroundMark x1="77670" y1="92982" x2="78533" y2="90925"/>
                      <a14:foregroundMark x1="79935" y1="90526" x2="78964" y2="89825"/>
                      <a14:foregroundMark x1="72492" y1="90526" x2="70550" y2="90877"/>
                      <a14:foregroundMark x1="77023" y1="89825" x2="77023" y2="89825"/>
                      <a14:foregroundMark x1="77023" y1="90526" x2="77023" y2="90526"/>
                      <a14:foregroundMark x1="77023" y1="89123" x2="77023" y2="89123"/>
                      <a14:foregroundMark x1="77023" y1="90877" x2="77023" y2="90877"/>
                      <a14:foregroundMark x1="77023" y1="90877" x2="77023" y2="90877"/>
                      <a14:foregroundMark x1="77023" y1="90877" x2="77023" y2="90877"/>
                      <a14:foregroundMark x1="77023" y1="90877" x2="77023" y2="90877"/>
                      <a14:foregroundMark x1="76699" y1="90526" x2="76699" y2="90526"/>
                      <a14:foregroundMark x1="76699" y1="90526" x2="76699" y2="90526"/>
                      <a14:foregroundMark x1="73008" y1="90526" x2="72816" y2="90877"/>
                      <a14:foregroundMark x1="73583" y1="89474" x2="73008" y2="90526"/>
                      <a14:foregroundMark x1="75309" y1="86316" x2="73583" y2="89474"/>
                      <a14:foregroundMark x1="75501" y1="85965" x2="75309" y2="86316"/>
                      <a14:foregroundMark x1="75885" y1="85263" x2="75501" y2="85965"/>
                      <a14:foregroundMark x1="83172" y1="71930" x2="75885" y2="85263"/>
                      <a14:foregroundMark x1="72816" y1="90877" x2="77346" y2="90526"/>
                      <a14:foregroundMark x1="83172" y1="71579" x2="83172" y2="71579"/>
                      <a14:foregroundMark x1="82848" y1="71579" x2="81877" y2="70877"/>
                      <a14:foregroundMark x1="80259" y1="69123" x2="82848" y2="72632"/>
                      <a14:foregroundMark x1="90291" y1="68421" x2="90291" y2="68421"/>
                      <a14:backgroundMark x1="15858" y1="20702" x2="15858" y2="20702"/>
                      <a14:backgroundMark x1="15534" y1="20000" x2="15534" y2="20000"/>
                      <a14:backgroundMark x1="15210" y1="20000" x2="15210" y2="20000"/>
                      <a14:backgroundMark x1="75728" y1="94035" x2="75754" y2="93361"/>
                      <a14:backgroundMark x1="76375" y1="85965" x2="76375" y2="85965"/>
                      <a14:backgroundMark x1="76375" y1="85263" x2="76375" y2="85263"/>
                      <a14:backgroundMark x1="76375" y1="89474" x2="76375" y2="89474"/>
                      <a14:backgroundMark x1="76375" y1="90526" x2="76375" y2="90526"/>
                      <a14:backgroundMark x1="75728" y1="86316" x2="75728" y2="86316"/>
                      <a14:backgroundMark x1="44660" y1="20702" x2="74110" y2="21404"/>
                      <a14:backgroundMark x1="32039" y1="16842" x2="14239" y2="20702"/>
                    </a14:backgroundRemoval>
                  </a14:imgEffect>
                </a14:imgLayer>
              </a14:imgProps>
            </a:ext>
          </a:extLst>
        </a:blip>
        <a:stretch>
          <a:fillRect/>
        </a:stretch>
      </xdr:blipFill>
      <xdr:spPr>
        <a:xfrm>
          <a:off x="5714999" y="1490869"/>
          <a:ext cx="1232039" cy="890381"/>
        </a:xfrm>
        <a:prstGeom prst="rect">
          <a:avLst/>
        </a:prstGeom>
      </xdr:spPr>
    </xdr:pic>
    <xdr:clientData/>
  </xdr:twoCellAnchor>
  <xdr:twoCellAnchor editAs="oneCell">
    <xdr:from>
      <xdr:col>2</xdr:col>
      <xdr:colOff>0</xdr:colOff>
      <xdr:row>8</xdr:row>
      <xdr:rowOff>0</xdr:rowOff>
    </xdr:from>
    <xdr:to>
      <xdr:col>3</xdr:col>
      <xdr:colOff>248</xdr:colOff>
      <xdr:row>9</xdr:row>
      <xdr:rowOff>271</xdr:rowOff>
    </xdr:to>
    <xdr:pic>
      <xdr:nvPicPr>
        <xdr:cNvPr id="8" name="Imagen 7">
          <a:extLst>
            <a:ext uri="{FF2B5EF4-FFF2-40B4-BE49-F238E27FC236}">
              <a16:creationId xmlns:a16="http://schemas.microsoft.com/office/drawing/2014/main" id="{00000000-0008-0000-1700-000008000000}"/>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backgroundRemoval t="9360" b="92611" l="3583" r="91900">
                      <a14:foregroundMark x1="5537" y1="40394" x2="3894" y2="32020"/>
                      <a14:foregroundMark x1="5634" y1="40887" x2="5537" y2="40394"/>
                      <a14:foregroundMark x1="5827" y1="41872" x2="5634" y2="40887"/>
                      <a14:foregroundMark x1="6020" y1="42857" x2="5827" y2="41872"/>
                      <a14:foregroundMark x1="6122" y1="43375" x2="6020" y2="42857"/>
                      <a14:foregroundMark x1="7283" y1="49286" x2="7110" y2="48403"/>
                      <a14:foregroundMark x1="9502" y1="60591" x2="9325" y2="59691"/>
                      <a14:foregroundMark x1="66355" y1="79310" x2="65576" y2="91626"/>
                      <a14:foregroundMark x1="73364" y1="91626" x2="74143" y2="88670"/>
                      <a14:foregroundMark x1="82399" y1="92611" x2="82866" y2="89163"/>
                      <a14:foregroundMark x1="90810" y1="67488" x2="91900" y2="60591"/>
                      <a14:backgroundMark x1="8100" y1="52709" x2="6854" y2="53695"/>
                      <a14:backgroundMark x1="8723" y1="52709" x2="7632" y2="43842"/>
                      <a14:backgroundMark x1="5919" y1="47783" x2="5919" y2="47783"/>
                      <a14:backgroundMark x1="6386" y1="45813" x2="6386" y2="45813"/>
                      <a14:backgroundMark x1="5919" y1="43842" x2="5919" y2="43842"/>
                      <a14:backgroundMark x1="5919" y1="43842" x2="5919" y2="43842"/>
                      <a14:backgroundMark x1="5919" y1="43842" x2="7165" y2="48276"/>
                      <a14:backgroundMark x1="7321" y1="48768" x2="7321" y2="40887"/>
                      <a14:backgroundMark x1="5763" y1="41872" x2="5763" y2="41872"/>
                      <a14:backgroundMark x1="5919" y1="41872" x2="5919" y2="41872"/>
                      <a14:backgroundMark x1="5919" y1="40887" x2="5919" y2="40887"/>
                      <a14:backgroundMark x1="7477" y1="49754" x2="7477" y2="49754"/>
                      <a14:backgroundMark x1="7165" y1="49754" x2="7165" y2="49754"/>
                      <a14:backgroundMark x1="6231" y1="42857" x2="6231" y2="42857"/>
                      <a14:backgroundMark x1="6231" y1="43350" x2="6231" y2="43350"/>
                      <a14:backgroundMark x1="5919" y1="40394" x2="5919" y2="40394"/>
                      <a14:backgroundMark x1="30841" y1="74384" x2="30841" y2="74384"/>
                      <a14:backgroundMark x1="27882" y1="79310" x2="27882" y2="79310"/>
                      <a14:backgroundMark x1="27882" y1="79310" x2="27882" y2="79310"/>
                      <a14:backgroundMark x1="69315" y1="74877" x2="69315" y2="74877"/>
                      <a14:backgroundMark x1="69315" y1="74877" x2="69315" y2="74877"/>
                    </a14:backgroundRemoval>
                  </a14:imgEffect>
                </a14:imgLayer>
              </a14:imgProps>
            </a:ext>
            <a:ext uri="{28A0092B-C50C-407E-A947-70E740481C1C}">
              <a14:useLocalDpi xmlns:a14="http://schemas.microsoft.com/office/drawing/2010/main" val="0"/>
            </a:ext>
          </a:extLst>
        </a:blip>
        <a:stretch>
          <a:fillRect/>
        </a:stretch>
      </xdr:blipFill>
      <xdr:spPr>
        <a:xfrm>
          <a:off x="2070652" y="1490870"/>
          <a:ext cx="1573696" cy="890380"/>
        </a:xfrm>
        <a:prstGeom prst="rect">
          <a:avLst/>
        </a:prstGeom>
      </xdr:spPr>
    </xdr:pic>
    <xdr:clientData/>
  </xdr:twoCellAnchor>
  <xdr:twoCellAnchor editAs="oneCell">
    <xdr:from>
      <xdr:col>1</xdr:col>
      <xdr:colOff>1304510</xdr:colOff>
      <xdr:row>11</xdr:row>
      <xdr:rowOff>890379</xdr:rowOff>
    </xdr:from>
    <xdr:to>
      <xdr:col>3</xdr:col>
      <xdr:colOff>248</xdr:colOff>
      <xdr:row>13</xdr:row>
      <xdr:rowOff>5916</xdr:rowOff>
    </xdr:to>
    <xdr:pic>
      <xdr:nvPicPr>
        <xdr:cNvPr id="32" name="Imagen 31">
          <a:extLst>
            <a:ext uri="{FF2B5EF4-FFF2-40B4-BE49-F238E27FC236}">
              <a16:creationId xmlns:a16="http://schemas.microsoft.com/office/drawing/2014/main" id="{00000000-0008-0000-1700-000020000000}"/>
            </a:ext>
          </a:extLst>
        </xdr:cNvPr>
        <xdr:cNvPicPr>
          <a:picLocks noChangeAspect="1"/>
        </xdr:cNvPicPr>
      </xdr:nvPicPr>
      <xdr:blipFill rotWithShape="1">
        <a:blip xmlns:r="http://schemas.openxmlformats.org/officeDocument/2006/relationships" r:embed="rId7" cstate="print">
          <a:extLst>
            <a:ext uri="{BEBA8EAE-BF5A-486C-A8C5-ECC9F3942E4B}">
              <a14:imgProps xmlns:a14="http://schemas.microsoft.com/office/drawing/2010/main">
                <a14:imgLayer r:embed="rId8">
                  <a14:imgEffect>
                    <a14:backgroundRemoval t="10667" b="91556" l="4222" r="96570">
                      <a14:foregroundMark x1="28232" y1="10667" x2="32982" y2="10667"/>
                      <a14:foregroundMark x1="10818" y1="37778" x2="4222" y2="39111"/>
                      <a14:foregroundMark x1="93668" y1="34667" x2="93668" y2="34667"/>
                      <a14:foregroundMark x1="96570" y1="40444" x2="96570" y2="40444"/>
                      <a14:foregroundMark x1="79420" y1="91111" x2="79420" y2="91111"/>
                      <a14:foregroundMark x1="49340" y1="91556" x2="49340" y2="91556"/>
                      <a14:backgroundMark x1="24011" y1="36000" x2="24011" y2="36000"/>
                      <a14:backgroundMark x1="21636" y1="36000" x2="21636" y2="36000"/>
                      <a14:backgroundMark x1="60158" y1="40889" x2="60158" y2="40889"/>
                      <a14:backgroundMark x1="36148" y1="59111" x2="36148" y2="59111"/>
                      <a14:backgroundMark x1="35356" y1="51111" x2="35356" y2="51111"/>
                    </a14:backgroundRemoval>
                  </a14:imgEffect>
                </a14:imgLayer>
              </a14:imgProps>
            </a:ext>
            <a:ext uri="{28A0092B-C50C-407E-A947-70E740481C1C}">
              <a14:useLocalDpi xmlns:a14="http://schemas.microsoft.com/office/drawing/2010/main" val="0"/>
            </a:ext>
          </a:extLst>
        </a:blip>
        <a:srcRect t="4517" b="1"/>
        <a:stretch/>
      </xdr:blipFill>
      <xdr:spPr bwMode="auto">
        <a:xfrm>
          <a:off x="2070651" y="5052390"/>
          <a:ext cx="1573697" cy="89038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4</xdr:col>
      <xdr:colOff>1304510</xdr:colOff>
      <xdr:row>12</xdr:row>
      <xdr:rowOff>0</xdr:rowOff>
    </xdr:from>
    <xdr:to>
      <xdr:col>6</xdr:col>
      <xdr:colOff>1464</xdr:colOff>
      <xdr:row>13</xdr:row>
      <xdr:rowOff>305</xdr:rowOff>
    </xdr:to>
    <xdr:pic>
      <xdr:nvPicPr>
        <xdr:cNvPr id="33" name="Imagen 32">
          <a:extLst>
            <a:ext uri="{FF2B5EF4-FFF2-40B4-BE49-F238E27FC236}">
              <a16:creationId xmlns:a16="http://schemas.microsoft.com/office/drawing/2014/main" id="{00000000-0008-0000-1700-000021000000}"/>
            </a:ext>
          </a:extLst>
        </xdr:cNvPr>
        <xdr:cNvPicPr>
          <a:picLocks noChangeAspect="1"/>
        </xdr:cNvPicPr>
      </xdr:nvPicPr>
      <xdr:blipFill rotWithShape="1">
        <a:blip xmlns:r="http://schemas.openxmlformats.org/officeDocument/2006/relationships" r:embed="rId9" cstate="print">
          <a:extLst>
            <a:ext uri="{BEBA8EAE-BF5A-486C-A8C5-ECC9F3942E4B}">
              <a14:imgProps xmlns:a14="http://schemas.microsoft.com/office/drawing/2010/main">
                <a14:imgLayer r:embed="rId10">
                  <a14:imgEffect>
                    <a14:backgroundRemoval t="8597" b="92308" l="3704" r="93603">
                      <a14:foregroundMark x1="9091" y1="85973" x2="9428" y2="38462"/>
                      <a14:foregroundMark x1="4377" y1="44796" x2="4377" y2="44796"/>
                      <a14:foregroundMark x1="9764" y1="91855" x2="9764" y2="91855"/>
                      <a14:foregroundMark x1="21549" y1="92760" x2="21549" y2="92760"/>
                      <a14:foregroundMark x1="90572" y1="90498" x2="90572" y2="90498"/>
                      <a14:foregroundMark x1="94276" y1="46606" x2="94276" y2="46606"/>
                      <a14:foregroundMark x1="88215" y1="92760" x2="88215" y2="92760"/>
                      <a14:foregroundMark x1="77778" y1="92760" x2="77778" y2="92760"/>
                      <a14:foregroundMark x1="58182" y1="83047" x2="57239" y2="83258"/>
                      <a14:foregroundMark x1="58620" y1="82949" x2="58364" y2="83006"/>
                      <a14:foregroundMark x1="61279" y1="82353" x2="59647" y2="82718"/>
                      <a14:foregroundMark x1="41077" y1="8597" x2="41077" y2="8597"/>
                      <a14:foregroundMark x1="56229" y1="10407" x2="56229" y2="10407"/>
                      <a14:backgroundMark x1="38721" y1="57919" x2="38721" y2="57919"/>
                      <a14:backgroundMark x1="46128" y1="57466" x2="46128" y2="57466"/>
                      <a14:backgroundMark x1="51178" y1="57014" x2="51178" y2="57014"/>
                      <a14:backgroundMark x1="59933" y1="58824" x2="59933" y2="58824"/>
                      <a14:backgroundMark x1="58586" y1="82805" x2="58586" y2="82805"/>
                      <a14:backgroundMark x1="58586" y1="82805" x2="58586" y2="82353"/>
                      <a14:backgroundMark x1="59259" y1="81900" x2="58249" y2="81900"/>
                      <a14:backgroundMark x1="58586" y1="83710" x2="58249" y2="83258"/>
                      <a14:backgroundMark x1="59933" y1="82805" x2="59933" y2="82805"/>
                      <a14:backgroundMark x1="57239" y1="82805" x2="57239" y2="82805"/>
                      <a14:backgroundMark x1="57576" y1="82353" x2="57576" y2="82353"/>
                      <a14:backgroundMark x1="39731" y1="10407" x2="39731" y2="10407"/>
                      <a14:backgroundMark x1="54882" y1="10860" x2="54882" y2="10860"/>
                    </a14:backgroundRemoval>
                  </a14:imgEffect>
                </a14:imgLayer>
              </a14:imgProps>
            </a:ext>
            <a:ext uri="{28A0092B-C50C-407E-A947-70E740481C1C}">
              <a14:useLocalDpi xmlns:a14="http://schemas.microsoft.com/office/drawing/2010/main" val="0"/>
            </a:ext>
          </a:extLst>
        </a:blip>
        <a:srcRect t="3334"/>
        <a:stretch/>
      </xdr:blipFill>
      <xdr:spPr bwMode="auto">
        <a:xfrm>
          <a:off x="5714999" y="5052391"/>
          <a:ext cx="1232039" cy="890381"/>
        </a:xfrm>
        <a:prstGeom prst="rect">
          <a:avLst/>
        </a:prstGeom>
        <a:noFill/>
        <a:ln>
          <a:noFill/>
        </a:ln>
        <a:extLst>
          <a:ext uri="{53640926-AAD7-44D8-BBD7-CCE9431645EC}">
            <a14:shadowObscured xmlns:a14="http://schemas.microsoft.com/office/drawing/2010/main"/>
          </a:ext>
        </a:extLst>
      </xdr:spPr>
    </xdr:pic>
    <xdr:clientData/>
  </xdr:twoCellAnchor>
  <xdr:twoCellAnchor editAs="absolute">
    <xdr:from>
      <xdr:col>4</xdr:col>
      <xdr:colOff>486603</xdr:colOff>
      <xdr:row>0</xdr:row>
      <xdr:rowOff>124238</xdr:rowOff>
    </xdr:from>
    <xdr:to>
      <xdr:col>5</xdr:col>
      <xdr:colOff>963834</xdr:colOff>
      <xdr:row>2</xdr:row>
      <xdr:rowOff>98492</xdr:rowOff>
    </xdr:to>
    <xdr:grpSp>
      <xdr:nvGrpSpPr>
        <xdr:cNvPr id="7" name="Grupo 6">
          <a:hlinkClick xmlns:r="http://schemas.openxmlformats.org/officeDocument/2006/relationships" r:id="rId11"/>
          <a:extLst>
            <a:ext uri="{FF2B5EF4-FFF2-40B4-BE49-F238E27FC236}">
              <a16:creationId xmlns:a16="http://schemas.microsoft.com/office/drawing/2014/main" id="{00000000-0008-0000-1700-000007000000}"/>
            </a:ext>
          </a:extLst>
        </xdr:cNvPr>
        <xdr:cNvGrpSpPr>
          <a:grpSpLocks noChangeAspect="1"/>
        </xdr:cNvGrpSpPr>
      </xdr:nvGrpSpPr>
      <xdr:grpSpPr>
        <a:xfrm>
          <a:off x="5028123" y="124238"/>
          <a:ext cx="1818351" cy="340014"/>
          <a:chOff x="1466849" y="0"/>
          <a:chExt cx="1762126" cy="385789"/>
        </a:xfrm>
      </xdr:grpSpPr>
      <xdr:pic>
        <xdr:nvPicPr>
          <xdr:cNvPr id="22" name="Imagen 21">
            <a:extLst>
              <a:ext uri="{FF2B5EF4-FFF2-40B4-BE49-F238E27FC236}">
                <a16:creationId xmlns:a16="http://schemas.microsoft.com/office/drawing/2014/main" id="{00000000-0008-0000-1700-000016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0043" t="22024" r="10057" b="22918"/>
          <a:stretch/>
        </xdr:blipFill>
        <xdr:spPr>
          <a:xfrm>
            <a:off x="1466849" y="0"/>
            <a:ext cx="1762126" cy="385789"/>
          </a:xfrm>
          <a:prstGeom prst="rect">
            <a:avLst/>
          </a:prstGeom>
        </xdr:spPr>
      </xdr:pic>
      <xdr:sp macro="" textlink="">
        <xdr:nvSpPr>
          <xdr:cNvPr id="23" name="CuadroTexto 22">
            <a:extLst>
              <a:ext uri="{FF2B5EF4-FFF2-40B4-BE49-F238E27FC236}">
                <a16:creationId xmlns:a16="http://schemas.microsoft.com/office/drawing/2014/main" id="{00000000-0008-0000-1700-000017000000}"/>
              </a:ext>
            </a:extLst>
          </xdr:cNvPr>
          <xdr:cNvSpPr txBox="1"/>
        </xdr:nvSpPr>
        <xdr:spPr>
          <a:xfrm>
            <a:off x="1676400" y="47625"/>
            <a:ext cx="13620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200">
                <a:solidFill>
                  <a:schemeClr val="bg1"/>
                </a:solidFill>
              </a:rPr>
              <a:t>IR</a:t>
            </a:r>
            <a:r>
              <a:rPr lang="es-MX" sz="1200" baseline="0">
                <a:solidFill>
                  <a:schemeClr val="bg1"/>
                </a:solidFill>
              </a:rPr>
              <a:t> A LOBBY</a:t>
            </a:r>
            <a:endParaRPr lang="es-MX" sz="1200">
              <a:solidFill>
                <a:schemeClr val="bg1"/>
              </a:solidFill>
            </a:endParaRPr>
          </a:p>
        </xdr:txBody>
      </xdr:sp>
    </xdr:grpSp>
    <xdr:clientData/>
  </xdr:twoCellAnchor>
  <xdr:twoCellAnchor>
    <xdr:from>
      <xdr:col>9</xdr:col>
      <xdr:colOff>2</xdr:colOff>
      <xdr:row>8</xdr:row>
      <xdr:rowOff>1</xdr:rowOff>
    </xdr:from>
    <xdr:to>
      <xdr:col>10</xdr:col>
      <xdr:colOff>2</xdr:colOff>
      <xdr:row>9</xdr:row>
      <xdr:rowOff>0</xdr:rowOff>
    </xdr:to>
    <xdr:sp macro="" textlink="">
      <xdr:nvSpPr>
        <xdr:cNvPr id="24" name="Rectángulo 23">
          <a:extLst>
            <a:ext uri="{FF2B5EF4-FFF2-40B4-BE49-F238E27FC236}">
              <a16:creationId xmlns:a16="http://schemas.microsoft.com/office/drawing/2014/main" id="{00000000-0008-0000-1700-000018000000}"/>
            </a:ext>
          </a:extLst>
        </xdr:cNvPr>
        <xdr:cNvSpPr/>
      </xdr:nvSpPr>
      <xdr:spPr>
        <a:xfrm>
          <a:off x="9245464" y="1490871"/>
          <a:ext cx="766141" cy="890379"/>
        </a:xfrm>
        <a:prstGeom prst="rect">
          <a:avLst/>
        </a:prstGeom>
        <a:gradFill flip="none" rotWithShape="1">
          <a:gsLst>
            <a:gs pos="0">
              <a:schemeClr val="bg2">
                <a:lumMod val="75000"/>
                <a:shade val="30000"/>
                <a:satMod val="115000"/>
              </a:schemeClr>
            </a:gs>
            <a:gs pos="50000">
              <a:schemeClr val="bg2">
                <a:lumMod val="75000"/>
                <a:shade val="67500"/>
                <a:satMod val="115000"/>
              </a:schemeClr>
            </a:gs>
            <a:gs pos="100000">
              <a:schemeClr val="bg2">
                <a:lumMod val="75000"/>
                <a:shade val="100000"/>
                <a:satMod val="115000"/>
              </a:schemeClr>
            </a:gs>
          </a:gsLst>
          <a:lin ang="5400000" scaled="1"/>
          <a:tileRect/>
        </a:gradFill>
        <a:ln w="38100">
          <a:noFill/>
        </a:ln>
        <a:effectLst/>
      </xdr:spPr>
      <xdr:style>
        <a:lnRef idx="1">
          <a:schemeClr val="accent1"/>
        </a:lnRef>
        <a:fillRef idx="3">
          <a:schemeClr val="accent1"/>
        </a:fillRef>
        <a:effectRef idx="2">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lientData/>
  </xdr:twoCellAnchor>
  <xdr:twoCellAnchor>
    <xdr:from>
      <xdr:col>11</xdr:col>
      <xdr:colOff>766140</xdr:colOff>
      <xdr:row>8</xdr:row>
      <xdr:rowOff>0</xdr:rowOff>
    </xdr:from>
    <xdr:to>
      <xdr:col>12</xdr:col>
      <xdr:colOff>766140</xdr:colOff>
      <xdr:row>8</xdr:row>
      <xdr:rowOff>885102</xdr:rowOff>
    </xdr:to>
    <xdr:sp macro="" textlink="">
      <xdr:nvSpPr>
        <xdr:cNvPr id="29" name="Rectángulo 28">
          <a:extLst>
            <a:ext uri="{FF2B5EF4-FFF2-40B4-BE49-F238E27FC236}">
              <a16:creationId xmlns:a16="http://schemas.microsoft.com/office/drawing/2014/main" id="{00000000-0008-0000-1700-00001D000000}"/>
            </a:ext>
          </a:extLst>
        </xdr:cNvPr>
        <xdr:cNvSpPr/>
      </xdr:nvSpPr>
      <xdr:spPr>
        <a:xfrm rot="10800000">
          <a:off x="11543885" y="1490870"/>
          <a:ext cx="766141" cy="885102"/>
        </a:xfrm>
        <a:prstGeom prst="rect">
          <a:avLst/>
        </a:prstGeom>
        <a:gradFill flip="none" rotWithShape="1">
          <a:gsLst>
            <a:gs pos="0">
              <a:schemeClr val="bg1"/>
            </a:gs>
            <a:gs pos="11000">
              <a:srgbClr val="C00000"/>
            </a:gs>
          </a:gsLst>
          <a:lin ang="16800000" scaled="0"/>
          <a:tileRect/>
        </a:gradFill>
        <a:ln w="38100">
          <a:noFill/>
        </a:ln>
        <a:effectLst>
          <a:glow rad="101600">
            <a:schemeClr val="tx1">
              <a:alpha val="60000"/>
            </a:schemeClr>
          </a:glow>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prst="cross"/>
        </a:sp3d>
      </xdr:spPr>
      <xdr:style>
        <a:lnRef idx="1">
          <a:schemeClr val="accent1"/>
        </a:lnRef>
        <a:fillRef idx="3">
          <a:schemeClr val="accent1"/>
        </a:fillRef>
        <a:effectRef idx="2">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lientData/>
  </xdr:twoCellAnchor>
  <xdr:twoCellAnchor>
    <xdr:from>
      <xdr:col>9</xdr:col>
      <xdr:colOff>17810</xdr:colOff>
      <xdr:row>9</xdr:row>
      <xdr:rowOff>17808</xdr:rowOff>
    </xdr:from>
    <xdr:to>
      <xdr:col>10</xdr:col>
      <xdr:colOff>17810</xdr:colOff>
      <xdr:row>10</xdr:row>
      <xdr:rowOff>0</xdr:rowOff>
    </xdr:to>
    <xdr:sp macro="" textlink="">
      <xdr:nvSpPr>
        <xdr:cNvPr id="34" name="Rectángulo 33">
          <a:extLst>
            <a:ext uri="{FF2B5EF4-FFF2-40B4-BE49-F238E27FC236}">
              <a16:creationId xmlns:a16="http://schemas.microsoft.com/office/drawing/2014/main" id="{00000000-0008-0000-1700-000022000000}"/>
            </a:ext>
          </a:extLst>
        </xdr:cNvPr>
        <xdr:cNvSpPr/>
      </xdr:nvSpPr>
      <xdr:spPr>
        <a:xfrm>
          <a:off x="9263272" y="2399058"/>
          <a:ext cx="766141" cy="872572"/>
        </a:xfrm>
        <a:prstGeom prst="rect">
          <a:avLst/>
        </a:prstGeom>
        <a:solidFill>
          <a:schemeClr val="tx1"/>
        </a:solidFill>
        <a:ln w="38100">
          <a:noFill/>
        </a:ln>
        <a:effectLst>
          <a:glow rad="101600">
            <a:schemeClr val="tx1">
              <a:alpha val="60000"/>
            </a:schemeClr>
          </a:glow>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prst="cross"/>
        </a:sp3d>
      </xdr:spPr>
      <xdr:style>
        <a:lnRef idx="1">
          <a:schemeClr val="accent1"/>
        </a:lnRef>
        <a:fillRef idx="3">
          <a:schemeClr val="accent1"/>
        </a:fillRef>
        <a:effectRef idx="2">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lientData/>
  </xdr:twoCellAnchor>
  <xdr:twoCellAnchor>
    <xdr:from>
      <xdr:col>11</xdr:col>
      <xdr:colOff>763241</xdr:colOff>
      <xdr:row>9</xdr:row>
      <xdr:rowOff>0</xdr:rowOff>
    </xdr:from>
    <xdr:to>
      <xdr:col>12</xdr:col>
      <xdr:colOff>763241</xdr:colOff>
      <xdr:row>10</xdr:row>
      <xdr:rowOff>2176</xdr:rowOff>
    </xdr:to>
    <xdr:sp macro="" textlink="">
      <xdr:nvSpPr>
        <xdr:cNvPr id="36" name="Rectángulo 35">
          <a:extLst>
            <a:ext uri="{FF2B5EF4-FFF2-40B4-BE49-F238E27FC236}">
              <a16:creationId xmlns:a16="http://schemas.microsoft.com/office/drawing/2014/main" id="{00000000-0008-0000-1700-000024000000}"/>
            </a:ext>
          </a:extLst>
        </xdr:cNvPr>
        <xdr:cNvSpPr/>
      </xdr:nvSpPr>
      <xdr:spPr>
        <a:xfrm rot="10800000">
          <a:off x="11540986" y="2381250"/>
          <a:ext cx="766141" cy="892556"/>
        </a:xfrm>
        <a:prstGeom prst="rect">
          <a:avLst/>
        </a:prstGeom>
        <a:gradFill>
          <a:gsLst>
            <a:gs pos="0">
              <a:srgbClr val="FF6600"/>
            </a:gs>
            <a:gs pos="16000">
              <a:srgbClr val="FF6600"/>
            </a:gs>
          </a:gsLst>
          <a:lin ang="16800000" scaled="0"/>
        </a:gradFill>
        <a:ln w="38100">
          <a:noFill/>
        </a:ln>
        <a:effectLst>
          <a:glow rad="101600">
            <a:schemeClr val="tx1">
              <a:alpha val="60000"/>
            </a:schemeClr>
          </a:glow>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prst="cross"/>
        </a:sp3d>
      </xdr:spPr>
      <xdr:style>
        <a:lnRef idx="1">
          <a:schemeClr val="accent1"/>
        </a:lnRef>
        <a:fillRef idx="3">
          <a:schemeClr val="accent1"/>
        </a:fillRef>
        <a:effectRef idx="2">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lientData/>
  </xdr:twoCellAnchor>
  <xdr:twoCellAnchor>
    <xdr:from>
      <xdr:col>9</xdr:col>
      <xdr:colOff>0</xdr:colOff>
      <xdr:row>10</xdr:row>
      <xdr:rowOff>0</xdr:rowOff>
    </xdr:from>
    <xdr:to>
      <xdr:col>10</xdr:col>
      <xdr:colOff>0</xdr:colOff>
      <xdr:row>10</xdr:row>
      <xdr:rowOff>872572</xdr:rowOff>
    </xdr:to>
    <xdr:sp macro="" textlink="">
      <xdr:nvSpPr>
        <xdr:cNvPr id="43" name="Rectángulo 42">
          <a:extLst>
            <a:ext uri="{FF2B5EF4-FFF2-40B4-BE49-F238E27FC236}">
              <a16:creationId xmlns:a16="http://schemas.microsoft.com/office/drawing/2014/main" id="{00000000-0008-0000-1700-00002B000000}"/>
            </a:ext>
          </a:extLst>
        </xdr:cNvPr>
        <xdr:cNvSpPr/>
      </xdr:nvSpPr>
      <xdr:spPr>
        <a:xfrm>
          <a:off x="9245462" y="3271630"/>
          <a:ext cx="766141" cy="872572"/>
        </a:xfrm>
        <a:prstGeom prst="rect">
          <a:avLst/>
        </a:prstGeom>
        <a:gradFill flip="none" rotWithShape="1">
          <a:gsLst>
            <a:gs pos="0">
              <a:schemeClr val="bg1"/>
            </a:gs>
            <a:gs pos="17000">
              <a:srgbClr val="C00000"/>
            </a:gs>
          </a:gsLst>
          <a:lin ang="15600000" scaled="0"/>
          <a:tileRect/>
        </a:gradFill>
        <a:ln w="38100">
          <a:noFill/>
        </a:ln>
        <a:effectLst>
          <a:glow rad="101600">
            <a:schemeClr val="tx1">
              <a:alpha val="60000"/>
            </a:schemeClr>
          </a:glow>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prst="cross"/>
        </a:sp3d>
      </xdr:spPr>
      <xdr:style>
        <a:lnRef idx="1">
          <a:schemeClr val="accent1"/>
        </a:lnRef>
        <a:fillRef idx="3">
          <a:schemeClr val="accent1"/>
        </a:fillRef>
        <a:effectRef idx="2">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lientData/>
  </xdr:twoCellAnchor>
  <xdr:twoCellAnchor>
    <xdr:from>
      <xdr:col>9</xdr:col>
      <xdr:colOff>0</xdr:colOff>
      <xdr:row>11</xdr:row>
      <xdr:rowOff>0</xdr:rowOff>
    </xdr:from>
    <xdr:to>
      <xdr:col>10</xdr:col>
      <xdr:colOff>0</xdr:colOff>
      <xdr:row>11</xdr:row>
      <xdr:rowOff>872572</xdr:rowOff>
    </xdr:to>
    <xdr:sp macro="" textlink="">
      <xdr:nvSpPr>
        <xdr:cNvPr id="44" name="Rectángulo 43">
          <a:extLst>
            <a:ext uri="{FF2B5EF4-FFF2-40B4-BE49-F238E27FC236}">
              <a16:creationId xmlns:a16="http://schemas.microsoft.com/office/drawing/2014/main" id="{00000000-0008-0000-1700-00002C000000}"/>
            </a:ext>
          </a:extLst>
        </xdr:cNvPr>
        <xdr:cNvSpPr/>
      </xdr:nvSpPr>
      <xdr:spPr>
        <a:xfrm>
          <a:off x="9245462" y="4162011"/>
          <a:ext cx="766141" cy="872572"/>
        </a:xfrm>
        <a:prstGeom prst="rect">
          <a:avLst/>
        </a:prstGeom>
        <a:gradFill>
          <a:gsLst>
            <a:gs pos="0">
              <a:srgbClr val="FF6600"/>
            </a:gs>
            <a:gs pos="14000">
              <a:srgbClr val="FF6600"/>
            </a:gs>
          </a:gsLst>
          <a:lin ang="15600000" scaled="0"/>
        </a:gradFill>
        <a:ln w="38100">
          <a:noFill/>
        </a:ln>
        <a:effectLst>
          <a:glow rad="101600">
            <a:schemeClr val="tx1">
              <a:alpha val="60000"/>
            </a:schemeClr>
          </a:glow>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prst="cross"/>
        </a:sp3d>
      </xdr:spPr>
      <xdr:style>
        <a:lnRef idx="1">
          <a:schemeClr val="accent1"/>
        </a:lnRef>
        <a:fillRef idx="3">
          <a:schemeClr val="accent1"/>
        </a:fillRef>
        <a:effectRef idx="2">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lientData/>
  </xdr:twoCellAnchor>
  <xdr:twoCellAnchor>
    <xdr:from>
      <xdr:col>9</xdr:col>
      <xdr:colOff>0</xdr:colOff>
      <xdr:row>12</xdr:row>
      <xdr:rowOff>0</xdr:rowOff>
    </xdr:from>
    <xdr:to>
      <xdr:col>10</xdr:col>
      <xdr:colOff>0</xdr:colOff>
      <xdr:row>12</xdr:row>
      <xdr:rowOff>872572</xdr:rowOff>
    </xdr:to>
    <xdr:sp macro="" textlink="">
      <xdr:nvSpPr>
        <xdr:cNvPr id="45" name="Rectángulo 44">
          <a:extLst>
            <a:ext uri="{FF2B5EF4-FFF2-40B4-BE49-F238E27FC236}">
              <a16:creationId xmlns:a16="http://schemas.microsoft.com/office/drawing/2014/main" id="{00000000-0008-0000-1700-00002D000000}"/>
            </a:ext>
          </a:extLst>
        </xdr:cNvPr>
        <xdr:cNvSpPr/>
      </xdr:nvSpPr>
      <xdr:spPr>
        <a:xfrm>
          <a:off x="9245462" y="5052391"/>
          <a:ext cx="766141" cy="872572"/>
        </a:xfrm>
        <a:prstGeom prst="rect">
          <a:avLst/>
        </a:prstGeom>
        <a:gradFill>
          <a:gsLst>
            <a:gs pos="0">
              <a:srgbClr val="FFFF00"/>
            </a:gs>
            <a:gs pos="18000">
              <a:srgbClr val="FFFF00"/>
            </a:gs>
          </a:gsLst>
          <a:lin ang="15600000" scaled="0"/>
        </a:gradFill>
        <a:ln w="38100">
          <a:noFill/>
        </a:ln>
        <a:effectLst>
          <a:glow rad="101600">
            <a:schemeClr val="tx1">
              <a:alpha val="60000"/>
            </a:schemeClr>
          </a:glow>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prst="cross"/>
        </a:sp3d>
      </xdr:spPr>
      <xdr:style>
        <a:lnRef idx="1">
          <a:schemeClr val="accent1"/>
        </a:lnRef>
        <a:fillRef idx="3">
          <a:schemeClr val="accent1"/>
        </a:fillRef>
        <a:effectRef idx="2">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lientData/>
  </xdr:twoCellAnchor>
  <xdr:twoCellAnchor>
    <xdr:from>
      <xdr:col>9</xdr:col>
      <xdr:colOff>0</xdr:colOff>
      <xdr:row>13</xdr:row>
      <xdr:rowOff>0</xdr:rowOff>
    </xdr:from>
    <xdr:to>
      <xdr:col>10</xdr:col>
      <xdr:colOff>0</xdr:colOff>
      <xdr:row>13</xdr:row>
      <xdr:rowOff>872572</xdr:rowOff>
    </xdr:to>
    <xdr:sp macro="" textlink="">
      <xdr:nvSpPr>
        <xdr:cNvPr id="46" name="Rectángulo 45">
          <a:extLst>
            <a:ext uri="{FF2B5EF4-FFF2-40B4-BE49-F238E27FC236}">
              <a16:creationId xmlns:a16="http://schemas.microsoft.com/office/drawing/2014/main" id="{00000000-0008-0000-1700-00002E000000}"/>
            </a:ext>
          </a:extLst>
        </xdr:cNvPr>
        <xdr:cNvSpPr/>
      </xdr:nvSpPr>
      <xdr:spPr>
        <a:xfrm>
          <a:off x="9245462" y="5942772"/>
          <a:ext cx="766141" cy="872572"/>
        </a:xfrm>
        <a:prstGeom prst="rect">
          <a:avLst/>
        </a:prstGeom>
        <a:gradFill>
          <a:gsLst>
            <a:gs pos="0">
              <a:srgbClr val="FF0066"/>
            </a:gs>
            <a:gs pos="18000">
              <a:srgbClr val="FF0066"/>
            </a:gs>
          </a:gsLst>
          <a:lin ang="15600000" scaled="0"/>
        </a:gradFill>
        <a:ln w="38100">
          <a:noFill/>
        </a:ln>
        <a:effectLst>
          <a:glow rad="101600">
            <a:schemeClr val="tx1">
              <a:alpha val="60000"/>
            </a:schemeClr>
          </a:glow>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prst="cross"/>
        </a:sp3d>
      </xdr:spPr>
      <xdr:style>
        <a:lnRef idx="1">
          <a:schemeClr val="accent1"/>
        </a:lnRef>
        <a:fillRef idx="3">
          <a:schemeClr val="accent1"/>
        </a:fillRef>
        <a:effectRef idx="2">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lientData/>
  </xdr:twoCellAnchor>
  <xdr:twoCellAnchor>
    <xdr:from>
      <xdr:col>9</xdr:col>
      <xdr:colOff>0</xdr:colOff>
      <xdr:row>14</xdr:row>
      <xdr:rowOff>0</xdr:rowOff>
    </xdr:from>
    <xdr:to>
      <xdr:col>10</xdr:col>
      <xdr:colOff>0</xdr:colOff>
      <xdr:row>14</xdr:row>
      <xdr:rowOff>872572</xdr:rowOff>
    </xdr:to>
    <xdr:sp macro="" textlink="">
      <xdr:nvSpPr>
        <xdr:cNvPr id="47" name="Rectángulo 46">
          <a:extLst>
            <a:ext uri="{FF2B5EF4-FFF2-40B4-BE49-F238E27FC236}">
              <a16:creationId xmlns:a16="http://schemas.microsoft.com/office/drawing/2014/main" id="{00000000-0008-0000-1700-00002F000000}"/>
            </a:ext>
          </a:extLst>
        </xdr:cNvPr>
        <xdr:cNvSpPr/>
      </xdr:nvSpPr>
      <xdr:spPr>
        <a:xfrm>
          <a:off x="9245462" y="6833152"/>
          <a:ext cx="766141" cy="872572"/>
        </a:xfrm>
        <a:prstGeom prst="rect">
          <a:avLst/>
        </a:prstGeom>
        <a:gradFill>
          <a:gsLst>
            <a:gs pos="0">
              <a:srgbClr val="00B050"/>
            </a:gs>
            <a:gs pos="18000">
              <a:srgbClr val="00B050"/>
            </a:gs>
          </a:gsLst>
          <a:lin ang="15600000" scaled="0"/>
        </a:gradFill>
        <a:ln w="38100">
          <a:noFill/>
        </a:ln>
        <a:effectLst>
          <a:glow rad="101600">
            <a:schemeClr val="tx1">
              <a:alpha val="60000"/>
            </a:schemeClr>
          </a:glow>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prst="cross"/>
        </a:sp3d>
      </xdr:spPr>
      <xdr:style>
        <a:lnRef idx="1">
          <a:schemeClr val="accent1"/>
        </a:lnRef>
        <a:fillRef idx="3">
          <a:schemeClr val="accent1"/>
        </a:fillRef>
        <a:effectRef idx="2">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lientData/>
  </xdr:twoCellAnchor>
  <xdr:twoCellAnchor>
    <xdr:from>
      <xdr:col>9</xdr:col>
      <xdr:colOff>0</xdr:colOff>
      <xdr:row>15</xdr:row>
      <xdr:rowOff>0</xdr:rowOff>
    </xdr:from>
    <xdr:to>
      <xdr:col>10</xdr:col>
      <xdr:colOff>0</xdr:colOff>
      <xdr:row>15</xdr:row>
      <xdr:rowOff>872572</xdr:rowOff>
    </xdr:to>
    <xdr:sp macro="" textlink="">
      <xdr:nvSpPr>
        <xdr:cNvPr id="48" name="Rectángulo 47">
          <a:extLst>
            <a:ext uri="{FF2B5EF4-FFF2-40B4-BE49-F238E27FC236}">
              <a16:creationId xmlns:a16="http://schemas.microsoft.com/office/drawing/2014/main" id="{00000000-0008-0000-1700-000030000000}"/>
            </a:ext>
          </a:extLst>
        </xdr:cNvPr>
        <xdr:cNvSpPr/>
      </xdr:nvSpPr>
      <xdr:spPr>
        <a:xfrm>
          <a:off x="9245462" y="7723533"/>
          <a:ext cx="766141" cy="872572"/>
        </a:xfrm>
        <a:prstGeom prst="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81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lientData/>
  </xdr:twoCellAnchor>
  <xdr:twoCellAnchor>
    <xdr:from>
      <xdr:col>9</xdr:col>
      <xdr:colOff>0</xdr:colOff>
      <xdr:row>16</xdr:row>
      <xdr:rowOff>0</xdr:rowOff>
    </xdr:from>
    <xdr:to>
      <xdr:col>10</xdr:col>
      <xdr:colOff>0</xdr:colOff>
      <xdr:row>16</xdr:row>
      <xdr:rowOff>872572</xdr:rowOff>
    </xdr:to>
    <xdr:sp macro="" textlink="">
      <xdr:nvSpPr>
        <xdr:cNvPr id="49" name="Rectángulo 48">
          <a:extLst>
            <a:ext uri="{FF2B5EF4-FFF2-40B4-BE49-F238E27FC236}">
              <a16:creationId xmlns:a16="http://schemas.microsoft.com/office/drawing/2014/main" id="{00000000-0008-0000-1700-000031000000}"/>
            </a:ext>
          </a:extLst>
        </xdr:cNvPr>
        <xdr:cNvSpPr/>
      </xdr:nvSpPr>
      <xdr:spPr>
        <a:xfrm>
          <a:off x="9245462" y="8613913"/>
          <a:ext cx="766141" cy="872572"/>
        </a:xfrm>
        <a:prstGeom prst="rect">
          <a:avLst/>
        </a:prstGeom>
        <a:gradFill flip="none" rotWithShape="1">
          <a:gsLst>
            <a:gs pos="0">
              <a:srgbClr val="7030A0">
                <a:shade val="30000"/>
                <a:satMod val="115000"/>
              </a:srgbClr>
            </a:gs>
            <a:gs pos="50000">
              <a:srgbClr val="7030A0">
                <a:shade val="67500"/>
                <a:satMod val="115000"/>
              </a:srgbClr>
            </a:gs>
            <a:gs pos="100000">
              <a:srgbClr val="7030A0">
                <a:shade val="100000"/>
                <a:satMod val="115000"/>
              </a:srgbClr>
            </a:gs>
          </a:gsLst>
          <a:lin ang="108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lientData/>
  </xdr:twoCellAnchor>
  <xdr:twoCellAnchor>
    <xdr:from>
      <xdr:col>9</xdr:col>
      <xdr:colOff>0</xdr:colOff>
      <xdr:row>17</xdr:row>
      <xdr:rowOff>10353</xdr:rowOff>
    </xdr:from>
    <xdr:to>
      <xdr:col>10</xdr:col>
      <xdr:colOff>0</xdr:colOff>
      <xdr:row>17</xdr:row>
      <xdr:rowOff>882925</xdr:rowOff>
    </xdr:to>
    <xdr:sp macro="" textlink="">
      <xdr:nvSpPr>
        <xdr:cNvPr id="50" name="Rectángulo 49">
          <a:extLst>
            <a:ext uri="{FF2B5EF4-FFF2-40B4-BE49-F238E27FC236}">
              <a16:creationId xmlns:a16="http://schemas.microsoft.com/office/drawing/2014/main" id="{00000000-0008-0000-1700-000032000000}"/>
            </a:ext>
          </a:extLst>
        </xdr:cNvPr>
        <xdr:cNvSpPr/>
      </xdr:nvSpPr>
      <xdr:spPr>
        <a:xfrm>
          <a:off x="9245462" y="9514646"/>
          <a:ext cx="766141" cy="872572"/>
        </a:xfrm>
        <a:prstGeom prst="rect">
          <a:avLst/>
        </a:prstGeom>
        <a:solidFill>
          <a:schemeClr val="bg1"/>
        </a:solidFill>
        <a:ln/>
      </xdr:spPr>
      <xdr:style>
        <a:lnRef idx="0">
          <a:schemeClr val="accent1"/>
        </a:lnRef>
        <a:fillRef idx="3">
          <a:schemeClr val="accent1"/>
        </a:fillRef>
        <a:effectRef idx="3">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gradFill>
              <a:gsLst>
                <a:gs pos="0">
                  <a:schemeClr val="tx1"/>
                </a:gs>
                <a:gs pos="100000">
                  <a:schemeClr val="bg1"/>
                </a:gs>
              </a:gsLst>
              <a:lin ang="16200000" scaled="1"/>
            </a:gradFill>
          </a:endParaRPr>
        </a:p>
      </xdr:txBody>
    </xdr:sp>
    <xdr:clientData/>
  </xdr:twoCellAnchor>
  <xdr:twoCellAnchor>
    <xdr:from>
      <xdr:col>9</xdr:col>
      <xdr:colOff>0</xdr:colOff>
      <xdr:row>18</xdr:row>
      <xdr:rowOff>0</xdr:rowOff>
    </xdr:from>
    <xdr:to>
      <xdr:col>10</xdr:col>
      <xdr:colOff>0</xdr:colOff>
      <xdr:row>18</xdr:row>
      <xdr:rowOff>872572</xdr:rowOff>
    </xdr:to>
    <xdr:sp macro="" textlink="">
      <xdr:nvSpPr>
        <xdr:cNvPr id="51" name="Rectángulo 50">
          <a:extLst>
            <a:ext uri="{FF2B5EF4-FFF2-40B4-BE49-F238E27FC236}">
              <a16:creationId xmlns:a16="http://schemas.microsoft.com/office/drawing/2014/main" id="{00000000-0008-0000-1700-000033000000}"/>
            </a:ext>
          </a:extLst>
        </xdr:cNvPr>
        <xdr:cNvSpPr/>
      </xdr:nvSpPr>
      <xdr:spPr>
        <a:xfrm>
          <a:off x="9245462" y="10394674"/>
          <a:ext cx="766141" cy="872572"/>
        </a:xfrm>
        <a:prstGeom prst="rect">
          <a:avLst/>
        </a:prstGeom>
        <a:gradFill flip="none" rotWithShape="1">
          <a:gsLst>
            <a:gs pos="19000">
              <a:srgbClr val="993300"/>
            </a:gs>
            <a:gs pos="48000">
              <a:srgbClr val="993300"/>
            </a:gs>
          </a:gsLst>
          <a:lin ang="18900000" scaled="1"/>
          <a:tileRect/>
        </a:gradFill>
        <a:ln w="38100">
          <a:noFill/>
        </a:ln>
        <a:effectLst>
          <a:glow rad="101600">
            <a:schemeClr val="tx1">
              <a:alpha val="60000"/>
            </a:schemeClr>
          </a:glow>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prst="cross"/>
        </a:sp3d>
      </xdr:spPr>
      <xdr:style>
        <a:lnRef idx="1">
          <a:schemeClr val="accent1"/>
        </a:lnRef>
        <a:fillRef idx="3">
          <a:schemeClr val="accent1"/>
        </a:fillRef>
        <a:effectRef idx="2">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lientData/>
  </xdr:twoCellAnchor>
  <xdr:twoCellAnchor>
    <xdr:from>
      <xdr:col>12</xdr:col>
      <xdr:colOff>0</xdr:colOff>
      <xdr:row>10</xdr:row>
      <xdr:rowOff>0</xdr:rowOff>
    </xdr:from>
    <xdr:to>
      <xdr:col>13</xdr:col>
      <xdr:colOff>0</xdr:colOff>
      <xdr:row>11</xdr:row>
      <xdr:rowOff>2175</xdr:rowOff>
    </xdr:to>
    <xdr:sp macro="" textlink="">
      <xdr:nvSpPr>
        <xdr:cNvPr id="52" name="Rectángulo 51">
          <a:extLst>
            <a:ext uri="{FF2B5EF4-FFF2-40B4-BE49-F238E27FC236}">
              <a16:creationId xmlns:a16="http://schemas.microsoft.com/office/drawing/2014/main" id="{00000000-0008-0000-1700-000034000000}"/>
            </a:ext>
          </a:extLst>
        </xdr:cNvPr>
        <xdr:cNvSpPr/>
      </xdr:nvSpPr>
      <xdr:spPr>
        <a:xfrm rot="10800000">
          <a:off x="11543886" y="3271630"/>
          <a:ext cx="766141" cy="892556"/>
        </a:xfrm>
        <a:prstGeom prst="rect">
          <a:avLst/>
        </a:prstGeom>
        <a:gradFill flip="none" rotWithShape="1">
          <a:gsLst>
            <a:gs pos="0">
              <a:schemeClr val="bg2">
                <a:lumMod val="75000"/>
                <a:shade val="30000"/>
                <a:satMod val="115000"/>
              </a:schemeClr>
            </a:gs>
            <a:gs pos="50000">
              <a:schemeClr val="bg2">
                <a:lumMod val="75000"/>
                <a:shade val="67500"/>
                <a:satMod val="115000"/>
              </a:schemeClr>
            </a:gs>
            <a:gs pos="100000">
              <a:schemeClr val="bg2">
                <a:lumMod val="75000"/>
                <a:shade val="100000"/>
                <a:satMod val="115000"/>
              </a:schemeClr>
            </a:gs>
          </a:gsLst>
          <a:lin ang="5400000" scaled="1"/>
          <a:tileRect/>
        </a:gradFill>
        <a:ln w="38100">
          <a:noFill/>
        </a:ln>
        <a:effectLst/>
      </xdr:spPr>
      <xdr:style>
        <a:lnRef idx="1">
          <a:schemeClr val="accent1"/>
        </a:lnRef>
        <a:fillRef idx="3">
          <a:schemeClr val="accent1"/>
        </a:fillRef>
        <a:effectRef idx="2">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lientData/>
  </xdr:twoCellAnchor>
  <xdr:twoCellAnchor>
    <xdr:from>
      <xdr:col>12</xdr:col>
      <xdr:colOff>0</xdr:colOff>
      <xdr:row>11</xdr:row>
      <xdr:rowOff>0</xdr:rowOff>
    </xdr:from>
    <xdr:to>
      <xdr:col>13</xdr:col>
      <xdr:colOff>0</xdr:colOff>
      <xdr:row>12</xdr:row>
      <xdr:rowOff>2176</xdr:rowOff>
    </xdr:to>
    <xdr:sp macro="" textlink="">
      <xdr:nvSpPr>
        <xdr:cNvPr id="54" name="Rectángulo: esquinas superiores, una redondeada y la otra cortada 53">
          <a:extLst>
            <a:ext uri="{FF2B5EF4-FFF2-40B4-BE49-F238E27FC236}">
              <a16:creationId xmlns:a16="http://schemas.microsoft.com/office/drawing/2014/main" id="{00000000-0008-0000-1700-000036000000}"/>
            </a:ext>
          </a:extLst>
        </xdr:cNvPr>
        <xdr:cNvSpPr/>
      </xdr:nvSpPr>
      <xdr:spPr>
        <a:xfrm rot="10800000">
          <a:off x="11543886" y="4162011"/>
          <a:ext cx="766141" cy="892556"/>
        </a:xfrm>
        <a:prstGeom prst="snipRoundRect">
          <a:avLst>
            <a:gd name="adj1" fmla="val 0"/>
            <a:gd name="adj2" fmla="val 13528"/>
          </a:avLst>
        </a:prstGeom>
        <a:solidFill>
          <a:schemeClr val="tx1"/>
        </a:solidFill>
        <a:ln w="38100">
          <a:noFill/>
        </a:ln>
        <a:effectLst>
          <a:glow rad="101600">
            <a:schemeClr val="tx1">
              <a:alpha val="60000"/>
            </a:schemeClr>
          </a:glow>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prst="cross"/>
        </a:sp3d>
      </xdr:spPr>
      <xdr:style>
        <a:lnRef idx="1">
          <a:schemeClr val="accent1"/>
        </a:lnRef>
        <a:fillRef idx="3">
          <a:schemeClr val="accent1"/>
        </a:fillRef>
        <a:effectRef idx="2">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lientData/>
  </xdr:twoCellAnchor>
  <xdr:twoCellAnchor>
    <xdr:from>
      <xdr:col>12</xdr:col>
      <xdr:colOff>0</xdr:colOff>
      <xdr:row>12</xdr:row>
      <xdr:rowOff>29157</xdr:rowOff>
    </xdr:from>
    <xdr:to>
      <xdr:col>13</xdr:col>
      <xdr:colOff>0</xdr:colOff>
      <xdr:row>13</xdr:row>
      <xdr:rowOff>2174</xdr:rowOff>
    </xdr:to>
    <xdr:sp macro="" textlink="">
      <xdr:nvSpPr>
        <xdr:cNvPr id="55" name="Rectángulo 54">
          <a:extLst>
            <a:ext uri="{FF2B5EF4-FFF2-40B4-BE49-F238E27FC236}">
              <a16:creationId xmlns:a16="http://schemas.microsoft.com/office/drawing/2014/main" id="{00000000-0008-0000-1700-000037000000}"/>
            </a:ext>
          </a:extLst>
        </xdr:cNvPr>
        <xdr:cNvSpPr/>
      </xdr:nvSpPr>
      <xdr:spPr>
        <a:xfrm rot="10800000">
          <a:off x="11468878" y="5122116"/>
          <a:ext cx="758112" cy="857481"/>
        </a:xfrm>
        <a:prstGeom prst="rect">
          <a:avLst/>
        </a:prstGeom>
        <a:gradFill>
          <a:gsLst>
            <a:gs pos="0">
              <a:srgbClr val="FFFF00"/>
            </a:gs>
            <a:gs pos="14000">
              <a:srgbClr val="FFFF00"/>
            </a:gs>
          </a:gsLst>
          <a:lin ang="16800000" scaled="0"/>
        </a:gradFill>
        <a:ln w="38100">
          <a:noFill/>
        </a:ln>
        <a:effectLst>
          <a:glow rad="101600">
            <a:schemeClr val="tx1">
              <a:alpha val="60000"/>
            </a:schemeClr>
          </a:glow>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prst="cross"/>
        </a:sp3d>
      </xdr:spPr>
      <xdr:style>
        <a:lnRef idx="1">
          <a:schemeClr val="accent1"/>
        </a:lnRef>
        <a:fillRef idx="3">
          <a:schemeClr val="accent1"/>
        </a:fillRef>
        <a:effectRef idx="2">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lientData/>
  </xdr:twoCellAnchor>
  <xdr:twoCellAnchor>
    <xdr:from>
      <xdr:col>12</xdr:col>
      <xdr:colOff>0</xdr:colOff>
      <xdr:row>13</xdr:row>
      <xdr:rowOff>0</xdr:rowOff>
    </xdr:from>
    <xdr:to>
      <xdr:col>13</xdr:col>
      <xdr:colOff>0</xdr:colOff>
      <xdr:row>14</xdr:row>
      <xdr:rowOff>2176</xdr:rowOff>
    </xdr:to>
    <xdr:sp macro="" textlink="">
      <xdr:nvSpPr>
        <xdr:cNvPr id="56" name="Rectángulo 55">
          <a:extLst>
            <a:ext uri="{FF2B5EF4-FFF2-40B4-BE49-F238E27FC236}">
              <a16:creationId xmlns:a16="http://schemas.microsoft.com/office/drawing/2014/main" id="{00000000-0008-0000-1700-000038000000}"/>
            </a:ext>
          </a:extLst>
        </xdr:cNvPr>
        <xdr:cNvSpPr/>
      </xdr:nvSpPr>
      <xdr:spPr>
        <a:xfrm rot="10800000">
          <a:off x="11543886" y="5942772"/>
          <a:ext cx="766141" cy="892556"/>
        </a:xfrm>
        <a:prstGeom prst="rect">
          <a:avLst/>
        </a:prstGeom>
        <a:gradFill flip="none" rotWithShape="1">
          <a:gsLst>
            <a:gs pos="0">
              <a:srgbClr val="FF0066"/>
            </a:gs>
            <a:gs pos="15000">
              <a:srgbClr val="FF0066"/>
            </a:gs>
          </a:gsLst>
          <a:lin ang="16800000" scaled="0"/>
          <a:tileRect/>
        </a:gradFill>
        <a:ln w="38100">
          <a:noFill/>
        </a:ln>
        <a:effectLst>
          <a:glow rad="101600">
            <a:schemeClr val="tx1">
              <a:alpha val="60000"/>
            </a:schemeClr>
          </a:glow>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prst="cross"/>
        </a:sp3d>
      </xdr:spPr>
      <xdr:style>
        <a:lnRef idx="1">
          <a:schemeClr val="accent1"/>
        </a:lnRef>
        <a:fillRef idx="3">
          <a:schemeClr val="accent1"/>
        </a:fillRef>
        <a:effectRef idx="2">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lientData/>
  </xdr:twoCellAnchor>
  <xdr:twoCellAnchor>
    <xdr:from>
      <xdr:col>12</xdr:col>
      <xdr:colOff>0</xdr:colOff>
      <xdr:row>14</xdr:row>
      <xdr:rowOff>0</xdr:rowOff>
    </xdr:from>
    <xdr:to>
      <xdr:col>13</xdr:col>
      <xdr:colOff>0</xdr:colOff>
      <xdr:row>15</xdr:row>
      <xdr:rowOff>2175</xdr:rowOff>
    </xdr:to>
    <xdr:sp macro="" textlink="">
      <xdr:nvSpPr>
        <xdr:cNvPr id="57" name="Rectángulo 56">
          <a:extLst>
            <a:ext uri="{FF2B5EF4-FFF2-40B4-BE49-F238E27FC236}">
              <a16:creationId xmlns:a16="http://schemas.microsoft.com/office/drawing/2014/main" id="{00000000-0008-0000-1700-000039000000}"/>
            </a:ext>
          </a:extLst>
        </xdr:cNvPr>
        <xdr:cNvSpPr/>
      </xdr:nvSpPr>
      <xdr:spPr>
        <a:xfrm rot="10800000">
          <a:off x="11543886" y="6833152"/>
          <a:ext cx="766141" cy="892556"/>
        </a:xfrm>
        <a:prstGeom prst="rect">
          <a:avLst/>
        </a:prstGeom>
        <a:gradFill flip="none" rotWithShape="1">
          <a:gsLst>
            <a:gs pos="0">
              <a:srgbClr val="00B050"/>
            </a:gs>
            <a:gs pos="15000">
              <a:srgbClr val="00B050"/>
            </a:gs>
          </a:gsLst>
          <a:lin ang="16800000" scaled="0"/>
          <a:tileRect/>
        </a:gradFill>
        <a:ln w="38100">
          <a:noFill/>
        </a:ln>
        <a:effectLst>
          <a:glow rad="101600">
            <a:schemeClr val="tx1">
              <a:alpha val="60000"/>
            </a:schemeClr>
          </a:glow>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prst="cross"/>
        </a:sp3d>
      </xdr:spPr>
      <xdr:style>
        <a:lnRef idx="1">
          <a:schemeClr val="accent1"/>
        </a:lnRef>
        <a:fillRef idx="3">
          <a:schemeClr val="accent1"/>
        </a:fillRef>
        <a:effectRef idx="2">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lientData/>
  </xdr:twoCellAnchor>
  <xdr:twoCellAnchor>
    <xdr:from>
      <xdr:col>12</xdr:col>
      <xdr:colOff>0</xdr:colOff>
      <xdr:row>15</xdr:row>
      <xdr:rowOff>0</xdr:rowOff>
    </xdr:from>
    <xdr:to>
      <xdr:col>13</xdr:col>
      <xdr:colOff>0</xdr:colOff>
      <xdr:row>16</xdr:row>
      <xdr:rowOff>2176</xdr:rowOff>
    </xdr:to>
    <xdr:sp macro="" textlink="">
      <xdr:nvSpPr>
        <xdr:cNvPr id="59" name="Rectángulo 58">
          <a:extLst>
            <a:ext uri="{FF2B5EF4-FFF2-40B4-BE49-F238E27FC236}">
              <a16:creationId xmlns:a16="http://schemas.microsoft.com/office/drawing/2014/main" id="{00000000-0008-0000-1700-00003B000000}"/>
            </a:ext>
          </a:extLst>
        </xdr:cNvPr>
        <xdr:cNvSpPr/>
      </xdr:nvSpPr>
      <xdr:spPr>
        <a:xfrm rot="10800000">
          <a:off x="11543886" y="7723533"/>
          <a:ext cx="766141" cy="892556"/>
        </a:xfrm>
        <a:prstGeom prst="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81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lientData/>
  </xdr:twoCellAnchor>
  <xdr:twoCellAnchor>
    <xdr:from>
      <xdr:col>12</xdr:col>
      <xdr:colOff>0</xdr:colOff>
      <xdr:row>16</xdr:row>
      <xdr:rowOff>0</xdr:rowOff>
    </xdr:from>
    <xdr:to>
      <xdr:col>13</xdr:col>
      <xdr:colOff>0</xdr:colOff>
      <xdr:row>17</xdr:row>
      <xdr:rowOff>2176</xdr:rowOff>
    </xdr:to>
    <xdr:sp macro="" textlink="">
      <xdr:nvSpPr>
        <xdr:cNvPr id="61" name="Rectángulo 60">
          <a:extLst>
            <a:ext uri="{FF2B5EF4-FFF2-40B4-BE49-F238E27FC236}">
              <a16:creationId xmlns:a16="http://schemas.microsoft.com/office/drawing/2014/main" id="{00000000-0008-0000-1700-00003D000000}"/>
            </a:ext>
          </a:extLst>
        </xdr:cNvPr>
        <xdr:cNvSpPr/>
      </xdr:nvSpPr>
      <xdr:spPr>
        <a:xfrm rot="10800000">
          <a:off x="11543886" y="8613913"/>
          <a:ext cx="766141" cy="892556"/>
        </a:xfrm>
        <a:prstGeom prst="rect">
          <a:avLst/>
        </a:prstGeom>
        <a:gradFill flip="none" rotWithShape="1">
          <a:gsLst>
            <a:gs pos="0">
              <a:srgbClr val="7030A0">
                <a:shade val="30000"/>
                <a:satMod val="115000"/>
              </a:srgbClr>
            </a:gs>
            <a:gs pos="50000">
              <a:srgbClr val="7030A0">
                <a:shade val="67500"/>
                <a:satMod val="115000"/>
              </a:srgbClr>
            </a:gs>
            <a:gs pos="100000">
              <a:srgbClr val="7030A0">
                <a:shade val="100000"/>
                <a:satMod val="115000"/>
              </a:srgbClr>
            </a:gs>
          </a:gsLst>
          <a:lin ang="108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lientData/>
  </xdr:twoCellAnchor>
  <xdr:twoCellAnchor>
    <xdr:from>
      <xdr:col>12</xdr:col>
      <xdr:colOff>0</xdr:colOff>
      <xdr:row>17</xdr:row>
      <xdr:rowOff>0</xdr:rowOff>
    </xdr:from>
    <xdr:to>
      <xdr:col>13</xdr:col>
      <xdr:colOff>0</xdr:colOff>
      <xdr:row>18</xdr:row>
      <xdr:rowOff>2175</xdr:rowOff>
    </xdr:to>
    <xdr:sp macro="" textlink="">
      <xdr:nvSpPr>
        <xdr:cNvPr id="62" name="Rectángulo 61">
          <a:extLst>
            <a:ext uri="{FF2B5EF4-FFF2-40B4-BE49-F238E27FC236}">
              <a16:creationId xmlns:a16="http://schemas.microsoft.com/office/drawing/2014/main" id="{00000000-0008-0000-1700-00003E000000}"/>
            </a:ext>
          </a:extLst>
        </xdr:cNvPr>
        <xdr:cNvSpPr/>
      </xdr:nvSpPr>
      <xdr:spPr>
        <a:xfrm rot="10800000">
          <a:off x="11543886" y="9504293"/>
          <a:ext cx="766141" cy="892556"/>
        </a:xfrm>
        <a:prstGeom prst="rect">
          <a:avLst/>
        </a:prstGeom>
        <a:solidFill>
          <a:schemeClr val="bg1"/>
        </a:solidFill>
        <a:ln/>
      </xdr:spPr>
      <xdr:style>
        <a:lnRef idx="0">
          <a:schemeClr val="accent1"/>
        </a:lnRef>
        <a:fillRef idx="3">
          <a:schemeClr val="accent1"/>
        </a:fillRef>
        <a:effectRef idx="3">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lientData/>
  </xdr:twoCellAnchor>
  <xdr:twoCellAnchor>
    <xdr:from>
      <xdr:col>12</xdr:col>
      <xdr:colOff>0</xdr:colOff>
      <xdr:row>18</xdr:row>
      <xdr:rowOff>0</xdr:rowOff>
    </xdr:from>
    <xdr:to>
      <xdr:col>13</xdr:col>
      <xdr:colOff>0</xdr:colOff>
      <xdr:row>19</xdr:row>
      <xdr:rowOff>2176</xdr:rowOff>
    </xdr:to>
    <xdr:sp macro="" textlink="">
      <xdr:nvSpPr>
        <xdr:cNvPr id="63" name="Rectángulo 62">
          <a:extLst>
            <a:ext uri="{FF2B5EF4-FFF2-40B4-BE49-F238E27FC236}">
              <a16:creationId xmlns:a16="http://schemas.microsoft.com/office/drawing/2014/main" id="{00000000-0008-0000-1700-00003F000000}"/>
            </a:ext>
          </a:extLst>
        </xdr:cNvPr>
        <xdr:cNvSpPr/>
      </xdr:nvSpPr>
      <xdr:spPr>
        <a:xfrm rot="10800000">
          <a:off x="11543886" y="10394674"/>
          <a:ext cx="766141" cy="892556"/>
        </a:xfrm>
        <a:prstGeom prst="rect">
          <a:avLst/>
        </a:prstGeom>
        <a:gradFill flip="none" rotWithShape="1">
          <a:gsLst>
            <a:gs pos="52000">
              <a:srgbClr val="993300"/>
            </a:gs>
            <a:gs pos="79000">
              <a:srgbClr val="993300"/>
            </a:gs>
          </a:gsLst>
          <a:lin ang="2700000" scaled="1"/>
          <a:tileRect/>
        </a:gradFill>
        <a:ln w="38100">
          <a:noFill/>
        </a:ln>
        <a:effectLst>
          <a:glow rad="101600">
            <a:schemeClr val="tx1">
              <a:alpha val="60000"/>
            </a:schemeClr>
          </a:glow>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prst="cross"/>
        </a:sp3d>
      </xdr:spPr>
      <xdr:style>
        <a:lnRef idx="1">
          <a:schemeClr val="accent1"/>
        </a:lnRef>
        <a:fillRef idx="3">
          <a:schemeClr val="accent1"/>
        </a:fillRef>
        <a:effectRef idx="2">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lientData/>
  </xdr:twoCellAnchor>
  <xdr:twoCellAnchor editAs="oneCell">
    <xdr:from>
      <xdr:col>2</xdr:col>
      <xdr:colOff>0</xdr:colOff>
      <xdr:row>2</xdr:row>
      <xdr:rowOff>0</xdr:rowOff>
    </xdr:from>
    <xdr:to>
      <xdr:col>2</xdr:col>
      <xdr:colOff>1226091</xdr:colOff>
      <xdr:row>6</xdr:row>
      <xdr:rowOff>111463</xdr:rowOff>
    </xdr:to>
    <xdr:pic>
      <xdr:nvPicPr>
        <xdr:cNvPr id="4" name="Imagen 3">
          <a:extLst>
            <a:ext uri="{FF2B5EF4-FFF2-40B4-BE49-F238E27FC236}">
              <a16:creationId xmlns:a16="http://schemas.microsoft.com/office/drawing/2014/main" id="{00000000-0008-0000-1700-000004000000}"/>
            </a:ext>
          </a:extLst>
        </xdr:cNvPr>
        <xdr:cNvPicPr>
          <a:picLocks noChangeAspect="1"/>
        </xdr:cNvPicPr>
      </xdr:nvPicPr>
      <xdr:blipFill>
        <a:blip xmlns:r="http://schemas.openxmlformats.org/officeDocument/2006/relationships" r:embed="rId13"/>
        <a:stretch>
          <a:fillRect/>
        </a:stretch>
      </xdr:blipFill>
      <xdr:spPr>
        <a:xfrm>
          <a:off x="2067128" y="385053"/>
          <a:ext cx="1226091" cy="881570"/>
        </a:xfrm>
        <a:prstGeom prst="rect">
          <a:avLst/>
        </a:prstGeom>
      </xdr:spPr>
    </xdr:pic>
    <xdr:clientData/>
  </xdr:twoCellAnchor>
  <xdr:twoCellAnchor editAs="oneCell">
    <xdr:from>
      <xdr:col>5</xdr:col>
      <xdr:colOff>0</xdr:colOff>
      <xdr:row>9</xdr:row>
      <xdr:rowOff>0</xdr:rowOff>
    </xdr:from>
    <xdr:to>
      <xdr:col>6</xdr:col>
      <xdr:colOff>4108</xdr:colOff>
      <xdr:row>10</xdr:row>
      <xdr:rowOff>6440</xdr:rowOff>
    </xdr:to>
    <xdr:pic>
      <xdr:nvPicPr>
        <xdr:cNvPr id="5" name="Imagen 4">
          <a:extLst>
            <a:ext uri="{FF2B5EF4-FFF2-40B4-BE49-F238E27FC236}">
              <a16:creationId xmlns:a16="http://schemas.microsoft.com/office/drawing/2014/main" id="{00000000-0008-0000-1700-000005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9825" b="93333" l="9709" r="90291">
                      <a14:foregroundMark x1="52104" y1="37895" x2="52104" y2="37895"/>
                      <a14:foregroundMark x1="49191" y1="37544" x2="54369" y2="37895"/>
                      <a14:foregroundMark x1="21359" y1="86667" x2="21359" y2="86667"/>
                      <a14:foregroundMark x1="22006" y1="89825" x2="20065" y2="84912"/>
                      <a14:foregroundMark x1="20065" y1="93684" x2="20065" y2="93684"/>
                      <a14:foregroundMark x1="77670" y1="92982" x2="78533" y2="90925"/>
                      <a14:foregroundMark x1="79935" y1="90526" x2="78964" y2="89825"/>
                      <a14:foregroundMark x1="72492" y1="90526" x2="70550" y2="90877"/>
                      <a14:foregroundMark x1="77023" y1="89825" x2="77023" y2="89825"/>
                      <a14:foregroundMark x1="77023" y1="90526" x2="77023" y2="90526"/>
                      <a14:foregroundMark x1="77023" y1="89123" x2="77023" y2="89123"/>
                      <a14:foregroundMark x1="77023" y1="90877" x2="77023" y2="90877"/>
                      <a14:foregroundMark x1="77023" y1="90877" x2="77023" y2="90877"/>
                      <a14:foregroundMark x1="77023" y1="90877" x2="77023" y2="90877"/>
                      <a14:foregroundMark x1="77023" y1="90877" x2="77023" y2="90877"/>
                      <a14:foregroundMark x1="76699" y1="90526" x2="76699" y2="90526"/>
                      <a14:foregroundMark x1="76699" y1="90526" x2="76699" y2="90526"/>
                      <a14:foregroundMark x1="73008" y1="90526" x2="72816" y2="90877"/>
                      <a14:foregroundMark x1="73583" y1="89474" x2="73008" y2="90526"/>
                      <a14:foregroundMark x1="75309" y1="86316" x2="73583" y2="89474"/>
                      <a14:foregroundMark x1="75501" y1="85965" x2="75309" y2="86316"/>
                      <a14:foregroundMark x1="75885" y1="85263" x2="75501" y2="85965"/>
                      <a14:foregroundMark x1="83172" y1="71930" x2="75885" y2="85263"/>
                      <a14:foregroundMark x1="72816" y1="90877" x2="77346" y2="90526"/>
                      <a14:foregroundMark x1="83172" y1="71579" x2="83172" y2="71579"/>
                      <a14:foregroundMark x1="82848" y1="71579" x2="81877" y2="70877"/>
                      <a14:foregroundMark x1="80259" y1="69123" x2="82848" y2="72632"/>
                      <a14:foregroundMark x1="90291" y1="68421" x2="90291" y2="68421"/>
                      <a14:backgroundMark x1="15858" y1="20702" x2="15858" y2="20702"/>
                      <a14:backgroundMark x1="15534" y1="20000" x2="15534" y2="20000"/>
                      <a14:backgroundMark x1="15210" y1="20000" x2="15210" y2="20000"/>
                      <a14:backgroundMark x1="75728" y1="94035" x2="75754" y2="93361"/>
                      <a14:backgroundMark x1="76375" y1="85965" x2="76375" y2="85965"/>
                      <a14:backgroundMark x1="76375" y1="85263" x2="76375" y2="85263"/>
                      <a14:backgroundMark x1="76375" y1="89474" x2="76375" y2="89474"/>
                      <a14:backgroundMark x1="76375" y1="90526" x2="76375" y2="90526"/>
                      <a14:backgroundMark x1="75728" y1="86316" x2="75728" y2="86316"/>
                      <a14:backgroundMark x1="44660" y1="20702" x2="74110" y2="21404"/>
                      <a14:backgroundMark x1="32039" y1="16842" x2="14239" y2="20702"/>
                    </a14:backgroundRemoval>
                  </a14:imgEffect>
                </a14:imgLayer>
              </a14:imgProps>
            </a:ext>
          </a:extLst>
        </a:blip>
        <a:stretch>
          <a:fillRect/>
        </a:stretch>
      </xdr:blipFill>
      <xdr:spPr>
        <a:xfrm>
          <a:off x="5704867" y="2421782"/>
          <a:ext cx="1230198" cy="888009"/>
        </a:xfrm>
        <a:prstGeom prst="rect">
          <a:avLst/>
        </a:prstGeom>
      </xdr:spPr>
    </xdr:pic>
    <xdr:clientData/>
  </xdr:twoCellAnchor>
  <xdr:twoCellAnchor editAs="oneCell">
    <xdr:from>
      <xdr:col>5</xdr:col>
      <xdr:colOff>0</xdr:colOff>
      <xdr:row>10</xdr:row>
      <xdr:rowOff>0</xdr:rowOff>
    </xdr:from>
    <xdr:to>
      <xdr:col>6</xdr:col>
      <xdr:colOff>4108</xdr:colOff>
      <xdr:row>11</xdr:row>
      <xdr:rowOff>6440</xdr:rowOff>
    </xdr:to>
    <xdr:pic>
      <xdr:nvPicPr>
        <xdr:cNvPr id="25" name="Imagen 24">
          <a:extLst>
            <a:ext uri="{FF2B5EF4-FFF2-40B4-BE49-F238E27FC236}">
              <a16:creationId xmlns:a16="http://schemas.microsoft.com/office/drawing/2014/main" id="{00000000-0008-0000-1700-000019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9825" b="93333" l="9709" r="90291">
                      <a14:foregroundMark x1="52104" y1="37895" x2="52104" y2="37895"/>
                      <a14:foregroundMark x1="49191" y1="37544" x2="54369" y2="37895"/>
                      <a14:foregroundMark x1="21359" y1="86667" x2="21359" y2="86667"/>
                      <a14:foregroundMark x1="22006" y1="89825" x2="20065" y2="84912"/>
                      <a14:foregroundMark x1="20065" y1="93684" x2="20065" y2="93684"/>
                      <a14:foregroundMark x1="77670" y1="92982" x2="78533" y2="90925"/>
                      <a14:foregroundMark x1="79935" y1="90526" x2="78964" y2="89825"/>
                      <a14:foregroundMark x1="72492" y1="90526" x2="70550" y2="90877"/>
                      <a14:foregroundMark x1="77023" y1="89825" x2="77023" y2="89825"/>
                      <a14:foregroundMark x1="77023" y1="90526" x2="77023" y2="90526"/>
                      <a14:foregroundMark x1="77023" y1="89123" x2="77023" y2="89123"/>
                      <a14:foregroundMark x1="77023" y1="90877" x2="77023" y2="90877"/>
                      <a14:foregroundMark x1="77023" y1="90877" x2="77023" y2="90877"/>
                      <a14:foregroundMark x1="77023" y1="90877" x2="77023" y2="90877"/>
                      <a14:foregroundMark x1="77023" y1="90877" x2="77023" y2="90877"/>
                      <a14:foregroundMark x1="76699" y1="90526" x2="76699" y2="90526"/>
                      <a14:foregroundMark x1="76699" y1="90526" x2="76699" y2="90526"/>
                      <a14:foregroundMark x1="73008" y1="90526" x2="72816" y2="90877"/>
                      <a14:foregroundMark x1="73583" y1="89474" x2="73008" y2="90526"/>
                      <a14:foregroundMark x1="75309" y1="86316" x2="73583" y2="89474"/>
                      <a14:foregroundMark x1="75501" y1="85965" x2="75309" y2="86316"/>
                      <a14:foregroundMark x1="75885" y1="85263" x2="75501" y2="85965"/>
                      <a14:foregroundMark x1="83172" y1="71930" x2="75885" y2="85263"/>
                      <a14:foregroundMark x1="72816" y1="90877" x2="77346" y2="90526"/>
                      <a14:foregroundMark x1="83172" y1="71579" x2="83172" y2="71579"/>
                      <a14:foregroundMark x1="82848" y1="71579" x2="81877" y2="70877"/>
                      <a14:foregroundMark x1="80259" y1="69123" x2="82848" y2="72632"/>
                      <a14:foregroundMark x1="90291" y1="68421" x2="90291" y2="68421"/>
                      <a14:backgroundMark x1="15858" y1="20702" x2="15858" y2="20702"/>
                      <a14:backgroundMark x1="15534" y1="20000" x2="15534" y2="20000"/>
                      <a14:backgroundMark x1="15210" y1="20000" x2="15210" y2="20000"/>
                      <a14:backgroundMark x1="75728" y1="94035" x2="75754" y2="93361"/>
                      <a14:backgroundMark x1="76375" y1="85965" x2="76375" y2="85965"/>
                      <a14:backgroundMark x1="76375" y1="85263" x2="76375" y2="85263"/>
                      <a14:backgroundMark x1="76375" y1="89474" x2="76375" y2="89474"/>
                      <a14:backgroundMark x1="76375" y1="90526" x2="76375" y2="90526"/>
                      <a14:backgroundMark x1="75728" y1="86316" x2="75728" y2="86316"/>
                      <a14:backgroundMark x1="44660" y1="20702" x2="74110" y2="21404"/>
                      <a14:backgroundMark x1="32039" y1="16842" x2="14239" y2="20702"/>
                    </a14:backgroundRemoval>
                  </a14:imgEffect>
                </a14:imgLayer>
              </a14:imgProps>
            </a:ext>
          </a:extLst>
        </a:blip>
        <a:stretch>
          <a:fillRect/>
        </a:stretch>
      </xdr:blipFill>
      <xdr:spPr>
        <a:xfrm>
          <a:off x="5704867" y="3303351"/>
          <a:ext cx="1230198" cy="888009"/>
        </a:xfrm>
        <a:prstGeom prst="rect">
          <a:avLst/>
        </a:prstGeom>
      </xdr:spPr>
    </xdr:pic>
    <xdr:clientData/>
  </xdr:twoCellAnchor>
  <xdr:twoCellAnchor editAs="oneCell">
    <xdr:from>
      <xdr:col>5</xdr:col>
      <xdr:colOff>0</xdr:colOff>
      <xdr:row>11</xdr:row>
      <xdr:rowOff>0</xdr:rowOff>
    </xdr:from>
    <xdr:to>
      <xdr:col>6</xdr:col>
      <xdr:colOff>4108</xdr:colOff>
      <xdr:row>12</xdr:row>
      <xdr:rowOff>6440</xdr:rowOff>
    </xdr:to>
    <xdr:pic>
      <xdr:nvPicPr>
        <xdr:cNvPr id="26" name="Imagen 25">
          <a:extLst>
            <a:ext uri="{FF2B5EF4-FFF2-40B4-BE49-F238E27FC236}">
              <a16:creationId xmlns:a16="http://schemas.microsoft.com/office/drawing/2014/main" id="{00000000-0008-0000-1700-00001A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9825" b="93333" l="9709" r="90291">
                      <a14:foregroundMark x1="52104" y1="37895" x2="52104" y2="37895"/>
                      <a14:foregroundMark x1="49191" y1="37544" x2="54369" y2="37895"/>
                      <a14:foregroundMark x1="21359" y1="86667" x2="21359" y2="86667"/>
                      <a14:foregroundMark x1="22006" y1="89825" x2="20065" y2="84912"/>
                      <a14:foregroundMark x1="20065" y1="93684" x2="20065" y2="93684"/>
                      <a14:foregroundMark x1="77670" y1="92982" x2="78533" y2="90925"/>
                      <a14:foregroundMark x1="79935" y1="90526" x2="78964" y2="89825"/>
                      <a14:foregroundMark x1="72492" y1="90526" x2="70550" y2="90877"/>
                      <a14:foregroundMark x1="77023" y1="89825" x2="77023" y2="89825"/>
                      <a14:foregroundMark x1="77023" y1="90526" x2="77023" y2="90526"/>
                      <a14:foregroundMark x1="77023" y1="89123" x2="77023" y2="89123"/>
                      <a14:foregroundMark x1="77023" y1="90877" x2="77023" y2="90877"/>
                      <a14:foregroundMark x1="77023" y1="90877" x2="77023" y2="90877"/>
                      <a14:foregroundMark x1="77023" y1="90877" x2="77023" y2="90877"/>
                      <a14:foregroundMark x1="77023" y1="90877" x2="77023" y2="90877"/>
                      <a14:foregroundMark x1="76699" y1="90526" x2="76699" y2="90526"/>
                      <a14:foregroundMark x1="76699" y1="90526" x2="76699" y2="90526"/>
                      <a14:foregroundMark x1="73008" y1="90526" x2="72816" y2="90877"/>
                      <a14:foregroundMark x1="73583" y1="89474" x2="73008" y2="90526"/>
                      <a14:foregroundMark x1="75309" y1="86316" x2="73583" y2="89474"/>
                      <a14:foregroundMark x1="75501" y1="85965" x2="75309" y2="86316"/>
                      <a14:foregroundMark x1="75885" y1="85263" x2="75501" y2="85965"/>
                      <a14:foregroundMark x1="83172" y1="71930" x2="75885" y2="85263"/>
                      <a14:foregroundMark x1="72816" y1="90877" x2="77346" y2="90526"/>
                      <a14:foregroundMark x1="83172" y1="71579" x2="83172" y2="71579"/>
                      <a14:foregroundMark x1="82848" y1="71579" x2="81877" y2="70877"/>
                      <a14:foregroundMark x1="80259" y1="69123" x2="82848" y2="72632"/>
                      <a14:foregroundMark x1="90291" y1="68421" x2="90291" y2="68421"/>
                      <a14:backgroundMark x1="15858" y1="20702" x2="15858" y2="20702"/>
                      <a14:backgroundMark x1="15534" y1="20000" x2="15534" y2="20000"/>
                      <a14:backgroundMark x1="15210" y1="20000" x2="15210" y2="20000"/>
                      <a14:backgroundMark x1="75728" y1="94035" x2="75754" y2="93361"/>
                      <a14:backgroundMark x1="76375" y1="85965" x2="76375" y2="85965"/>
                      <a14:backgroundMark x1="76375" y1="85263" x2="76375" y2="85263"/>
                      <a14:backgroundMark x1="76375" y1="89474" x2="76375" y2="89474"/>
                      <a14:backgroundMark x1="76375" y1="90526" x2="76375" y2="90526"/>
                      <a14:backgroundMark x1="75728" y1="86316" x2="75728" y2="86316"/>
                      <a14:backgroundMark x1="44660" y1="20702" x2="74110" y2="21404"/>
                      <a14:backgroundMark x1="32039" y1="16842" x2="14239" y2="20702"/>
                    </a14:backgroundRemoval>
                  </a14:imgEffect>
                </a14:imgLayer>
              </a14:imgProps>
            </a:ext>
          </a:extLst>
        </a:blip>
        <a:stretch>
          <a:fillRect/>
        </a:stretch>
      </xdr:blipFill>
      <xdr:spPr>
        <a:xfrm>
          <a:off x="5704867" y="4184920"/>
          <a:ext cx="1230198" cy="888009"/>
        </a:xfrm>
        <a:prstGeom prst="rect">
          <a:avLst/>
        </a:prstGeom>
      </xdr:spPr>
    </xdr:pic>
    <xdr:clientData/>
  </xdr:twoCellAnchor>
  <xdr:twoCellAnchor editAs="oneCell">
    <xdr:from>
      <xdr:col>5</xdr:col>
      <xdr:colOff>0</xdr:colOff>
      <xdr:row>13</xdr:row>
      <xdr:rowOff>0</xdr:rowOff>
    </xdr:from>
    <xdr:to>
      <xdr:col>6</xdr:col>
      <xdr:colOff>4108</xdr:colOff>
      <xdr:row>14</xdr:row>
      <xdr:rowOff>6439</xdr:rowOff>
    </xdr:to>
    <xdr:pic>
      <xdr:nvPicPr>
        <xdr:cNvPr id="27" name="Imagen 26">
          <a:extLst>
            <a:ext uri="{FF2B5EF4-FFF2-40B4-BE49-F238E27FC236}">
              <a16:creationId xmlns:a16="http://schemas.microsoft.com/office/drawing/2014/main" id="{00000000-0008-0000-1700-00001B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9825" b="93333" l="9709" r="90291">
                      <a14:foregroundMark x1="52104" y1="37895" x2="52104" y2="37895"/>
                      <a14:foregroundMark x1="49191" y1="37544" x2="54369" y2="37895"/>
                      <a14:foregroundMark x1="21359" y1="86667" x2="21359" y2="86667"/>
                      <a14:foregroundMark x1="22006" y1="89825" x2="20065" y2="84912"/>
                      <a14:foregroundMark x1="20065" y1="93684" x2="20065" y2="93684"/>
                      <a14:foregroundMark x1="77670" y1="92982" x2="78533" y2="90925"/>
                      <a14:foregroundMark x1="79935" y1="90526" x2="78964" y2="89825"/>
                      <a14:foregroundMark x1="72492" y1="90526" x2="70550" y2="90877"/>
                      <a14:foregroundMark x1="77023" y1="89825" x2="77023" y2="89825"/>
                      <a14:foregroundMark x1="77023" y1="90526" x2="77023" y2="90526"/>
                      <a14:foregroundMark x1="77023" y1="89123" x2="77023" y2="89123"/>
                      <a14:foregroundMark x1="77023" y1="90877" x2="77023" y2="90877"/>
                      <a14:foregroundMark x1="77023" y1="90877" x2="77023" y2="90877"/>
                      <a14:foregroundMark x1="77023" y1="90877" x2="77023" y2="90877"/>
                      <a14:foregroundMark x1="77023" y1="90877" x2="77023" y2="90877"/>
                      <a14:foregroundMark x1="76699" y1="90526" x2="76699" y2="90526"/>
                      <a14:foregroundMark x1="76699" y1="90526" x2="76699" y2="90526"/>
                      <a14:foregroundMark x1="73008" y1="90526" x2="72816" y2="90877"/>
                      <a14:foregroundMark x1="73583" y1="89474" x2="73008" y2="90526"/>
                      <a14:foregroundMark x1="75309" y1="86316" x2="73583" y2="89474"/>
                      <a14:foregroundMark x1="75501" y1="85965" x2="75309" y2="86316"/>
                      <a14:foregroundMark x1="75885" y1="85263" x2="75501" y2="85965"/>
                      <a14:foregroundMark x1="83172" y1="71930" x2="75885" y2="85263"/>
                      <a14:foregroundMark x1="72816" y1="90877" x2="77346" y2="90526"/>
                      <a14:foregroundMark x1="83172" y1="71579" x2="83172" y2="71579"/>
                      <a14:foregroundMark x1="82848" y1="71579" x2="81877" y2="70877"/>
                      <a14:foregroundMark x1="80259" y1="69123" x2="82848" y2="72632"/>
                      <a14:foregroundMark x1="90291" y1="68421" x2="90291" y2="68421"/>
                      <a14:backgroundMark x1="15858" y1="20702" x2="15858" y2="20702"/>
                      <a14:backgroundMark x1="15534" y1="20000" x2="15534" y2="20000"/>
                      <a14:backgroundMark x1="15210" y1="20000" x2="15210" y2="20000"/>
                      <a14:backgroundMark x1="75728" y1="94035" x2="75754" y2="93361"/>
                      <a14:backgroundMark x1="76375" y1="85965" x2="76375" y2="85965"/>
                      <a14:backgroundMark x1="76375" y1="85263" x2="76375" y2="85263"/>
                      <a14:backgroundMark x1="76375" y1="89474" x2="76375" y2="89474"/>
                      <a14:backgroundMark x1="76375" y1="90526" x2="76375" y2="90526"/>
                      <a14:backgroundMark x1="75728" y1="86316" x2="75728" y2="86316"/>
                      <a14:backgroundMark x1="44660" y1="20702" x2="74110" y2="21404"/>
                      <a14:backgroundMark x1="32039" y1="16842" x2="14239" y2="20702"/>
                    </a14:backgroundRemoval>
                  </a14:imgEffect>
                </a14:imgLayer>
              </a14:imgProps>
            </a:ext>
          </a:extLst>
        </a:blip>
        <a:stretch>
          <a:fillRect/>
        </a:stretch>
      </xdr:blipFill>
      <xdr:spPr>
        <a:xfrm>
          <a:off x="5695561" y="5977423"/>
          <a:ext cx="1228751" cy="890904"/>
        </a:xfrm>
        <a:prstGeom prst="rect">
          <a:avLst/>
        </a:prstGeom>
      </xdr:spPr>
    </xdr:pic>
    <xdr:clientData/>
  </xdr:twoCellAnchor>
  <xdr:twoCellAnchor editAs="oneCell">
    <xdr:from>
      <xdr:col>5</xdr:col>
      <xdr:colOff>0</xdr:colOff>
      <xdr:row>14</xdr:row>
      <xdr:rowOff>0</xdr:rowOff>
    </xdr:from>
    <xdr:to>
      <xdr:col>6</xdr:col>
      <xdr:colOff>4108</xdr:colOff>
      <xdr:row>15</xdr:row>
      <xdr:rowOff>6440</xdr:rowOff>
    </xdr:to>
    <xdr:pic>
      <xdr:nvPicPr>
        <xdr:cNvPr id="28" name="Imagen 27">
          <a:extLst>
            <a:ext uri="{FF2B5EF4-FFF2-40B4-BE49-F238E27FC236}">
              <a16:creationId xmlns:a16="http://schemas.microsoft.com/office/drawing/2014/main" id="{00000000-0008-0000-1700-00001C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9825" b="93333" l="9709" r="90291">
                      <a14:foregroundMark x1="52104" y1="37895" x2="52104" y2="37895"/>
                      <a14:foregroundMark x1="49191" y1="37544" x2="54369" y2="37895"/>
                      <a14:foregroundMark x1="21359" y1="86667" x2="21359" y2="86667"/>
                      <a14:foregroundMark x1="22006" y1="89825" x2="20065" y2="84912"/>
                      <a14:foregroundMark x1="20065" y1="93684" x2="20065" y2="93684"/>
                      <a14:foregroundMark x1="77670" y1="92982" x2="78533" y2="90925"/>
                      <a14:foregroundMark x1="79935" y1="90526" x2="78964" y2="89825"/>
                      <a14:foregroundMark x1="72492" y1="90526" x2="70550" y2="90877"/>
                      <a14:foregroundMark x1="77023" y1="89825" x2="77023" y2="89825"/>
                      <a14:foregroundMark x1="77023" y1="90526" x2="77023" y2="90526"/>
                      <a14:foregroundMark x1="77023" y1="89123" x2="77023" y2="89123"/>
                      <a14:foregroundMark x1="77023" y1="90877" x2="77023" y2="90877"/>
                      <a14:foregroundMark x1="77023" y1="90877" x2="77023" y2="90877"/>
                      <a14:foregroundMark x1="77023" y1="90877" x2="77023" y2="90877"/>
                      <a14:foregroundMark x1="77023" y1="90877" x2="77023" y2="90877"/>
                      <a14:foregroundMark x1="76699" y1="90526" x2="76699" y2="90526"/>
                      <a14:foregroundMark x1="76699" y1="90526" x2="76699" y2="90526"/>
                      <a14:foregroundMark x1="73008" y1="90526" x2="72816" y2="90877"/>
                      <a14:foregroundMark x1="73583" y1="89474" x2="73008" y2="90526"/>
                      <a14:foregroundMark x1="75309" y1="86316" x2="73583" y2="89474"/>
                      <a14:foregroundMark x1="75501" y1="85965" x2="75309" y2="86316"/>
                      <a14:foregroundMark x1="75885" y1="85263" x2="75501" y2="85965"/>
                      <a14:foregroundMark x1="83172" y1="71930" x2="75885" y2="85263"/>
                      <a14:foregroundMark x1="72816" y1="90877" x2="77346" y2="90526"/>
                      <a14:foregroundMark x1="83172" y1="71579" x2="83172" y2="71579"/>
                      <a14:foregroundMark x1="82848" y1="71579" x2="81877" y2="70877"/>
                      <a14:foregroundMark x1="80259" y1="69123" x2="82848" y2="72632"/>
                      <a14:foregroundMark x1="90291" y1="68421" x2="90291" y2="68421"/>
                      <a14:backgroundMark x1="15858" y1="20702" x2="15858" y2="20702"/>
                      <a14:backgroundMark x1="15534" y1="20000" x2="15534" y2="20000"/>
                      <a14:backgroundMark x1="15210" y1="20000" x2="15210" y2="20000"/>
                      <a14:backgroundMark x1="75728" y1="94035" x2="75754" y2="93361"/>
                      <a14:backgroundMark x1="76375" y1="85965" x2="76375" y2="85965"/>
                      <a14:backgroundMark x1="76375" y1="85263" x2="76375" y2="85263"/>
                      <a14:backgroundMark x1="76375" y1="89474" x2="76375" y2="89474"/>
                      <a14:backgroundMark x1="76375" y1="90526" x2="76375" y2="90526"/>
                      <a14:backgroundMark x1="75728" y1="86316" x2="75728" y2="86316"/>
                      <a14:backgroundMark x1="44660" y1="20702" x2="74110" y2="21404"/>
                      <a14:backgroundMark x1="32039" y1="16842" x2="14239" y2="20702"/>
                    </a14:backgroundRemoval>
                  </a14:imgEffect>
                </a14:imgLayer>
              </a14:imgProps>
            </a:ext>
          </a:extLst>
        </a:blip>
        <a:stretch>
          <a:fillRect/>
        </a:stretch>
      </xdr:blipFill>
      <xdr:spPr>
        <a:xfrm>
          <a:off x="5695561" y="6861888"/>
          <a:ext cx="1228751" cy="890904"/>
        </a:xfrm>
        <a:prstGeom prst="rect">
          <a:avLst/>
        </a:prstGeom>
      </xdr:spPr>
    </xdr:pic>
    <xdr:clientData/>
  </xdr:twoCellAnchor>
  <xdr:twoCellAnchor editAs="oneCell">
    <xdr:from>
      <xdr:col>5</xdr:col>
      <xdr:colOff>0</xdr:colOff>
      <xdr:row>15</xdr:row>
      <xdr:rowOff>0</xdr:rowOff>
    </xdr:from>
    <xdr:to>
      <xdr:col>6</xdr:col>
      <xdr:colOff>4108</xdr:colOff>
      <xdr:row>16</xdr:row>
      <xdr:rowOff>6440</xdr:rowOff>
    </xdr:to>
    <xdr:pic>
      <xdr:nvPicPr>
        <xdr:cNvPr id="30" name="Imagen 29">
          <a:extLst>
            <a:ext uri="{FF2B5EF4-FFF2-40B4-BE49-F238E27FC236}">
              <a16:creationId xmlns:a16="http://schemas.microsoft.com/office/drawing/2014/main" id="{00000000-0008-0000-1700-00001E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9825" b="93333" l="9709" r="90291">
                      <a14:foregroundMark x1="52104" y1="37895" x2="52104" y2="37895"/>
                      <a14:foregroundMark x1="49191" y1="37544" x2="54369" y2="37895"/>
                      <a14:foregroundMark x1="21359" y1="86667" x2="21359" y2="86667"/>
                      <a14:foregroundMark x1="22006" y1="89825" x2="20065" y2="84912"/>
                      <a14:foregroundMark x1="20065" y1="93684" x2="20065" y2="93684"/>
                      <a14:foregroundMark x1="77670" y1="92982" x2="78533" y2="90925"/>
                      <a14:foregroundMark x1="79935" y1="90526" x2="78964" y2="89825"/>
                      <a14:foregroundMark x1="72492" y1="90526" x2="70550" y2="90877"/>
                      <a14:foregroundMark x1="77023" y1="89825" x2="77023" y2="89825"/>
                      <a14:foregroundMark x1="77023" y1="90526" x2="77023" y2="90526"/>
                      <a14:foregroundMark x1="77023" y1="89123" x2="77023" y2="89123"/>
                      <a14:foregroundMark x1="77023" y1="90877" x2="77023" y2="90877"/>
                      <a14:foregroundMark x1="77023" y1="90877" x2="77023" y2="90877"/>
                      <a14:foregroundMark x1="77023" y1="90877" x2="77023" y2="90877"/>
                      <a14:foregroundMark x1="77023" y1="90877" x2="77023" y2="90877"/>
                      <a14:foregroundMark x1="76699" y1="90526" x2="76699" y2="90526"/>
                      <a14:foregroundMark x1="76699" y1="90526" x2="76699" y2="90526"/>
                      <a14:foregroundMark x1="73008" y1="90526" x2="72816" y2="90877"/>
                      <a14:foregroundMark x1="73583" y1="89474" x2="73008" y2="90526"/>
                      <a14:foregroundMark x1="75309" y1="86316" x2="73583" y2="89474"/>
                      <a14:foregroundMark x1="75501" y1="85965" x2="75309" y2="86316"/>
                      <a14:foregroundMark x1="75885" y1="85263" x2="75501" y2="85965"/>
                      <a14:foregroundMark x1="83172" y1="71930" x2="75885" y2="85263"/>
                      <a14:foregroundMark x1="72816" y1="90877" x2="77346" y2="90526"/>
                      <a14:foregroundMark x1="83172" y1="71579" x2="83172" y2="71579"/>
                      <a14:foregroundMark x1="82848" y1="71579" x2="81877" y2="70877"/>
                      <a14:foregroundMark x1="80259" y1="69123" x2="82848" y2="72632"/>
                      <a14:foregroundMark x1="90291" y1="68421" x2="90291" y2="68421"/>
                      <a14:backgroundMark x1="15858" y1="20702" x2="15858" y2="20702"/>
                      <a14:backgroundMark x1="15534" y1="20000" x2="15534" y2="20000"/>
                      <a14:backgroundMark x1="15210" y1="20000" x2="15210" y2="20000"/>
                      <a14:backgroundMark x1="75728" y1="94035" x2="75754" y2="93361"/>
                      <a14:backgroundMark x1="76375" y1="85965" x2="76375" y2="85965"/>
                      <a14:backgroundMark x1="76375" y1="85263" x2="76375" y2="85263"/>
                      <a14:backgroundMark x1="76375" y1="89474" x2="76375" y2="89474"/>
                      <a14:backgroundMark x1="76375" y1="90526" x2="76375" y2="90526"/>
                      <a14:backgroundMark x1="75728" y1="86316" x2="75728" y2="86316"/>
                      <a14:backgroundMark x1="44660" y1="20702" x2="74110" y2="21404"/>
                      <a14:backgroundMark x1="32039" y1="16842" x2="14239" y2="20702"/>
                    </a14:backgroundRemoval>
                  </a14:imgEffect>
                </a14:imgLayer>
              </a14:imgProps>
            </a:ext>
          </a:extLst>
        </a:blip>
        <a:stretch>
          <a:fillRect/>
        </a:stretch>
      </xdr:blipFill>
      <xdr:spPr>
        <a:xfrm>
          <a:off x="5695561" y="7746352"/>
          <a:ext cx="1228751" cy="890904"/>
        </a:xfrm>
        <a:prstGeom prst="rect">
          <a:avLst/>
        </a:prstGeom>
      </xdr:spPr>
    </xdr:pic>
    <xdr:clientData/>
  </xdr:twoCellAnchor>
  <xdr:twoCellAnchor editAs="oneCell">
    <xdr:from>
      <xdr:col>5</xdr:col>
      <xdr:colOff>0</xdr:colOff>
      <xdr:row>16</xdr:row>
      <xdr:rowOff>0</xdr:rowOff>
    </xdr:from>
    <xdr:to>
      <xdr:col>6</xdr:col>
      <xdr:colOff>4108</xdr:colOff>
      <xdr:row>17</xdr:row>
      <xdr:rowOff>6439</xdr:rowOff>
    </xdr:to>
    <xdr:pic>
      <xdr:nvPicPr>
        <xdr:cNvPr id="31" name="Imagen 30">
          <a:extLst>
            <a:ext uri="{FF2B5EF4-FFF2-40B4-BE49-F238E27FC236}">
              <a16:creationId xmlns:a16="http://schemas.microsoft.com/office/drawing/2014/main" id="{00000000-0008-0000-1700-00001F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9825" b="93333" l="9709" r="90291">
                      <a14:foregroundMark x1="52104" y1="37895" x2="52104" y2="37895"/>
                      <a14:foregroundMark x1="49191" y1="37544" x2="54369" y2="37895"/>
                      <a14:foregroundMark x1="21359" y1="86667" x2="21359" y2="86667"/>
                      <a14:foregroundMark x1="22006" y1="89825" x2="20065" y2="84912"/>
                      <a14:foregroundMark x1="20065" y1="93684" x2="20065" y2="93684"/>
                      <a14:foregroundMark x1="77670" y1="92982" x2="78533" y2="90925"/>
                      <a14:foregroundMark x1="79935" y1="90526" x2="78964" y2="89825"/>
                      <a14:foregroundMark x1="72492" y1="90526" x2="70550" y2="90877"/>
                      <a14:foregroundMark x1="77023" y1="89825" x2="77023" y2="89825"/>
                      <a14:foregroundMark x1="77023" y1="90526" x2="77023" y2="90526"/>
                      <a14:foregroundMark x1="77023" y1="89123" x2="77023" y2="89123"/>
                      <a14:foregroundMark x1="77023" y1="90877" x2="77023" y2="90877"/>
                      <a14:foregroundMark x1="77023" y1="90877" x2="77023" y2="90877"/>
                      <a14:foregroundMark x1="77023" y1="90877" x2="77023" y2="90877"/>
                      <a14:foregroundMark x1="77023" y1="90877" x2="77023" y2="90877"/>
                      <a14:foregroundMark x1="76699" y1="90526" x2="76699" y2="90526"/>
                      <a14:foregroundMark x1="76699" y1="90526" x2="76699" y2="90526"/>
                      <a14:foregroundMark x1="73008" y1="90526" x2="72816" y2="90877"/>
                      <a14:foregroundMark x1="73583" y1="89474" x2="73008" y2="90526"/>
                      <a14:foregroundMark x1="75309" y1="86316" x2="73583" y2="89474"/>
                      <a14:foregroundMark x1="75501" y1="85965" x2="75309" y2="86316"/>
                      <a14:foregroundMark x1="75885" y1="85263" x2="75501" y2="85965"/>
                      <a14:foregroundMark x1="83172" y1="71930" x2="75885" y2="85263"/>
                      <a14:foregroundMark x1="72816" y1="90877" x2="77346" y2="90526"/>
                      <a14:foregroundMark x1="83172" y1="71579" x2="83172" y2="71579"/>
                      <a14:foregroundMark x1="82848" y1="71579" x2="81877" y2="70877"/>
                      <a14:foregroundMark x1="80259" y1="69123" x2="82848" y2="72632"/>
                      <a14:foregroundMark x1="90291" y1="68421" x2="90291" y2="68421"/>
                      <a14:backgroundMark x1="15858" y1="20702" x2="15858" y2="20702"/>
                      <a14:backgroundMark x1="15534" y1="20000" x2="15534" y2="20000"/>
                      <a14:backgroundMark x1="15210" y1="20000" x2="15210" y2="20000"/>
                      <a14:backgroundMark x1="75728" y1="94035" x2="75754" y2="93361"/>
                      <a14:backgroundMark x1="76375" y1="85965" x2="76375" y2="85965"/>
                      <a14:backgroundMark x1="76375" y1="85263" x2="76375" y2="85263"/>
                      <a14:backgroundMark x1="76375" y1="89474" x2="76375" y2="89474"/>
                      <a14:backgroundMark x1="76375" y1="90526" x2="76375" y2="90526"/>
                      <a14:backgroundMark x1="75728" y1="86316" x2="75728" y2="86316"/>
                      <a14:backgroundMark x1="44660" y1="20702" x2="74110" y2="21404"/>
                      <a14:backgroundMark x1="32039" y1="16842" x2="14239" y2="20702"/>
                    </a14:backgroundRemoval>
                  </a14:imgEffect>
                </a14:imgLayer>
              </a14:imgProps>
            </a:ext>
          </a:extLst>
        </a:blip>
        <a:stretch>
          <a:fillRect/>
        </a:stretch>
      </xdr:blipFill>
      <xdr:spPr>
        <a:xfrm>
          <a:off x="5695561" y="8630816"/>
          <a:ext cx="1228751" cy="890904"/>
        </a:xfrm>
        <a:prstGeom prst="rect">
          <a:avLst/>
        </a:prstGeom>
      </xdr:spPr>
    </xdr:pic>
    <xdr:clientData/>
  </xdr:twoCellAnchor>
  <xdr:twoCellAnchor editAs="oneCell">
    <xdr:from>
      <xdr:col>2</xdr:col>
      <xdr:colOff>0</xdr:colOff>
      <xdr:row>10</xdr:row>
      <xdr:rowOff>0</xdr:rowOff>
    </xdr:from>
    <xdr:to>
      <xdr:col>3</xdr:col>
      <xdr:colOff>248</xdr:colOff>
      <xdr:row>11</xdr:row>
      <xdr:rowOff>164</xdr:rowOff>
    </xdr:to>
    <xdr:pic>
      <xdr:nvPicPr>
        <xdr:cNvPr id="35" name="Imagen 34">
          <a:extLst>
            <a:ext uri="{FF2B5EF4-FFF2-40B4-BE49-F238E27FC236}">
              <a16:creationId xmlns:a16="http://schemas.microsoft.com/office/drawing/2014/main" id="{00000000-0008-0000-1700-000023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9901" b="91089" l="4422" r="90986">
                      <a14:foregroundMark x1="6117" y1="42079" x2="4422" y2="30693"/>
                      <a14:foregroundMark x1="6264" y1="43069" x2="6117" y2="42079"/>
                      <a14:foregroundMark x1="6351" y1="43653" x2="6264" y2="43069"/>
                      <a14:foregroundMark x1="8844" y1="60396" x2="8725" y2="59593"/>
                      <a14:foregroundMark x1="71939" y1="91089" x2="71939" y2="91089"/>
                      <a14:foregroundMark x1="72789" y1="83663" x2="72789" y2="83663"/>
                      <a14:foregroundMark x1="82143" y1="91584" x2="82143" y2="91584"/>
                      <a14:foregroundMark x1="90986" y1="67327" x2="90986" y2="67327"/>
                      <a14:foregroundMark x1="52992" y1="74752" x2="53302" y2="74940"/>
                      <a14:foregroundMark x1="52176" y1="74257" x2="52992" y2="74752"/>
                      <a14:foregroundMark x1="51360" y1="73762" x2="52176" y2="74257"/>
                      <a14:foregroundMark x1="50544" y1="73267" x2="51360" y2="73762"/>
                      <a14:foregroundMark x1="47279" y1="71287" x2="50544" y2="73267"/>
                      <a14:foregroundMark x1="72279" y1="79208" x2="72449" y2="86139"/>
                      <a14:backgroundMark x1="6463" y1="43564" x2="7653" y2="55941"/>
                      <a14:backgroundMark x1="7653" y1="55941" x2="9524" y2="55941"/>
                      <a14:backgroundMark x1="7653" y1="51485" x2="7483" y2="42574"/>
                      <a14:backgroundMark x1="6293" y1="42079" x2="6293" y2="42079"/>
                      <a14:backgroundMark x1="6293" y1="43069" x2="6293" y2="43069"/>
                      <a14:backgroundMark x1="33503" y1="75248" x2="33503" y2="75248"/>
                      <a14:backgroundMark x1="33503" y1="75248" x2="33503" y2="75248"/>
                      <a14:backgroundMark x1="33503" y1="75248" x2="33503" y2="75248"/>
                      <a14:backgroundMark x1="34014" y1="74257" x2="34014" y2="74257"/>
                      <a14:backgroundMark x1="33673" y1="73267" x2="33163" y2="77723"/>
                      <a14:backgroundMark x1="49320" y1="78218" x2="49320" y2="78218"/>
                      <a14:backgroundMark x1="53741" y1="77228" x2="53741" y2="77228"/>
                      <a14:backgroundMark x1="53401" y1="74752" x2="53401" y2="74752"/>
                      <a14:backgroundMark x1="53401" y1="74752" x2="53401" y2="74752"/>
                      <a14:backgroundMark x1="53401" y1="74752" x2="53401" y2="74752"/>
                      <a14:backgroundMark x1="53401" y1="74752" x2="53401" y2="74752"/>
                      <a14:backgroundMark x1="53401" y1="74752" x2="53912" y2="76733"/>
                      <a14:backgroundMark x1="54592" y1="78713" x2="54592" y2="75248"/>
                      <a14:backgroundMark x1="55102" y1="75743" x2="53231" y2="73762"/>
                      <a14:backgroundMark x1="52551" y1="73762" x2="52551" y2="73762"/>
                      <a14:backgroundMark x1="52551" y1="73762" x2="52551" y2="73762"/>
                      <a14:backgroundMark x1="52551" y1="74752" x2="52551" y2="74752"/>
                      <a14:backgroundMark x1="52551" y1="74752" x2="52551" y2="74752"/>
                      <a14:backgroundMark x1="53061" y1="75248" x2="53061" y2="75248"/>
                      <a14:backgroundMark x1="53061" y1="75248" x2="53061" y2="75248"/>
                      <a14:backgroundMark x1="52891" y1="74257" x2="52891" y2="74257"/>
                      <a14:backgroundMark x1="52891" y1="74257" x2="52891" y2="74257"/>
                      <a14:backgroundMark x1="52041" y1="73762" x2="52041" y2="73762"/>
                      <a14:backgroundMark x1="52041" y1="73762" x2="52041" y2="73762"/>
                      <a14:backgroundMark x1="55442" y1="75743" x2="55442" y2="75743"/>
                      <a14:backgroundMark x1="54762" y1="76238" x2="54762" y2="76238"/>
                      <a14:backgroundMark x1="50680" y1="73762" x2="50680" y2="73762"/>
                      <a14:backgroundMark x1="50680" y1="73267" x2="50680" y2="73267"/>
                      <a14:backgroundMark x1="50000" y1="73267" x2="50000" y2="73267"/>
                      <a14:backgroundMark x1="50850" y1="73267" x2="50850" y2="73267"/>
                      <a14:backgroundMark x1="49490" y1="73267" x2="49490" y2="73267"/>
                      <a14:backgroundMark x1="52041" y1="74257" x2="52041" y2="74257"/>
                    </a14:backgroundRemoval>
                  </a14:imgEffect>
                </a14:imgLayer>
              </a14:imgProps>
            </a:ext>
          </a:extLst>
        </a:blip>
        <a:stretch>
          <a:fillRect/>
        </a:stretch>
      </xdr:blipFill>
      <xdr:spPr>
        <a:xfrm>
          <a:off x="2060510" y="3324031"/>
          <a:ext cx="1574789" cy="884628"/>
        </a:xfrm>
        <a:prstGeom prst="rect">
          <a:avLst/>
        </a:prstGeom>
      </xdr:spPr>
    </xdr:pic>
    <xdr:clientData/>
  </xdr:twoCellAnchor>
  <xdr:twoCellAnchor editAs="oneCell">
    <xdr:from>
      <xdr:col>2</xdr:col>
      <xdr:colOff>0</xdr:colOff>
      <xdr:row>11</xdr:row>
      <xdr:rowOff>0</xdr:rowOff>
    </xdr:from>
    <xdr:to>
      <xdr:col>3</xdr:col>
      <xdr:colOff>248</xdr:colOff>
      <xdr:row>12</xdr:row>
      <xdr:rowOff>271</xdr:rowOff>
    </xdr:to>
    <xdr:pic>
      <xdr:nvPicPr>
        <xdr:cNvPr id="37" name="Imagen 36">
          <a:extLst>
            <a:ext uri="{FF2B5EF4-FFF2-40B4-BE49-F238E27FC236}">
              <a16:creationId xmlns:a16="http://schemas.microsoft.com/office/drawing/2014/main" id="{00000000-0008-0000-1700-000025000000}"/>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backgroundRemoval t="9360" b="92611" l="3583" r="91900">
                      <a14:foregroundMark x1="5537" y1="40394" x2="3894" y2="32020"/>
                      <a14:foregroundMark x1="5634" y1="40887" x2="5537" y2="40394"/>
                      <a14:foregroundMark x1="5827" y1="41872" x2="5634" y2="40887"/>
                      <a14:foregroundMark x1="6020" y1="42857" x2="5827" y2="41872"/>
                      <a14:foregroundMark x1="6122" y1="43375" x2="6020" y2="42857"/>
                      <a14:foregroundMark x1="7283" y1="49286" x2="7110" y2="48403"/>
                      <a14:foregroundMark x1="9502" y1="60591" x2="9325" y2="59691"/>
                      <a14:foregroundMark x1="66355" y1="79310" x2="65576" y2="91626"/>
                      <a14:foregroundMark x1="73364" y1="91626" x2="74143" y2="88670"/>
                      <a14:foregroundMark x1="82399" y1="92611" x2="82866" y2="89163"/>
                      <a14:foregroundMark x1="90810" y1="67488" x2="91900" y2="60591"/>
                      <a14:backgroundMark x1="8100" y1="52709" x2="6854" y2="53695"/>
                      <a14:backgroundMark x1="8723" y1="52709" x2="7632" y2="43842"/>
                      <a14:backgroundMark x1="5919" y1="47783" x2="5919" y2="47783"/>
                      <a14:backgroundMark x1="6386" y1="45813" x2="6386" y2="45813"/>
                      <a14:backgroundMark x1="5919" y1="43842" x2="5919" y2="43842"/>
                      <a14:backgroundMark x1="5919" y1="43842" x2="5919" y2="43842"/>
                      <a14:backgroundMark x1="5919" y1="43842" x2="7165" y2="48276"/>
                      <a14:backgroundMark x1="7321" y1="48768" x2="7321" y2="40887"/>
                      <a14:backgroundMark x1="5763" y1="41872" x2="5763" y2="41872"/>
                      <a14:backgroundMark x1="5919" y1="41872" x2="5919" y2="41872"/>
                      <a14:backgroundMark x1="5919" y1="40887" x2="5919" y2="40887"/>
                      <a14:backgroundMark x1="7477" y1="49754" x2="7477" y2="49754"/>
                      <a14:backgroundMark x1="7165" y1="49754" x2="7165" y2="49754"/>
                      <a14:backgroundMark x1="6231" y1="42857" x2="6231" y2="42857"/>
                      <a14:backgroundMark x1="6231" y1="43350" x2="6231" y2="43350"/>
                      <a14:backgroundMark x1="5919" y1="40394" x2="5919" y2="40394"/>
                      <a14:backgroundMark x1="30841" y1="74384" x2="30841" y2="74384"/>
                      <a14:backgroundMark x1="27882" y1="79310" x2="27882" y2="79310"/>
                      <a14:backgroundMark x1="27882" y1="79310" x2="27882" y2="79310"/>
                      <a14:backgroundMark x1="69315" y1="74877" x2="69315" y2="74877"/>
                      <a14:backgroundMark x1="69315" y1="74877" x2="69315" y2="74877"/>
                    </a14:backgroundRemoval>
                  </a14:imgEffect>
                </a14:imgLayer>
              </a14:imgProps>
            </a:ext>
            <a:ext uri="{28A0092B-C50C-407E-A947-70E740481C1C}">
              <a14:useLocalDpi xmlns:a14="http://schemas.microsoft.com/office/drawing/2010/main" val="0"/>
            </a:ext>
          </a:extLst>
        </a:blip>
        <a:stretch>
          <a:fillRect/>
        </a:stretch>
      </xdr:blipFill>
      <xdr:spPr>
        <a:xfrm>
          <a:off x="2060510" y="4208495"/>
          <a:ext cx="1574789" cy="884735"/>
        </a:xfrm>
        <a:prstGeom prst="rect">
          <a:avLst/>
        </a:prstGeom>
      </xdr:spPr>
    </xdr:pic>
    <xdr:clientData/>
  </xdr:twoCellAnchor>
  <xdr:twoCellAnchor editAs="oneCell">
    <xdr:from>
      <xdr:col>2</xdr:col>
      <xdr:colOff>0</xdr:colOff>
      <xdr:row>13</xdr:row>
      <xdr:rowOff>0</xdr:rowOff>
    </xdr:from>
    <xdr:to>
      <xdr:col>3</xdr:col>
      <xdr:colOff>248</xdr:colOff>
      <xdr:row>14</xdr:row>
      <xdr:rowOff>163</xdr:rowOff>
    </xdr:to>
    <xdr:pic>
      <xdr:nvPicPr>
        <xdr:cNvPr id="38" name="Imagen 37">
          <a:extLst>
            <a:ext uri="{FF2B5EF4-FFF2-40B4-BE49-F238E27FC236}">
              <a16:creationId xmlns:a16="http://schemas.microsoft.com/office/drawing/2014/main" id="{00000000-0008-0000-1700-000026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9901" b="91089" l="4422" r="90986">
                      <a14:foregroundMark x1="6117" y1="42079" x2="4422" y2="30693"/>
                      <a14:foregroundMark x1="6264" y1="43069" x2="6117" y2="42079"/>
                      <a14:foregroundMark x1="6351" y1="43653" x2="6264" y2="43069"/>
                      <a14:foregroundMark x1="8844" y1="60396" x2="8725" y2="59593"/>
                      <a14:foregroundMark x1="71939" y1="91089" x2="71939" y2="91089"/>
                      <a14:foregroundMark x1="72789" y1="83663" x2="72789" y2="83663"/>
                      <a14:foregroundMark x1="82143" y1="91584" x2="82143" y2="91584"/>
                      <a14:foregroundMark x1="90986" y1="67327" x2="90986" y2="67327"/>
                      <a14:foregroundMark x1="52992" y1="74752" x2="53302" y2="74940"/>
                      <a14:foregroundMark x1="52176" y1="74257" x2="52992" y2="74752"/>
                      <a14:foregroundMark x1="51360" y1="73762" x2="52176" y2="74257"/>
                      <a14:foregroundMark x1="50544" y1="73267" x2="51360" y2="73762"/>
                      <a14:foregroundMark x1="47279" y1="71287" x2="50544" y2="73267"/>
                      <a14:foregroundMark x1="72279" y1="79208" x2="72449" y2="86139"/>
                      <a14:backgroundMark x1="6463" y1="43564" x2="7653" y2="55941"/>
                      <a14:backgroundMark x1="7653" y1="55941" x2="9524" y2="55941"/>
                      <a14:backgroundMark x1="7653" y1="51485" x2="7483" y2="42574"/>
                      <a14:backgroundMark x1="6293" y1="42079" x2="6293" y2="42079"/>
                      <a14:backgroundMark x1="6293" y1="43069" x2="6293" y2="43069"/>
                      <a14:backgroundMark x1="33503" y1="75248" x2="33503" y2="75248"/>
                      <a14:backgroundMark x1="33503" y1="75248" x2="33503" y2="75248"/>
                      <a14:backgroundMark x1="33503" y1="75248" x2="33503" y2="75248"/>
                      <a14:backgroundMark x1="34014" y1="74257" x2="34014" y2="74257"/>
                      <a14:backgroundMark x1="33673" y1="73267" x2="33163" y2="77723"/>
                      <a14:backgroundMark x1="49320" y1="78218" x2="49320" y2="78218"/>
                      <a14:backgroundMark x1="53741" y1="77228" x2="53741" y2="77228"/>
                      <a14:backgroundMark x1="53401" y1="74752" x2="53401" y2="74752"/>
                      <a14:backgroundMark x1="53401" y1="74752" x2="53401" y2="74752"/>
                      <a14:backgroundMark x1="53401" y1="74752" x2="53401" y2="74752"/>
                      <a14:backgroundMark x1="53401" y1="74752" x2="53401" y2="74752"/>
                      <a14:backgroundMark x1="53401" y1="74752" x2="53912" y2="76733"/>
                      <a14:backgroundMark x1="54592" y1="78713" x2="54592" y2="75248"/>
                      <a14:backgroundMark x1="55102" y1="75743" x2="53231" y2="73762"/>
                      <a14:backgroundMark x1="52551" y1="73762" x2="52551" y2="73762"/>
                      <a14:backgroundMark x1="52551" y1="73762" x2="52551" y2="73762"/>
                      <a14:backgroundMark x1="52551" y1="74752" x2="52551" y2="74752"/>
                      <a14:backgroundMark x1="52551" y1="74752" x2="52551" y2="74752"/>
                      <a14:backgroundMark x1="53061" y1="75248" x2="53061" y2="75248"/>
                      <a14:backgroundMark x1="53061" y1="75248" x2="53061" y2="75248"/>
                      <a14:backgroundMark x1="52891" y1="74257" x2="52891" y2="74257"/>
                      <a14:backgroundMark x1="52891" y1="74257" x2="52891" y2="74257"/>
                      <a14:backgroundMark x1="52041" y1="73762" x2="52041" y2="73762"/>
                      <a14:backgroundMark x1="52041" y1="73762" x2="52041" y2="73762"/>
                      <a14:backgroundMark x1="55442" y1="75743" x2="55442" y2="75743"/>
                      <a14:backgroundMark x1="54762" y1="76238" x2="54762" y2="76238"/>
                      <a14:backgroundMark x1="50680" y1="73762" x2="50680" y2="73762"/>
                      <a14:backgroundMark x1="50680" y1="73267" x2="50680" y2="73267"/>
                      <a14:backgroundMark x1="50000" y1="73267" x2="50000" y2="73267"/>
                      <a14:backgroundMark x1="50850" y1="73267" x2="50850" y2="73267"/>
                      <a14:backgroundMark x1="49490" y1="73267" x2="49490" y2="73267"/>
                      <a14:backgroundMark x1="52041" y1="74257" x2="52041" y2="74257"/>
                    </a14:backgroundRemoval>
                  </a14:imgEffect>
                </a14:imgLayer>
              </a14:imgProps>
            </a:ext>
          </a:extLst>
        </a:blip>
        <a:stretch>
          <a:fillRect/>
        </a:stretch>
      </xdr:blipFill>
      <xdr:spPr>
        <a:xfrm>
          <a:off x="2060510" y="5977423"/>
          <a:ext cx="1574789" cy="884628"/>
        </a:xfrm>
        <a:prstGeom prst="rect">
          <a:avLst/>
        </a:prstGeom>
      </xdr:spPr>
    </xdr:pic>
    <xdr:clientData/>
  </xdr:twoCellAnchor>
  <xdr:twoCellAnchor editAs="oneCell">
    <xdr:from>
      <xdr:col>2</xdr:col>
      <xdr:colOff>0</xdr:colOff>
      <xdr:row>14</xdr:row>
      <xdr:rowOff>0</xdr:rowOff>
    </xdr:from>
    <xdr:to>
      <xdr:col>3</xdr:col>
      <xdr:colOff>248</xdr:colOff>
      <xdr:row>15</xdr:row>
      <xdr:rowOff>271</xdr:rowOff>
    </xdr:to>
    <xdr:pic>
      <xdr:nvPicPr>
        <xdr:cNvPr id="39" name="Imagen 38">
          <a:extLst>
            <a:ext uri="{FF2B5EF4-FFF2-40B4-BE49-F238E27FC236}">
              <a16:creationId xmlns:a16="http://schemas.microsoft.com/office/drawing/2014/main" id="{00000000-0008-0000-1700-000027000000}"/>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backgroundRemoval t="9360" b="92611" l="3583" r="91900">
                      <a14:foregroundMark x1="5537" y1="40394" x2="3894" y2="32020"/>
                      <a14:foregroundMark x1="5634" y1="40887" x2="5537" y2="40394"/>
                      <a14:foregroundMark x1="5827" y1="41872" x2="5634" y2="40887"/>
                      <a14:foregroundMark x1="6020" y1="42857" x2="5827" y2="41872"/>
                      <a14:foregroundMark x1="6122" y1="43375" x2="6020" y2="42857"/>
                      <a14:foregroundMark x1="7283" y1="49286" x2="7110" y2="48403"/>
                      <a14:foregroundMark x1="9502" y1="60591" x2="9325" y2="59691"/>
                      <a14:foregroundMark x1="66355" y1="79310" x2="65576" y2="91626"/>
                      <a14:foregroundMark x1="73364" y1="91626" x2="74143" y2="88670"/>
                      <a14:foregroundMark x1="82399" y1="92611" x2="82866" y2="89163"/>
                      <a14:foregroundMark x1="90810" y1="67488" x2="91900" y2="60591"/>
                      <a14:backgroundMark x1="8100" y1="52709" x2="6854" y2="53695"/>
                      <a14:backgroundMark x1="8723" y1="52709" x2="7632" y2="43842"/>
                      <a14:backgroundMark x1="5919" y1="47783" x2="5919" y2="47783"/>
                      <a14:backgroundMark x1="6386" y1="45813" x2="6386" y2="45813"/>
                      <a14:backgroundMark x1="5919" y1="43842" x2="5919" y2="43842"/>
                      <a14:backgroundMark x1="5919" y1="43842" x2="5919" y2="43842"/>
                      <a14:backgroundMark x1="5919" y1="43842" x2="7165" y2="48276"/>
                      <a14:backgroundMark x1="7321" y1="48768" x2="7321" y2="40887"/>
                      <a14:backgroundMark x1="5763" y1="41872" x2="5763" y2="41872"/>
                      <a14:backgroundMark x1="5919" y1="41872" x2="5919" y2="41872"/>
                      <a14:backgroundMark x1="5919" y1="40887" x2="5919" y2="40887"/>
                      <a14:backgroundMark x1="7477" y1="49754" x2="7477" y2="49754"/>
                      <a14:backgroundMark x1="7165" y1="49754" x2="7165" y2="49754"/>
                      <a14:backgroundMark x1="6231" y1="42857" x2="6231" y2="42857"/>
                      <a14:backgroundMark x1="6231" y1="43350" x2="6231" y2="43350"/>
                      <a14:backgroundMark x1="5919" y1="40394" x2="5919" y2="40394"/>
                      <a14:backgroundMark x1="30841" y1="74384" x2="30841" y2="74384"/>
                      <a14:backgroundMark x1="27882" y1="79310" x2="27882" y2="79310"/>
                      <a14:backgroundMark x1="27882" y1="79310" x2="27882" y2="79310"/>
                      <a14:backgroundMark x1="69315" y1="74877" x2="69315" y2="74877"/>
                      <a14:backgroundMark x1="69315" y1="74877" x2="69315" y2="74877"/>
                    </a14:backgroundRemoval>
                  </a14:imgEffect>
                </a14:imgLayer>
              </a14:imgProps>
            </a:ext>
            <a:ext uri="{28A0092B-C50C-407E-A947-70E740481C1C}">
              <a14:useLocalDpi xmlns:a14="http://schemas.microsoft.com/office/drawing/2010/main" val="0"/>
            </a:ext>
          </a:extLst>
        </a:blip>
        <a:stretch>
          <a:fillRect/>
        </a:stretch>
      </xdr:blipFill>
      <xdr:spPr>
        <a:xfrm>
          <a:off x="2060510" y="6861888"/>
          <a:ext cx="1574789" cy="884735"/>
        </a:xfrm>
        <a:prstGeom prst="rect">
          <a:avLst/>
        </a:prstGeom>
      </xdr:spPr>
    </xdr:pic>
    <xdr:clientData/>
  </xdr:twoCellAnchor>
  <xdr:twoCellAnchor editAs="oneCell">
    <xdr:from>
      <xdr:col>2</xdr:col>
      <xdr:colOff>0</xdr:colOff>
      <xdr:row>15</xdr:row>
      <xdr:rowOff>0</xdr:rowOff>
    </xdr:from>
    <xdr:to>
      <xdr:col>3</xdr:col>
      <xdr:colOff>248</xdr:colOff>
      <xdr:row>16</xdr:row>
      <xdr:rowOff>164</xdr:rowOff>
    </xdr:to>
    <xdr:pic>
      <xdr:nvPicPr>
        <xdr:cNvPr id="40" name="Imagen 39">
          <a:extLst>
            <a:ext uri="{FF2B5EF4-FFF2-40B4-BE49-F238E27FC236}">
              <a16:creationId xmlns:a16="http://schemas.microsoft.com/office/drawing/2014/main" id="{00000000-0008-0000-1700-000028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9901" b="91089" l="4422" r="90986">
                      <a14:foregroundMark x1="6117" y1="42079" x2="4422" y2="30693"/>
                      <a14:foregroundMark x1="6264" y1="43069" x2="6117" y2="42079"/>
                      <a14:foregroundMark x1="6351" y1="43653" x2="6264" y2="43069"/>
                      <a14:foregroundMark x1="8844" y1="60396" x2="8725" y2="59593"/>
                      <a14:foregroundMark x1="71939" y1="91089" x2="71939" y2="91089"/>
                      <a14:foregroundMark x1="72789" y1="83663" x2="72789" y2="83663"/>
                      <a14:foregroundMark x1="82143" y1="91584" x2="82143" y2="91584"/>
                      <a14:foregroundMark x1="90986" y1="67327" x2="90986" y2="67327"/>
                      <a14:foregroundMark x1="52992" y1="74752" x2="53302" y2="74940"/>
                      <a14:foregroundMark x1="52176" y1="74257" x2="52992" y2="74752"/>
                      <a14:foregroundMark x1="51360" y1="73762" x2="52176" y2="74257"/>
                      <a14:foregroundMark x1="50544" y1="73267" x2="51360" y2="73762"/>
                      <a14:foregroundMark x1="47279" y1="71287" x2="50544" y2="73267"/>
                      <a14:foregroundMark x1="72279" y1="79208" x2="72449" y2="86139"/>
                      <a14:backgroundMark x1="6463" y1="43564" x2="7653" y2="55941"/>
                      <a14:backgroundMark x1="7653" y1="55941" x2="9524" y2="55941"/>
                      <a14:backgroundMark x1="7653" y1="51485" x2="7483" y2="42574"/>
                      <a14:backgroundMark x1="6293" y1="42079" x2="6293" y2="42079"/>
                      <a14:backgroundMark x1="6293" y1="43069" x2="6293" y2="43069"/>
                      <a14:backgroundMark x1="33503" y1="75248" x2="33503" y2="75248"/>
                      <a14:backgroundMark x1="33503" y1="75248" x2="33503" y2="75248"/>
                      <a14:backgroundMark x1="33503" y1="75248" x2="33503" y2="75248"/>
                      <a14:backgroundMark x1="34014" y1="74257" x2="34014" y2="74257"/>
                      <a14:backgroundMark x1="33673" y1="73267" x2="33163" y2="77723"/>
                      <a14:backgroundMark x1="49320" y1="78218" x2="49320" y2="78218"/>
                      <a14:backgroundMark x1="53741" y1="77228" x2="53741" y2="77228"/>
                      <a14:backgroundMark x1="53401" y1="74752" x2="53401" y2="74752"/>
                      <a14:backgroundMark x1="53401" y1="74752" x2="53401" y2="74752"/>
                      <a14:backgroundMark x1="53401" y1="74752" x2="53401" y2="74752"/>
                      <a14:backgroundMark x1="53401" y1="74752" x2="53401" y2="74752"/>
                      <a14:backgroundMark x1="53401" y1="74752" x2="53912" y2="76733"/>
                      <a14:backgroundMark x1="54592" y1="78713" x2="54592" y2="75248"/>
                      <a14:backgroundMark x1="55102" y1="75743" x2="53231" y2="73762"/>
                      <a14:backgroundMark x1="52551" y1="73762" x2="52551" y2="73762"/>
                      <a14:backgroundMark x1="52551" y1="73762" x2="52551" y2="73762"/>
                      <a14:backgroundMark x1="52551" y1="74752" x2="52551" y2="74752"/>
                      <a14:backgroundMark x1="52551" y1="74752" x2="52551" y2="74752"/>
                      <a14:backgroundMark x1="53061" y1="75248" x2="53061" y2="75248"/>
                      <a14:backgroundMark x1="53061" y1="75248" x2="53061" y2="75248"/>
                      <a14:backgroundMark x1="52891" y1="74257" x2="52891" y2="74257"/>
                      <a14:backgroundMark x1="52891" y1="74257" x2="52891" y2="74257"/>
                      <a14:backgroundMark x1="52041" y1="73762" x2="52041" y2="73762"/>
                      <a14:backgroundMark x1="52041" y1="73762" x2="52041" y2="73762"/>
                      <a14:backgroundMark x1="55442" y1="75743" x2="55442" y2="75743"/>
                      <a14:backgroundMark x1="54762" y1="76238" x2="54762" y2="76238"/>
                      <a14:backgroundMark x1="50680" y1="73762" x2="50680" y2="73762"/>
                      <a14:backgroundMark x1="50680" y1="73267" x2="50680" y2="73267"/>
                      <a14:backgroundMark x1="50000" y1="73267" x2="50000" y2="73267"/>
                      <a14:backgroundMark x1="50850" y1="73267" x2="50850" y2="73267"/>
                      <a14:backgroundMark x1="49490" y1="73267" x2="49490" y2="73267"/>
                      <a14:backgroundMark x1="52041" y1="74257" x2="52041" y2="74257"/>
                    </a14:backgroundRemoval>
                  </a14:imgEffect>
                </a14:imgLayer>
              </a14:imgProps>
            </a:ext>
          </a:extLst>
        </a:blip>
        <a:stretch>
          <a:fillRect/>
        </a:stretch>
      </xdr:blipFill>
      <xdr:spPr>
        <a:xfrm>
          <a:off x="2060510" y="7746352"/>
          <a:ext cx="1574789" cy="884628"/>
        </a:xfrm>
        <a:prstGeom prst="rect">
          <a:avLst/>
        </a:prstGeom>
      </xdr:spPr>
    </xdr:pic>
    <xdr:clientData/>
  </xdr:twoCellAnchor>
  <xdr:twoCellAnchor editAs="oneCell">
    <xdr:from>
      <xdr:col>2</xdr:col>
      <xdr:colOff>0</xdr:colOff>
      <xdr:row>16</xdr:row>
      <xdr:rowOff>0</xdr:rowOff>
    </xdr:from>
    <xdr:to>
      <xdr:col>3</xdr:col>
      <xdr:colOff>248</xdr:colOff>
      <xdr:row>17</xdr:row>
      <xdr:rowOff>163</xdr:rowOff>
    </xdr:to>
    <xdr:pic>
      <xdr:nvPicPr>
        <xdr:cNvPr id="41" name="Imagen 40">
          <a:extLst>
            <a:ext uri="{FF2B5EF4-FFF2-40B4-BE49-F238E27FC236}">
              <a16:creationId xmlns:a16="http://schemas.microsoft.com/office/drawing/2014/main" id="{00000000-0008-0000-1700-000029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9901" b="91089" l="4422" r="90986">
                      <a14:foregroundMark x1="6117" y1="42079" x2="4422" y2="30693"/>
                      <a14:foregroundMark x1="6264" y1="43069" x2="6117" y2="42079"/>
                      <a14:foregroundMark x1="6351" y1="43653" x2="6264" y2="43069"/>
                      <a14:foregroundMark x1="8844" y1="60396" x2="8725" y2="59593"/>
                      <a14:foregroundMark x1="71939" y1="91089" x2="71939" y2="91089"/>
                      <a14:foregroundMark x1="72789" y1="83663" x2="72789" y2="83663"/>
                      <a14:foregroundMark x1="82143" y1="91584" x2="82143" y2="91584"/>
                      <a14:foregroundMark x1="90986" y1="67327" x2="90986" y2="67327"/>
                      <a14:foregroundMark x1="52992" y1="74752" x2="53302" y2="74940"/>
                      <a14:foregroundMark x1="52176" y1="74257" x2="52992" y2="74752"/>
                      <a14:foregroundMark x1="51360" y1="73762" x2="52176" y2="74257"/>
                      <a14:foregroundMark x1="50544" y1="73267" x2="51360" y2="73762"/>
                      <a14:foregroundMark x1="47279" y1="71287" x2="50544" y2="73267"/>
                      <a14:foregroundMark x1="72279" y1="79208" x2="72449" y2="86139"/>
                      <a14:backgroundMark x1="6463" y1="43564" x2="7653" y2="55941"/>
                      <a14:backgroundMark x1="7653" y1="55941" x2="9524" y2="55941"/>
                      <a14:backgroundMark x1="7653" y1="51485" x2="7483" y2="42574"/>
                      <a14:backgroundMark x1="6293" y1="42079" x2="6293" y2="42079"/>
                      <a14:backgroundMark x1="6293" y1="43069" x2="6293" y2="43069"/>
                      <a14:backgroundMark x1="33503" y1="75248" x2="33503" y2="75248"/>
                      <a14:backgroundMark x1="33503" y1="75248" x2="33503" y2="75248"/>
                      <a14:backgroundMark x1="33503" y1="75248" x2="33503" y2="75248"/>
                      <a14:backgroundMark x1="34014" y1="74257" x2="34014" y2="74257"/>
                      <a14:backgroundMark x1="33673" y1="73267" x2="33163" y2="77723"/>
                      <a14:backgroundMark x1="49320" y1="78218" x2="49320" y2="78218"/>
                      <a14:backgroundMark x1="53741" y1="77228" x2="53741" y2="77228"/>
                      <a14:backgroundMark x1="53401" y1="74752" x2="53401" y2="74752"/>
                      <a14:backgroundMark x1="53401" y1="74752" x2="53401" y2="74752"/>
                      <a14:backgroundMark x1="53401" y1="74752" x2="53401" y2="74752"/>
                      <a14:backgroundMark x1="53401" y1="74752" x2="53401" y2="74752"/>
                      <a14:backgroundMark x1="53401" y1="74752" x2="53912" y2="76733"/>
                      <a14:backgroundMark x1="54592" y1="78713" x2="54592" y2="75248"/>
                      <a14:backgroundMark x1="55102" y1="75743" x2="53231" y2="73762"/>
                      <a14:backgroundMark x1="52551" y1="73762" x2="52551" y2="73762"/>
                      <a14:backgroundMark x1="52551" y1="73762" x2="52551" y2="73762"/>
                      <a14:backgroundMark x1="52551" y1="74752" x2="52551" y2="74752"/>
                      <a14:backgroundMark x1="52551" y1="74752" x2="52551" y2="74752"/>
                      <a14:backgroundMark x1="53061" y1="75248" x2="53061" y2="75248"/>
                      <a14:backgroundMark x1="53061" y1="75248" x2="53061" y2="75248"/>
                      <a14:backgroundMark x1="52891" y1="74257" x2="52891" y2="74257"/>
                      <a14:backgroundMark x1="52891" y1="74257" x2="52891" y2="74257"/>
                      <a14:backgroundMark x1="52041" y1="73762" x2="52041" y2="73762"/>
                      <a14:backgroundMark x1="52041" y1="73762" x2="52041" y2="73762"/>
                      <a14:backgroundMark x1="55442" y1="75743" x2="55442" y2="75743"/>
                      <a14:backgroundMark x1="54762" y1="76238" x2="54762" y2="76238"/>
                      <a14:backgroundMark x1="50680" y1="73762" x2="50680" y2="73762"/>
                      <a14:backgroundMark x1="50680" y1="73267" x2="50680" y2="73267"/>
                      <a14:backgroundMark x1="50000" y1="73267" x2="50000" y2="73267"/>
                      <a14:backgroundMark x1="50850" y1="73267" x2="50850" y2="73267"/>
                      <a14:backgroundMark x1="49490" y1="73267" x2="49490" y2="73267"/>
                      <a14:backgroundMark x1="52041" y1="74257" x2="52041" y2="74257"/>
                    </a14:backgroundRemoval>
                  </a14:imgEffect>
                </a14:imgLayer>
              </a14:imgProps>
            </a:ext>
          </a:extLst>
        </a:blip>
        <a:stretch>
          <a:fillRect/>
        </a:stretch>
      </xdr:blipFill>
      <xdr:spPr>
        <a:xfrm>
          <a:off x="2060510" y="8630816"/>
          <a:ext cx="1574789" cy="884628"/>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2</xdr:col>
      <xdr:colOff>19049</xdr:colOff>
      <xdr:row>5</xdr:row>
      <xdr:rowOff>180975</xdr:rowOff>
    </xdr:from>
    <xdr:to>
      <xdr:col>3</xdr:col>
      <xdr:colOff>0</xdr:colOff>
      <xdr:row>7</xdr:row>
      <xdr:rowOff>0</xdr:rowOff>
    </xdr:to>
    <xdr:pic>
      <xdr:nvPicPr>
        <xdr:cNvPr id="8" name="Imagen 7">
          <a:extLst>
            <a:ext uri="{FF2B5EF4-FFF2-40B4-BE49-F238E27FC236}">
              <a16:creationId xmlns:a16="http://schemas.microsoft.com/office/drawing/2014/main" id="{00000000-0008-0000-1800-000008000000}"/>
            </a:ext>
          </a:extLst>
        </xdr:cNvPr>
        <xdr:cNvPicPr>
          <a:picLocks noChangeAspect="1"/>
        </xdr:cNvPicPr>
      </xdr:nvPicPr>
      <xdr:blipFill rotWithShape="1">
        <a:blip xmlns:r="http://schemas.openxmlformats.org/officeDocument/2006/relationships" r:embed="rId1" cstate="print">
          <a:extLst>
            <a:ext uri="{BEBA8EAE-BF5A-486C-A8C5-ECC9F3942E4B}">
              <a14:imgProps xmlns:a14="http://schemas.microsoft.com/office/drawing/2010/main">
                <a14:imgLayer r:embed="rId2">
                  <a14:imgEffect>
                    <a14:backgroundRemoval t="10667" b="91556" l="4222" r="96570">
                      <a14:foregroundMark x1="28232" y1="10667" x2="32982" y2="10667"/>
                      <a14:foregroundMark x1="10818" y1="37778" x2="4222" y2="39111"/>
                      <a14:foregroundMark x1="93668" y1="34667" x2="93668" y2="34667"/>
                      <a14:foregroundMark x1="96570" y1="40444" x2="96570" y2="40444"/>
                      <a14:foregroundMark x1="79420" y1="91111" x2="79420" y2="91111"/>
                      <a14:foregroundMark x1="49340" y1="91556" x2="49340" y2="91556"/>
                      <a14:backgroundMark x1="24011" y1="36000" x2="24011" y2="36000"/>
                      <a14:backgroundMark x1="21636" y1="36000" x2="21636" y2="36000"/>
                      <a14:backgroundMark x1="60158" y1="40889" x2="60158" y2="40889"/>
                      <a14:backgroundMark x1="36148" y1="59111" x2="36148" y2="59111"/>
                      <a14:backgroundMark x1="35356" y1="51111" x2="35356" y2="51111"/>
                    </a14:backgroundRemoval>
                  </a14:imgEffect>
                </a14:imgLayer>
              </a14:imgProps>
            </a:ext>
            <a:ext uri="{28A0092B-C50C-407E-A947-70E740481C1C}">
              <a14:useLocalDpi xmlns:a14="http://schemas.microsoft.com/office/drawing/2010/main" val="0"/>
            </a:ext>
          </a:extLst>
        </a:blip>
        <a:srcRect t="4517" b="1"/>
        <a:stretch/>
      </xdr:blipFill>
      <xdr:spPr bwMode="auto">
        <a:xfrm>
          <a:off x="1543049" y="1133475"/>
          <a:ext cx="1257301" cy="90487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4</xdr:col>
      <xdr:colOff>885410</xdr:colOff>
      <xdr:row>6</xdr:row>
      <xdr:rowOff>0</xdr:rowOff>
    </xdr:from>
    <xdr:to>
      <xdr:col>5</xdr:col>
      <xdr:colOff>1230189</xdr:colOff>
      <xdr:row>6</xdr:row>
      <xdr:rowOff>886130</xdr:rowOff>
    </xdr:to>
    <xdr:pic>
      <xdr:nvPicPr>
        <xdr:cNvPr id="12" name="Imagen 11">
          <a:extLst>
            <a:ext uri="{FF2B5EF4-FFF2-40B4-BE49-F238E27FC236}">
              <a16:creationId xmlns:a16="http://schemas.microsoft.com/office/drawing/2014/main" id="{00000000-0008-0000-1800-00000C000000}"/>
            </a:ext>
          </a:extLst>
        </xdr:cNvPr>
        <xdr:cNvPicPr>
          <a:picLocks noChangeAspect="1"/>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8597" b="92308" l="3704" r="93603">
                      <a14:foregroundMark x1="9091" y1="85973" x2="9428" y2="38462"/>
                      <a14:foregroundMark x1="4377" y1="44796" x2="4377" y2="44796"/>
                      <a14:foregroundMark x1="9764" y1="91855" x2="9764" y2="91855"/>
                      <a14:foregroundMark x1="21549" y1="92760" x2="21549" y2="92760"/>
                      <a14:foregroundMark x1="90572" y1="90498" x2="90572" y2="90498"/>
                      <a14:foregroundMark x1="94276" y1="46606" x2="94276" y2="46606"/>
                      <a14:foregroundMark x1="88215" y1="92760" x2="88215" y2="92760"/>
                      <a14:foregroundMark x1="77778" y1="92760" x2="77778" y2="92760"/>
                      <a14:foregroundMark x1="58182" y1="83047" x2="57239" y2="83258"/>
                      <a14:foregroundMark x1="58620" y1="82949" x2="58364" y2="83006"/>
                      <a14:foregroundMark x1="61279" y1="82353" x2="59647" y2="82718"/>
                      <a14:foregroundMark x1="41077" y1="8597" x2="41077" y2="8597"/>
                      <a14:foregroundMark x1="56229" y1="10407" x2="56229" y2="10407"/>
                      <a14:backgroundMark x1="38721" y1="57919" x2="38721" y2="57919"/>
                      <a14:backgroundMark x1="46128" y1="57466" x2="46128" y2="57466"/>
                      <a14:backgroundMark x1="51178" y1="57014" x2="51178" y2="57014"/>
                      <a14:backgroundMark x1="59933" y1="58824" x2="59933" y2="58824"/>
                      <a14:backgroundMark x1="58586" y1="82805" x2="58586" y2="82805"/>
                      <a14:backgroundMark x1="58586" y1="82805" x2="58586" y2="82353"/>
                      <a14:backgroundMark x1="59259" y1="81900" x2="58249" y2="81900"/>
                      <a14:backgroundMark x1="58586" y1="83710" x2="58249" y2="83258"/>
                      <a14:backgroundMark x1="59933" y1="82805" x2="59933" y2="82805"/>
                      <a14:backgroundMark x1="57239" y1="82805" x2="57239" y2="82805"/>
                      <a14:backgroundMark x1="57576" y1="82353" x2="57576" y2="82353"/>
                      <a14:backgroundMark x1="39731" y1="10407" x2="39731" y2="10407"/>
                      <a14:backgroundMark x1="54882" y1="10860" x2="54882" y2="10860"/>
                    </a14:backgroundRemoval>
                  </a14:imgEffect>
                </a14:imgLayer>
              </a14:imgProps>
            </a:ext>
            <a:ext uri="{28A0092B-C50C-407E-A947-70E740481C1C}">
              <a14:useLocalDpi xmlns:a14="http://schemas.microsoft.com/office/drawing/2010/main" val="0"/>
            </a:ext>
          </a:extLst>
        </a:blip>
        <a:srcRect t="3334"/>
        <a:stretch/>
      </xdr:blipFill>
      <xdr:spPr bwMode="auto">
        <a:xfrm>
          <a:off x="4571585" y="1143000"/>
          <a:ext cx="1230604" cy="886130"/>
        </a:xfrm>
        <a:prstGeom prst="rect">
          <a:avLst/>
        </a:prstGeom>
        <a:noFill/>
        <a:ln>
          <a:noFill/>
        </a:ln>
        <a:extLst>
          <a:ext uri="{53640926-AAD7-44D8-BBD7-CCE9431645EC}">
            <a14:shadowObscured xmlns:a14="http://schemas.microsoft.com/office/drawing/2010/main"/>
          </a:ext>
        </a:extLst>
      </xdr:spPr>
    </xdr:pic>
    <xdr:clientData/>
  </xdr:twoCellAnchor>
</xdr:wsDr>
</file>

<file path=xl/drawings/drawing23.xml><?xml version="1.0" encoding="utf-8"?>
<xdr:wsDr xmlns:xdr="http://schemas.openxmlformats.org/drawingml/2006/spreadsheetDrawing" xmlns:a="http://schemas.openxmlformats.org/drawingml/2006/main">
  <xdr:twoCellAnchor>
    <xdr:from>
      <xdr:col>18</xdr:col>
      <xdr:colOff>523875</xdr:colOff>
      <xdr:row>1</xdr:row>
      <xdr:rowOff>57150</xdr:rowOff>
    </xdr:from>
    <xdr:to>
      <xdr:col>19</xdr:col>
      <xdr:colOff>400050</xdr:colOff>
      <xdr:row>3</xdr:row>
      <xdr:rowOff>114300</xdr:rowOff>
    </xdr:to>
    <xdr:sp macro="[0]!GUARDAR_PAGO" textlink="">
      <xdr:nvSpPr>
        <xdr:cNvPr id="2" name="Rectángulo 1">
          <a:extLst>
            <a:ext uri="{FF2B5EF4-FFF2-40B4-BE49-F238E27FC236}">
              <a16:creationId xmlns:a16="http://schemas.microsoft.com/office/drawing/2014/main" id="{00000000-0008-0000-1900-000002000000}"/>
            </a:ext>
          </a:extLst>
        </xdr:cNvPr>
        <xdr:cNvSpPr/>
      </xdr:nvSpPr>
      <xdr:spPr>
        <a:xfrm>
          <a:off x="14297025" y="247650"/>
          <a:ext cx="866775" cy="438150"/>
        </a:xfrm>
        <a:prstGeom prst="rect">
          <a:avLst/>
        </a:prstGeom>
        <a:gradFill>
          <a:gsLst>
            <a:gs pos="0">
              <a:schemeClr val="bg1">
                <a:lumMod val="95000"/>
              </a:schemeClr>
            </a:gs>
            <a:gs pos="60000">
              <a:schemeClr val="bg1">
                <a:lumMod val="85000"/>
              </a:schemeClr>
            </a:gs>
          </a:gsLst>
        </a:gra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s-MX" sz="1100">
              <a:solidFill>
                <a:schemeClr val="tx1"/>
              </a:solidFill>
            </a:rPr>
            <a:t>GUARDAR PAGO</a:t>
          </a:r>
        </a:p>
      </xdr:txBody>
    </xdr:sp>
    <xdr:clientData/>
  </xdr:twoCellAnchor>
  <xdr:twoCellAnchor editAs="absolute">
    <xdr:from>
      <xdr:col>8</xdr:col>
      <xdr:colOff>733425</xdr:colOff>
      <xdr:row>5</xdr:row>
      <xdr:rowOff>38100</xdr:rowOff>
    </xdr:from>
    <xdr:to>
      <xdr:col>10</xdr:col>
      <xdr:colOff>752475</xdr:colOff>
      <xdr:row>8</xdr:row>
      <xdr:rowOff>114300</xdr:rowOff>
    </xdr:to>
    <mc:AlternateContent xmlns:mc="http://schemas.openxmlformats.org/markup-compatibility/2006" xmlns:sle15="http://schemas.microsoft.com/office/drawing/2012/slicer">
      <mc:Choice Requires="sle15">
        <xdr:graphicFrame macro="">
          <xdr:nvGraphicFramePr>
            <xdr:cNvPr id="3" name="PAGADO">
              <a:extLst>
                <a:ext uri="{FF2B5EF4-FFF2-40B4-BE49-F238E27FC236}">
                  <a16:creationId xmlns:a16="http://schemas.microsoft.com/office/drawing/2014/main" id="{00000000-0008-0000-1900-000003000000}"/>
                </a:ext>
              </a:extLst>
            </xdr:cNvPr>
            <xdr:cNvGraphicFramePr/>
          </xdr:nvGraphicFramePr>
          <xdr:xfrm>
            <a:off x="0" y="0"/>
            <a:ext cx="0" cy="0"/>
          </xdr:xfrm>
          <a:graphic>
            <a:graphicData uri="http://schemas.microsoft.com/office/drawing/2010/slicer">
              <sle:slicer xmlns:sle="http://schemas.microsoft.com/office/drawing/2010/slicer" name="PAGADO"/>
            </a:graphicData>
          </a:graphic>
        </xdr:graphicFrame>
      </mc:Choice>
      <mc:Fallback xmlns="">
        <xdr:sp macro="" textlink="">
          <xdr:nvSpPr>
            <xdr:cNvPr id="0" name=""/>
            <xdr:cNvSpPr>
              <a:spLocks noTextEdit="1"/>
            </xdr:cNvSpPr>
          </xdr:nvSpPr>
          <xdr:spPr>
            <a:xfrm>
              <a:off x="8086725" y="990600"/>
              <a:ext cx="1828800" cy="647700"/>
            </a:xfrm>
            <a:prstGeom prst="rect">
              <a:avLst/>
            </a:prstGeom>
            <a:solidFill>
              <a:prstClr val="white"/>
            </a:solidFill>
            <a:ln w="1">
              <a:solidFill>
                <a:prstClr val="green"/>
              </a:solidFill>
            </a:ln>
          </xdr:spPr>
          <xdr:txBody>
            <a:bodyPr vertOverflow="clip" horzOverflow="clip"/>
            <a:lstStyle/>
            <a:p>
              <a:r>
                <a:rPr lang="es-MX"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editAs="absolute">
    <xdr:from>
      <xdr:col>8</xdr:col>
      <xdr:colOff>704850</xdr:colOff>
      <xdr:row>0</xdr:row>
      <xdr:rowOff>28575</xdr:rowOff>
    </xdr:from>
    <xdr:to>
      <xdr:col>10</xdr:col>
      <xdr:colOff>723900</xdr:colOff>
      <xdr:row>4</xdr:row>
      <xdr:rowOff>171450</xdr:rowOff>
    </xdr:to>
    <mc:AlternateContent xmlns:mc="http://schemas.openxmlformats.org/markup-compatibility/2006" xmlns:sle15="http://schemas.microsoft.com/office/drawing/2012/slicer">
      <mc:Choice Requires="sle15">
        <xdr:graphicFrame macro="">
          <xdr:nvGraphicFramePr>
            <xdr:cNvPr id="4" name="EQUI. ENTREGADOS">
              <a:extLst>
                <a:ext uri="{FF2B5EF4-FFF2-40B4-BE49-F238E27FC236}">
                  <a16:creationId xmlns:a16="http://schemas.microsoft.com/office/drawing/2014/main" id="{00000000-0008-0000-1900-000004000000}"/>
                </a:ext>
              </a:extLst>
            </xdr:cNvPr>
            <xdr:cNvGraphicFramePr/>
          </xdr:nvGraphicFramePr>
          <xdr:xfrm>
            <a:off x="0" y="0"/>
            <a:ext cx="0" cy="0"/>
          </xdr:xfrm>
          <a:graphic>
            <a:graphicData uri="http://schemas.microsoft.com/office/drawing/2010/slicer">
              <sle:slicer xmlns:sle="http://schemas.microsoft.com/office/drawing/2010/slicer" name="EQUI. ENTREGADOS"/>
            </a:graphicData>
          </a:graphic>
        </xdr:graphicFrame>
      </mc:Choice>
      <mc:Fallback xmlns="">
        <xdr:sp macro="" textlink="">
          <xdr:nvSpPr>
            <xdr:cNvPr id="0" name=""/>
            <xdr:cNvSpPr>
              <a:spLocks noTextEdit="1"/>
            </xdr:cNvSpPr>
          </xdr:nvSpPr>
          <xdr:spPr>
            <a:xfrm>
              <a:off x="8058150" y="28575"/>
              <a:ext cx="1828800" cy="904875"/>
            </a:xfrm>
            <a:prstGeom prst="rect">
              <a:avLst/>
            </a:prstGeom>
            <a:solidFill>
              <a:prstClr val="white"/>
            </a:solidFill>
            <a:ln w="1">
              <a:solidFill>
                <a:prstClr val="green"/>
              </a:solidFill>
            </a:ln>
          </xdr:spPr>
          <xdr:txBody>
            <a:bodyPr vertOverflow="clip" horzOverflow="clip"/>
            <a:lstStyle/>
            <a:p>
              <a:r>
                <a:rPr lang="es-MX"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editAs="absolute">
    <xdr:from>
      <xdr:col>6</xdr:col>
      <xdr:colOff>619125</xdr:colOff>
      <xdr:row>1</xdr:row>
      <xdr:rowOff>7620</xdr:rowOff>
    </xdr:from>
    <xdr:to>
      <xdr:col>8</xdr:col>
      <xdr:colOff>177165</xdr:colOff>
      <xdr:row>7</xdr:row>
      <xdr:rowOff>177165</xdr:rowOff>
    </xdr:to>
    <xdr:grpSp>
      <xdr:nvGrpSpPr>
        <xdr:cNvPr id="5" name="Grupo 4">
          <a:extLst>
            <a:ext uri="{FF2B5EF4-FFF2-40B4-BE49-F238E27FC236}">
              <a16:creationId xmlns:a16="http://schemas.microsoft.com/office/drawing/2014/main" id="{00000000-0008-0000-1900-000005000000}"/>
            </a:ext>
          </a:extLst>
        </xdr:cNvPr>
        <xdr:cNvGrpSpPr>
          <a:grpSpLocks noChangeAspect="1"/>
        </xdr:cNvGrpSpPr>
      </xdr:nvGrpSpPr>
      <xdr:grpSpPr>
        <a:xfrm>
          <a:off x="5686425" y="190500"/>
          <a:ext cx="2057400" cy="1266825"/>
          <a:chOff x="5972175" y="190500"/>
          <a:chExt cx="1885950" cy="1266825"/>
        </a:xfrm>
      </xdr:grpSpPr>
      <xdr:grpSp>
        <xdr:nvGrpSpPr>
          <xdr:cNvPr id="10" name="Grupo 9">
            <a:extLst>
              <a:ext uri="{FF2B5EF4-FFF2-40B4-BE49-F238E27FC236}">
                <a16:creationId xmlns:a16="http://schemas.microsoft.com/office/drawing/2014/main" id="{00000000-0008-0000-1900-00000A000000}"/>
              </a:ext>
            </a:extLst>
          </xdr:cNvPr>
          <xdr:cNvGrpSpPr>
            <a:grpSpLocks/>
          </xdr:cNvGrpSpPr>
        </xdr:nvGrpSpPr>
        <xdr:grpSpPr>
          <a:xfrm>
            <a:off x="5972175" y="190500"/>
            <a:ext cx="1885950" cy="1266825"/>
            <a:chOff x="800100" y="514350"/>
            <a:chExt cx="1885950" cy="1009501"/>
          </a:xfrm>
          <a:solidFill>
            <a:srgbClr val="02723F"/>
          </a:solidFill>
        </xdr:grpSpPr>
        <xdr:sp macro="" textlink="">
          <xdr:nvSpPr>
            <xdr:cNvPr id="8" name="CuadroTexto 7">
              <a:extLst>
                <a:ext uri="{FF2B5EF4-FFF2-40B4-BE49-F238E27FC236}">
                  <a16:creationId xmlns:a16="http://schemas.microsoft.com/office/drawing/2014/main" id="{00000000-0008-0000-1900-000008000000}"/>
                </a:ext>
              </a:extLst>
            </xdr:cNvPr>
            <xdr:cNvSpPr txBox="1"/>
          </xdr:nvSpPr>
          <xdr:spPr>
            <a:xfrm>
              <a:off x="800100" y="514350"/>
              <a:ext cx="1885950" cy="1009501"/>
            </a:xfrm>
            <a:prstGeom prst="rect">
              <a:avLst/>
            </a:prstGeom>
            <a:grp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chemeClr val="bg1"/>
                  </a:solidFill>
                </a:rPr>
                <a:t>BUSCAR</a:t>
              </a:r>
              <a:r>
                <a:rPr lang="es-MX" sz="1100" b="1" baseline="0">
                  <a:solidFill>
                    <a:schemeClr val="bg1"/>
                  </a:solidFill>
                </a:rPr>
                <a:t> CLIENTE</a:t>
              </a:r>
              <a:endParaRPr lang="es-MX" sz="1100" b="1">
                <a:solidFill>
                  <a:schemeClr val="bg1"/>
                </a:solidFill>
              </a:endParaRPr>
            </a:p>
          </xdr:txBody>
        </xdr:sp>
        <mc:AlternateContent xmlns:mc="http://schemas.openxmlformats.org/markup-compatibility/2006">
          <mc:Choice xmlns:a14="http://schemas.microsoft.com/office/drawing/2010/main" Requires="a14">
            <xdr:sp macro="" textlink="">
              <xdr:nvSpPr>
                <xdr:cNvPr id="78849" name="TextBox1" hidden="1">
                  <a:extLst>
                    <a:ext uri="{63B3BB69-23CF-44E3-9099-C40C66FF867C}">
                      <a14:compatExt spid="_x0000_s78849"/>
                    </a:ext>
                    <a:ext uri="{FF2B5EF4-FFF2-40B4-BE49-F238E27FC236}">
                      <a16:creationId xmlns:a16="http://schemas.microsoft.com/office/drawing/2014/main" id="{00000000-0008-0000-1900-000001340100}"/>
                    </a:ext>
                  </a:extLst>
                </xdr:cNvPr>
                <xdr:cNvSpPr/>
              </xdr:nvSpPr>
              <xdr:spPr bwMode="auto">
                <a:xfrm>
                  <a:off x="800100" y="733425"/>
                  <a:ext cx="1800225" cy="198388"/>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nvGrpSpPr>
          <xdr:cNvPr id="12" name="Grupo 11">
            <a:extLst>
              <a:ext uri="{FF2B5EF4-FFF2-40B4-BE49-F238E27FC236}">
                <a16:creationId xmlns:a16="http://schemas.microsoft.com/office/drawing/2014/main" id="{00000000-0008-0000-1900-00000C000000}"/>
              </a:ext>
            </a:extLst>
          </xdr:cNvPr>
          <xdr:cNvGrpSpPr>
            <a:grpSpLocks/>
          </xdr:cNvGrpSpPr>
        </xdr:nvGrpSpPr>
        <xdr:grpSpPr>
          <a:xfrm>
            <a:off x="5981700" y="838200"/>
            <a:ext cx="1857375" cy="495300"/>
            <a:chOff x="781050" y="1114425"/>
            <a:chExt cx="1857375" cy="495300"/>
          </a:xfrm>
          <a:solidFill>
            <a:srgbClr val="02723F"/>
          </a:solidFill>
          <a:effectLst>
            <a:outerShdw blurRad="50800" dist="38100" dir="2700000" algn="tl" rotWithShape="0">
              <a:prstClr val="black">
                <a:alpha val="40000"/>
              </a:prstClr>
            </a:outerShdw>
          </a:effectLst>
        </xdr:grpSpPr>
        <xdr:sp macro="" textlink="">
          <xdr:nvSpPr>
            <xdr:cNvPr id="9" name="CuadroTexto 8">
              <a:extLst>
                <a:ext uri="{FF2B5EF4-FFF2-40B4-BE49-F238E27FC236}">
                  <a16:creationId xmlns:a16="http://schemas.microsoft.com/office/drawing/2014/main" id="{00000000-0008-0000-1900-000009000000}"/>
                </a:ext>
              </a:extLst>
            </xdr:cNvPr>
            <xdr:cNvSpPr txBox="1"/>
          </xdr:nvSpPr>
          <xdr:spPr>
            <a:xfrm>
              <a:off x="781050" y="1114425"/>
              <a:ext cx="1857375" cy="4953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chemeClr val="bg1"/>
                  </a:solidFill>
                </a:rPr>
                <a:t>BUSCAR</a:t>
              </a:r>
              <a:r>
                <a:rPr lang="es-MX" sz="1100" b="1" baseline="0">
                  <a:solidFill>
                    <a:schemeClr val="bg1"/>
                  </a:solidFill>
                </a:rPr>
                <a:t> CHASIS</a:t>
              </a:r>
              <a:endParaRPr lang="es-MX" sz="1100" b="1">
                <a:solidFill>
                  <a:schemeClr val="bg1"/>
                </a:solidFill>
              </a:endParaRPr>
            </a:p>
          </xdr:txBody>
        </xdr:sp>
        <mc:AlternateContent xmlns:mc="http://schemas.openxmlformats.org/markup-compatibility/2006">
          <mc:Choice xmlns:a14="http://schemas.microsoft.com/office/drawing/2010/main" Requires="a14">
            <xdr:sp macro="" textlink="">
              <xdr:nvSpPr>
                <xdr:cNvPr id="78850" name="TextBox2" hidden="1">
                  <a:extLst>
                    <a:ext uri="{63B3BB69-23CF-44E3-9099-C40C66FF867C}">
                      <a14:compatExt spid="_x0000_s78850"/>
                    </a:ext>
                    <a:ext uri="{FF2B5EF4-FFF2-40B4-BE49-F238E27FC236}">
                      <a16:creationId xmlns:a16="http://schemas.microsoft.com/office/drawing/2014/main" id="{00000000-0008-0000-1900-000002340100}"/>
                    </a:ext>
                  </a:extLst>
                </xdr:cNvPr>
                <xdr:cNvSpPr/>
              </xdr:nvSpPr>
              <xdr:spPr bwMode="auto">
                <a:xfrm>
                  <a:off x="781050" y="1314450"/>
                  <a:ext cx="1800225" cy="266700"/>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editAs="absolute">
    <xdr:from>
      <xdr:col>1</xdr:col>
      <xdr:colOff>19050</xdr:colOff>
      <xdr:row>0</xdr:row>
      <xdr:rowOff>44613</xdr:rowOff>
    </xdr:from>
    <xdr:to>
      <xdr:col>6</xdr:col>
      <xdr:colOff>581025</xdr:colOff>
      <xdr:row>7</xdr:row>
      <xdr:rowOff>28575</xdr:rowOff>
    </xdr:to>
    <xdr:grpSp>
      <xdr:nvGrpSpPr>
        <xdr:cNvPr id="27" name="Grupo 26">
          <a:extLst>
            <a:ext uri="{FF2B5EF4-FFF2-40B4-BE49-F238E27FC236}">
              <a16:creationId xmlns:a16="http://schemas.microsoft.com/office/drawing/2014/main" id="{00000000-0008-0000-1900-00001B000000}"/>
            </a:ext>
          </a:extLst>
        </xdr:cNvPr>
        <xdr:cNvGrpSpPr>
          <a:grpSpLocks noChangeAspect="1"/>
        </xdr:cNvGrpSpPr>
      </xdr:nvGrpSpPr>
      <xdr:grpSpPr>
        <a:xfrm>
          <a:off x="323850" y="44613"/>
          <a:ext cx="5324475" cy="1264122"/>
          <a:chOff x="2025908" y="3128183"/>
          <a:chExt cx="6975776" cy="2492591"/>
        </a:xfrm>
      </xdr:grpSpPr>
      <xdr:sp macro="" textlink="">
        <xdr:nvSpPr>
          <xdr:cNvPr id="28" name="Elipse 27">
            <a:extLst>
              <a:ext uri="{FF2B5EF4-FFF2-40B4-BE49-F238E27FC236}">
                <a16:creationId xmlns:a16="http://schemas.microsoft.com/office/drawing/2014/main" id="{00000000-0008-0000-1900-00001C000000}"/>
              </a:ext>
            </a:extLst>
          </xdr:cNvPr>
          <xdr:cNvSpPr/>
        </xdr:nvSpPr>
        <xdr:spPr>
          <a:xfrm>
            <a:off x="2025908" y="3133882"/>
            <a:ext cx="2319300" cy="2486892"/>
          </a:xfrm>
          <a:prstGeom prst="ellipse">
            <a:avLst/>
          </a:prstGeom>
          <a:noFill/>
          <a:ln w="57150">
            <a:prstDash val="lgDash"/>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s-MX"/>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29" name="Rectángulo 28">
            <a:extLst>
              <a:ext uri="{FF2B5EF4-FFF2-40B4-BE49-F238E27FC236}">
                <a16:creationId xmlns:a16="http://schemas.microsoft.com/office/drawing/2014/main" id="{00000000-0008-0000-1900-00001D000000}"/>
              </a:ext>
            </a:extLst>
          </xdr:cNvPr>
          <xdr:cNvSpPr/>
        </xdr:nvSpPr>
        <xdr:spPr>
          <a:xfrm>
            <a:off x="4023778" y="4170219"/>
            <a:ext cx="991566" cy="297872"/>
          </a:xfrm>
          <a:prstGeom prst="rect">
            <a:avLst/>
          </a:prstGeom>
          <a:gradFill flip="none" rotWithShape="1">
            <a:gsLst>
              <a:gs pos="0">
                <a:srgbClr val="06A697">
                  <a:shade val="30000"/>
                  <a:satMod val="115000"/>
                </a:srgbClr>
              </a:gs>
              <a:gs pos="50000">
                <a:srgbClr val="06A697">
                  <a:shade val="67500"/>
                  <a:satMod val="115000"/>
                </a:srgbClr>
              </a:gs>
              <a:gs pos="100000">
                <a:srgbClr val="06A697">
                  <a:shade val="100000"/>
                  <a:satMod val="115000"/>
                </a:srgbClr>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s-MX"/>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MX"/>
          </a:p>
        </xdr:txBody>
      </xdr:sp>
      <xdr:sp macro="" textlink="$G$9">
        <xdr:nvSpPr>
          <xdr:cNvPr id="30" name="Forma libre: forma 29">
            <a:extLst>
              <a:ext uri="{FF2B5EF4-FFF2-40B4-BE49-F238E27FC236}">
                <a16:creationId xmlns:a16="http://schemas.microsoft.com/office/drawing/2014/main" id="{00000000-0008-0000-1900-00001E000000}"/>
              </a:ext>
            </a:extLst>
          </xdr:cNvPr>
          <xdr:cNvSpPr/>
        </xdr:nvSpPr>
        <xdr:spPr>
          <a:xfrm>
            <a:off x="5408104" y="4029880"/>
            <a:ext cx="1973304" cy="542506"/>
          </a:xfrm>
          <a:custGeom>
            <a:avLst/>
            <a:gdLst>
              <a:gd name="connsiteX0" fmla="*/ 0 w 1973305"/>
              <a:gd name="connsiteY0" fmla="*/ 0 h 542506"/>
              <a:gd name="connsiteX1" fmla="*/ 1911788 w 1973305"/>
              <a:gd name="connsiteY1" fmla="*/ 0 h 542506"/>
              <a:gd name="connsiteX2" fmla="*/ 1904063 w 1973305"/>
              <a:gd name="connsiteY2" fmla="*/ 611 h 542506"/>
              <a:gd name="connsiteX3" fmla="*/ 1629729 w 1973305"/>
              <a:gd name="connsiteY3" fmla="*/ 264720 h 542506"/>
              <a:gd name="connsiteX4" fmla="*/ 1973305 w 1973305"/>
              <a:gd name="connsiteY4" fmla="*/ 534306 h 542506"/>
              <a:gd name="connsiteX5" fmla="*/ 1973305 w 1973305"/>
              <a:gd name="connsiteY5" fmla="*/ 542506 h 542506"/>
              <a:gd name="connsiteX6" fmla="*/ 0 w 1973305"/>
              <a:gd name="connsiteY6" fmla="*/ 542506 h 5425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973305" h="542506">
                <a:moveTo>
                  <a:pt x="0" y="0"/>
                </a:moveTo>
                <a:lnTo>
                  <a:pt x="1911788" y="0"/>
                </a:lnTo>
                <a:lnTo>
                  <a:pt x="1904063" y="611"/>
                </a:lnTo>
                <a:cubicBezTo>
                  <a:pt x="1747501" y="25749"/>
                  <a:pt x="1629729" y="134443"/>
                  <a:pt x="1629729" y="264720"/>
                </a:cubicBezTo>
                <a:cubicBezTo>
                  <a:pt x="1629729" y="413608"/>
                  <a:pt x="1783553" y="534306"/>
                  <a:pt x="1973305" y="534306"/>
                </a:cubicBezTo>
                <a:lnTo>
                  <a:pt x="1973305" y="542506"/>
                </a:lnTo>
                <a:lnTo>
                  <a:pt x="0" y="542506"/>
                </a:lnTo>
                <a:close/>
              </a:path>
            </a:pathLst>
          </a:custGeom>
          <a:gradFill flip="none" rotWithShape="1">
            <a:gsLst>
              <a:gs pos="0">
                <a:srgbClr val="06A697">
                  <a:shade val="30000"/>
                  <a:satMod val="115000"/>
                </a:srgbClr>
              </a:gs>
              <a:gs pos="50000">
                <a:srgbClr val="06A697">
                  <a:shade val="67500"/>
                  <a:satMod val="115000"/>
                </a:srgbClr>
              </a:gs>
              <a:gs pos="100000">
                <a:srgbClr val="06A697">
                  <a:shade val="100000"/>
                  <a:satMod val="115000"/>
                </a:srgbClr>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s-MX"/>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fld id="{58A40886-409A-4E24-A12D-7A583C021E2F}" type="TxLink">
              <a:rPr lang="en-US" sz="1200" b="0" i="0" u="none" strike="noStrike">
                <a:solidFill>
                  <a:srgbClr val="FFFFFF"/>
                </a:solidFill>
                <a:latin typeface="Calibri"/>
                <a:ea typeface="Calibri"/>
                <a:cs typeface="Calibri"/>
              </a:rPr>
              <a:pPr algn="l"/>
              <a:t> $9,578,183.00 </a:t>
            </a:fld>
            <a:endParaRPr lang="es-MX" sz="2000"/>
          </a:p>
        </xdr:txBody>
      </xdr:sp>
      <xdr:sp macro="" textlink="">
        <xdr:nvSpPr>
          <xdr:cNvPr id="31" name="Rectángulo 11">
            <a:extLst>
              <a:ext uri="{FF2B5EF4-FFF2-40B4-BE49-F238E27FC236}">
                <a16:creationId xmlns:a16="http://schemas.microsoft.com/office/drawing/2014/main" id="{00000000-0008-0000-1900-00001F000000}"/>
              </a:ext>
            </a:extLst>
          </xdr:cNvPr>
          <xdr:cNvSpPr/>
        </xdr:nvSpPr>
        <xdr:spPr>
          <a:xfrm>
            <a:off x="5015345" y="4036869"/>
            <a:ext cx="389656" cy="539172"/>
          </a:xfrm>
          <a:custGeom>
            <a:avLst/>
            <a:gdLst>
              <a:gd name="connsiteX0" fmla="*/ 0 w 669044"/>
              <a:gd name="connsiteY0" fmla="*/ 0 h 297872"/>
              <a:gd name="connsiteX1" fmla="*/ 669044 w 669044"/>
              <a:gd name="connsiteY1" fmla="*/ 0 h 297872"/>
              <a:gd name="connsiteX2" fmla="*/ 669044 w 669044"/>
              <a:gd name="connsiteY2" fmla="*/ 297872 h 297872"/>
              <a:gd name="connsiteX3" fmla="*/ 0 w 669044"/>
              <a:gd name="connsiteY3" fmla="*/ 297872 h 297872"/>
              <a:gd name="connsiteX4" fmla="*/ 0 w 669044"/>
              <a:gd name="connsiteY4" fmla="*/ 0 h 297872"/>
              <a:gd name="connsiteX0" fmla="*/ 0 w 983369"/>
              <a:gd name="connsiteY0" fmla="*/ 133350 h 431222"/>
              <a:gd name="connsiteX1" fmla="*/ 983369 w 983369"/>
              <a:gd name="connsiteY1" fmla="*/ 0 h 431222"/>
              <a:gd name="connsiteX2" fmla="*/ 669044 w 983369"/>
              <a:gd name="connsiteY2" fmla="*/ 431222 h 431222"/>
              <a:gd name="connsiteX3" fmla="*/ 0 w 983369"/>
              <a:gd name="connsiteY3" fmla="*/ 431222 h 431222"/>
              <a:gd name="connsiteX4" fmla="*/ 0 w 983369"/>
              <a:gd name="connsiteY4" fmla="*/ 133350 h 431222"/>
              <a:gd name="connsiteX0" fmla="*/ 0 w 983369"/>
              <a:gd name="connsiteY0" fmla="*/ 133350 h 539172"/>
              <a:gd name="connsiteX1" fmla="*/ 983369 w 983369"/>
              <a:gd name="connsiteY1" fmla="*/ 0 h 539172"/>
              <a:gd name="connsiteX2" fmla="*/ 983369 w 983369"/>
              <a:gd name="connsiteY2" fmla="*/ 539172 h 539172"/>
              <a:gd name="connsiteX3" fmla="*/ 0 w 983369"/>
              <a:gd name="connsiteY3" fmla="*/ 431222 h 539172"/>
              <a:gd name="connsiteX4" fmla="*/ 0 w 983369"/>
              <a:gd name="connsiteY4" fmla="*/ 133350 h 53917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83369" h="539172">
                <a:moveTo>
                  <a:pt x="0" y="133350"/>
                </a:moveTo>
                <a:lnTo>
                  <a:pt x="983369" y="0"/>
                </a:lnTo>
                <a:lnTo>
                  <a:pt x="983369" y="539172"/>
                </a:lnTo>
                <a:lnTo>
                  <a:pt x="0" y="431222"/>
                </a:lnTo>
                <a:lnTo>
                  <a:pt x="0" y="133350"/>
                </a:lnTo>
                <a:close/>
              </a:path>
            </a:pathLst>
          </a:custGeom>
          <a:gradFill flip="none" rotWithShape="1">
            <a:gsLst>
              <a:gs pos="0">
                <a:srgbClr val="06A697">
                  <a:shade val="30000"/>
                  <a:satMod val="115000"/>
                </a:srgbClr>
              </a:gs>
              <a:gs pos="50000">
                <a:srgbClr val="06A697">
                  <a:shade val="67500"/>
                  <a:satMod val="115000"/>
                </a:srgbClr>
              </a:gs>
              <a:gs pos="100000">
                <a:srgbClr val="06A697">
                  <a:shade val="100000"/>
                  <a:satMod val="115000"/>
                </a:srgbClr>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s-MX"/>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MX"/>
          </a:p>
        </xdr:txBody>
      </xdr:sp>
      <xdr:sp macro="" textlink="$H$9">
        <xdr:nvSpPr>
          <xdr:cNvPr id="32" name="Forma libre: forma 31">
            <a:extLst>
              <a:ext uri="{FF2B5EF4-FFF2-40B4-BE49-F238E27FC236}">
                <a16:creationId xmlns:a16="http://schemas.microsoft.com/office/drawing/2014/main" id="{00000000-0008-0000-1900-000020000000}"/>
              </a:ext>
            </a:extLst>
          </xdr:cNvPr>
          <xdr:cNvSpPr/>
        </xdr:nvSpPr>
        <xdr:spPr>
          <a:xfrm>
            <a:off x="5389998" y="3236309"/>
            <a:ext cx="1973304" cy="542506"/>
          </a:xfrm>
          <a:custGeom>
            <a:avLst/>
            <a:gdLst>
              <a:gd name="connsiteX0" fmla="*/ 0 w 1973305"/>
              <a:gd name="connsiteY0" fmla="*/ 0 h 542506"/>
              <a:gd name="connsiteX1" fmla="*/ 1973305 w 1973305"/>
              <a:gd name="connsiteY1" fmla="*/ 0 h 542506"/>
              <a:gd name="connsiteX2" fmla="*/ 1973305 w 1973305"/>
              <a:gd name="connsiteY2" fmla="*/ 3123 h 542506"/>
              <a:gd name="connsiteX3" fmla="*/ 1927797 w 1973305"/>
              <a:gd name="connsiteY3" fmla="*/ 16338 h 542506"/>
              <a:gd name="connsiteX4" fmla="*/ 1745316 w 1973305"/>
              <a:gd name="connsiteY4" fmla="*/ 273867 h 542506"/>
              <a:gd name="connsiteX5" fmla="*/ 1927797 w 1973305"/>
              <a:gd name="connsiteY5" fmla="*/ 531396 h 542506"/>
              <a:gd name="connsiteX6" fmla="*/ 1966057 w 1973305"/>
              <a:gd name="connsiteY6" fmla="*/ 542506 h 542506"/>
              <a:gd name="connsiteX7" fmla="*/ 0 w 1973305"/>
              <a:gd name="connsiteY7" fmla="*/ 542506 h 5425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973305" h="542506">
                <a:moveTo>
                  <a:pt x="0" y="0"/>
                </a:moveTo>
                <a:lnTo>
                  <a:pt x="1973305" y="0"/>
                </a:lnTo>
                <a:lnTo>
                  <a:pt x="1973305" y="3123"/>
                </a:lnTo>
                <a:lnTo>
                  <a:pt x="1927797" y="16338"/>
                </a:lnTo>
                <a:cubicBezTo>
                  <a:pt x="1820561" y="58767"/>
                  <a:pt x="1745316" y="158097"/>
                  <a:pt x="1745316" y="273867"/>
                </a:cubicBezTo>
                <a:cubicBezTo>
                  <a:pt x="1745316" y="389637"/>
                  <a:pt x="1820561" y="488967"/>
                  <a:pt x="1927797" y="531396"/>
                </a:cubicBezTo>
                <a:lnTo>
                  <a:pt x="1966057" y="542506"/>
                </a:lnTo>
                <a:lnTo>
                  <a:pt x="0" y="542506"/>
                </a:lnTo>
                <a:close/>
              </a:path>
            </a:pathLst>
          </a:cu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s-MX"/>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fld id="{3795E4D6-2BA5-4B7F-AEA9-791858832B35}" type="TxLink">
              <a:rPr lang="en-US" sz="1050" b="0" i="0" u="none" strike="noStrike">
                <a:solidFill>
                  <a:srgbClr val="FFFFFF"/>
                </a:solidFill>
                <a:latin typeface="Calibri"/>
                <a:ea typeface="Calibri"/>
                <a:cs typeface="Calibri"/>
              </a:rPr>
              <a:pPr algn="l"/>
              <a:t> $19,022,000.00 </a:t>
            </a:fld>
            <a:endParaRPr lang="es-MX" sz="1600"/>
          </a:p>
        </xdr:txBody>
      </xdr:sp>
      <xdr:sp macro="" textlink="$F$9">
        <xdr:nvSpPr>
          <xdr:cNvPr id="33" name="Forma libre: forma 32">
            <a:extLst>
              <a:ext uri="{FF2B5EF4-FFF2-40B4-BE49-F238E27FC236}">
                <a16:creationId xmlns:a16="http://schemas.microsoft.com/office/drawing/2014/main" id="{00000000-0008-0000-1900-000021000000}"/>
              </a:ext>
            </a:extLst>
          </xdr:cNvPr>
          <xdr:cNvSpPr/>
        </xdr:nvSpPr>
        <xdr:spPr>
          <a:xfrm>
            <a:off x="5408104" y="4827106"/>
            <a:ext cx="1973304" cy="542506"/>
          </a:xfrm>
          <a:custGeom>
            <a:avLst/>
            <a:gdLst>
              <a:gd name="connsiteX0" fmla="*/ 0 w 1973305"/>
              <a:gd name="connsiteY0" fmla="*/ 0 h 542506"/>
              <a:gd name="connsiteX1" fmla="*/ 1973305 w 1973305"/>
              <a:gd name="connsiteY1" fmla="*/ 0 h 542506"/>
              <a:gd name="connsiteX2" fmla="*/ 1973305 w 1973305"/>
              <a:gd name="connsiteY2" fmla="*/ 930 h 542506"/>
              <a:gd name="connsiteX3" fmla="*/ 1938817 w 1973305"/>
              <a:gd name="connsiteY3" fmla="*/ 10716 h 542506"/>
              <a:gd name="connsiteX4" fmla="*/ 1753886 w 1973305"/>
              <a:gd name="connsiteY4" fmla="*/ 265736 h 542506"/>
              <a:gd name="connsiteX5" fmla="*/ 1938817 w 1973305"/>
              <a:gd name="connsiteY5" fmla="*/ 520756 h 542506"/>
              <a:gd name="connsiteX6" fmla="*/ 1973305 w 1973305"/>
              <a:gd name="connsiteY6" fmla="*/ 530542 h 542506"/>
              <a:gd name="connsiteX7" fmla="*/ 1973305 w 1973305"/>
              <a:gd name="connsiteY7" fmla="*/ 542506 h 542506"/>
              <a:gd name="connsiteX8" fmla="*/ 0 w 1973305"/>
              <a:gd name="connsiteY8" fmla="*/ 542506 h 5425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973305" h="542506">
                <a:moveTo>
                  <a:pt x="0" y="0"/>
                </a:moveTo>
                <a:lnTo>
                  <a:pt x="1973305" y="0"/>
                </a:lnTo>
                <a:lnTo>
                  <a:pt x="1973305" y="930"/>
                </a:lnTo>
                <a:lnTo>
                  <a:pt x="1938817" y="10716"/>
                </a:lnTo>
                <a:cubicBezTo>
                  <a:pt x="1830141" y="52732"/>
                  <a:pt x="1753886" y="151094"/>
                  <a:pt x="1753886" y="265736"/>
                </a:cubicBezTo>
                <a:cubicBezTo>
                  <a:pt x="1753886" y="380378"/>
                  <a:pt x="1830141" y="478740"/>
                  <a:pt x="1938817" y="520756"/>
                </a:cubicBezTo>
                <a:lnTo>
                  <a:pt x="1973305" y="530542"/>
                </a:lnTo>
                <a:lnTo>
                  <a:pt x="1973305" y="542506"/>
                </a:lnTo>
                <a:lnTo>
                  <a:pt x="0" y="542506"/>
                </a:lnTo>
                <a:close/>
              </a:path>
            </a:pathLst>
          </a:cu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s-MX"/>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fld id="{A5B5EA2E-24A5-4F26-B9C2-3A0A37E32EDB}" type="TxLink">
              <a:rPr lang="en-US" sz="1200" b="0" i="0" u="none" strike="noStrike">
                <a:solidFill>
                  <a:srgbClr val="FFFFFF"/>
                </a:solidFill>
                <a:latin typeface="Calibri"/>
                <a:ea typeface="Calibri"/>
                <a:cs typeface="Calibri"/>
              </a:rPr>
              <a:pPr algn="l"/>
              <a:t> $28,600,183.00 </a:t>
            </a:fld>
            <a:endParaRPr lang="es-MX" sz="2000"/>
          </a:p>
        </xdr:txBody>
      </xdr:sp>
      <xdr:sp macro="" textlink="">
        <xdr:nvSpPr>
          <xdr:cNvPr id="34" name="Rectángulo 33">
            <a:extLst>
              <a:ext uri="{FF2B5EF4-FFF2-40B4-BE49-F238E27FC236}">
                <a16:creationId xmlns:a16="http://schemas.microsoft.com/office/drawing/2014/main" id="{00000000-0008-0000-1900-000022000000}"/>
              </a:ext>
            </a:extLst>
          </xdr:cNvPr>
          <xdr:cNvSpPr/>
        </xdr:nvSpPr>
        <xdr:spPr>
          <a:xfrm>
            <a:off x="4022148" y="4643648"/>
            <a:ext cx="991566" cy="297872"/>
          </a:xfrm>
          <a:prstGeom prst="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s-MX"/>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35" name="Rectángulo 11">
            <a:extLst>
              <a:ext uri="{FF2B5EF4-FFF2-40B4-BE49-F238E27FC236}">
                <a16:creationId xmlns:a16="http://schemas.microsoft.com/office/drawing/2014/main" id="{00000000-0008-0000-1900-000023000000}"/>
              </a:ext>
            </a:extLst>
          </xdr:cNvPr>
          <xdr:cNvSpPr/>
        </xdr:nvSpPr>
        <xdr:spPr>
          <a:xfrm>
            <a:off x="5007224" y="4644190"/>
            <a:ext cx="394261" cy="716971"/>
          </a:xfrm>
          <a:custGeom>
            <a:avLst/>
            <a:gdLst>
              <a:gd name="connsiteX0" fmla="*/ 0 w 669044"/>
              <a:gd name="connsiteY0" fmla="*/ 0 h 297872"/>
              <a:gd name="connsiteX1" fmla="*/ 669044 w 669044"/>
              <a:gd name="connsiteY1" fmla="*/ 0 h 297872"/>
              <a:gd name="connsiteX2" fmla="*/ 669044 w 669044"/>
              <a:gd name="connsiteY2" fmla="*/ 297872 h 297872"/>
              <a:gd name="connsiteX3" fmla="*/ 0 w 669044"/>
              <a:gd name="connsiteY3" fmla="*/ 297872 h 297872"/>
              <a:gd name="connsiteX4" fmla="*/ 0 w 669044"/>
              <a:gd name="connsiteY4" fmla="*/ 0 h 297872"/>
              <a:gd name="connsiteX0" fmla="*/ 0 w 983369"/>
              <a:gd name="connsiteY0" fmla="*/ 133350 h 431222"/>
              <a:gd name="connsiteX1" fmla="*/ 983369 w 983369"/>
              <a:gd name="connsiteY1" fmla="*/ 0 h 431222"/>
              <a:gd name="connsiteX2" fmla="*/ 669044 w 983369"/>
              <a:gd name="connsiteY2" fmla="*/ 431222 h 431222"/>
              <a:gd name="connsiteX3" fmla="*/ 0 w 983369"/>
              <a:gd name="connsiteY3" fmla="*/ 431222 h 431222"/>
              <a:gd name="connsiteX4" fmla="*/ 0 w 983369"/>
              <a:gd name="connsiteY4" fmla="*/ 133350 h 431222"/>
              <a:gd name="connsiteX0" fmla="*/ 0 w 983369"/>
              <a:gd name="connsiteY0" fmla="*/ 133350 h 539172"/>
              <a:gd name="connsiteX1" fmla="*/ 983369 w 983369"/>
              <a:gd name="connsiteY1" fmla="*/ 0 h 539172"/>
              <a:gd name="connsiteX2" fmla="*/ 983369 w 983369"/>
              <a:gd name="connsiteY2" fmla="*/ 539172 h 539172"/>
              <a:gd name="connsiteX3" fmla="*/ 0 w 983369"/>
              <a:gd name="connsiteY3" fmla="*/ 431222 h 539172"/>
              <a:gd name="connsiteX4" fmla="*/ 0 w 983369"/>
              <a:gd name="connsiteY4" fmla="*/ 133350 h 539172"/>
              <a:gd name="connsiteX0" fmla="*/ 0 w 986544"/>
              <a:gd name="connsiteY0" fmla="*/ 0 h 716972"/>
              <a:gd name="connsiteX1" fmla="*/ 986544 w 986544"/>
              <a:gd name="connsiteY1" fmla="*/ 177800 h 716972"/>
              <a:gd name="connsiteX2" fmla="*/ 986544 w 986544"/>
              <a:gd name="connsiteY2" fmla="*/ 716972 h 716972"/>
              <a:gd name="connsiteX3" fmla="*/ 3175 w 986544"/>
              <a:gd name="connsiteY3" fmla="*/ 609022 h 716972"/>
              <a:gd name="connsiteX4" fmla="*/ 0 w 986544"/>
              <a:gd name="connsiteY4" fmla="*/ 0 h 716972"/>
              <a:gd name="connsiteX0" fmla="*/ 3315 w 989859"/>
              <a:gd name="connsiteY0" fmla="*/ 0 h 716972"/>
              <a:gd name="connsiteX1" fmla="*/ 989859 w 989859"/>
              <a:gd name="connsiteY1" fmla="*/ 177800 h 716972"/>
              <a:gd name="connsiteX2" fmla="*/ 989859 w 989859"/>
              <a:gd name="connsiteY2" fmla="*/ 716972 h 716972"/>
              <a:gd name="connsiteX3" fmla="*/ 140 w 989859"/>
              <a:gd name="connsiteY3" fmla="*/ 294697 h 716972"/>
              <a:gd name="connsiteX4" fmla="*/ 3315 w 989859"/>
              <a:gd name="connsiteY4" fmla="*/ 0 h 71697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89859" h="716972">
                <a:moveTo>
                  <a:pt x="3315" y="0"/>
                </a:moveTo>
                <a:lnTo>
                  <a:pt x="989859" y="177800"/>
                </a:lnTo>
                <a:lnTo>
                  <a:pt x="989859" y="716972"/>
                </a:lnTo>
                <a:lnTo>
                  <a:pt x="140" y="294697"/>
                </a:lnTo>
                <a:cubicBezTo>
                  <a:pt x="-918" y="91690"/>
                  <a:pt x="4373" y="203007"/>
                  <a:pt x="3315" y="0"/>
                </a:cubicBezTo>
                <a:close/>
              </a:path>
            </a:pathLst>
          </a:cu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s-MX"/>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36" name="Rectángulo 35">
            <a:extLst>
              <a:ext uri="{FF2B5EF4-FFF2-40B4-BE49-F238E27FC236}">
                <a16:creationId xmlns:a16="http://schemas.microsoft.com/office/drawing/2014/main" id="{00000000-0008-0000-1900-000024000000}"/>
              </a:ext>
            </a:extLst>
          </xdr:cNvPr>
          <xdr:cNvSpPr/>
        </xdr:nvSpPr>
        <xdr:spPr>
          <a:xfrm>
            <a:off x="4022148" y="3724118"/>
            <a:ext cx="991566" cy="297872"/>
          </a:xfrm>
          <a:prstGeom prst="rect">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s-MX"/>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37" name="Rectángulo 11">
            <a:extLst>
              <a:ext uri="{FF2B5EF4-FFF2-40B4-BE49-F238E27FC236}">
                <a16:creationId xmlns:a16="http://schemas.microsoft.com/office/drawing/2014/main" id="{00000000-0008-0000-1900-000025000000}"/>
              </a:ext>
            </a:extLst>
          </xdr:cNvPr>
          <xdr:cNvSpPr/>
        </xdr:nvSpPr>
        <xdr:spPr>
          <a:xfrm>
            <a:off x="4997239" y="3248703"/>
            <a:ext cx="389656" cy="770947"/>
          </a:xfrm>
          <a:custGeom>
            <a:avLst/>
            <a:gdLst>
              <a:gd name="connsiteX0" fmla="*/ 0 w 669044"/>
              <a:gd name="connsiteY0" fmla="*/ 0 h 297872"/>
              <a:gd name="connsiteX1" fmla="*/ 669044 w 669044"/>
              <a:gd name="connsiteY1" fmla="*/ 0 h 297872"/>
              <a:gd name="connsiteX2" fmla="*/ 669044 w 669044"/>
              <a:gd name="connsiteY2" fmla="*/ 297872 h 297872"/>
              <a:gd name="connsiteX3" fmla="*/ 0 w 669044"/>
              <a:gd name="connsiteY3" fmla="*/ 297872 h 297872"/>
              <a:gd name="connsiteX4" fmla="*/ 0 w 669044"/>
              <a:gd name="connsiteY4" fmla="*/ 0 h 297872"/>
              <a:gd name="connsiteX0" fmla="*/ 0 w 983369"/>
              <a:gd name="connsiteY0" fmla="*/ 133350 h 431222"/>
              <a:gd name="connsiteX1" fmla="*/ 983369 w 983369"/>
              <a:gd name="connsiteY1" fmla="*/ 0 h 431222"/>
              <a:gd name="connsiteX2" fmla="*/ 669044 w 983369"/>
              <a:gd name="connsiteY2" fmla="*/ 431222 h 431222"/>
              <a:gd name="connsiteX3" fmla="*/ 0 w 983369"/>
              <a:gd name="connsiteY3" fmla="*/ 431222 h 431222"/>
              <a:gd name="connsiteX4" fmla="*/ 0 w 983369"/>
              <a:gd name="connsiteY4" fmla="*/ 133350 h 431222"/>
              <a:gd name="connsiteX0" fmla="*/ 0 w 983369"/>
              <a:gd name="connsiteY0" fmla="*/ 133350 h 539172"/>
              <a:gd name="connsiteX1" fmla="*/ 983369 w 983369"/>
              <a:gd name="connsiteY1" fmla="*/ 0 h 539172"/>
              <a:gd name="connsiteX2" fmla="*/ 983369 w 983369"/>
              <a:gd name="connsiteY2" fmla="*/ 539172 h 539172"/>
              <a:gd name="connsiteX3" fmla="*/ 0 w 983369"/>
              <a:gd name="connsiteY3" fmla="*/ 431222 h 539172"/>
              <a:gd name="connsiteX4" fmla="*/ 0 w 983369"/>
              <a:gd name="connsiteY4" fmla="*/ 133350 h 539172"/>
              <a:gd name="connsiteX0" fmla="*/ 0 w 983369"/>
              <a:gd name="connsiteY0" fmla="*/ 133350 h 761422"/>
              <a:gd name="connsiteX1" fmla="*/ 983369 w 983369"/>
              <a:gd name="connsiteY1" fmla="*/ 0 h 761422"/>
              <a:gd name="connsiteX2" fmla="*/ 983369 w 983369"/>
              <a:gd name="connsiteY2" fmla="*/ 539172 h 761422"/>
              <a:gd name="connsiteX3" fmla="*/ 0 w 983369"/>
              <a:gd name="connsiteY3" fmla="*/ 761422 h 761422"/>
              <a:gd name="connsiteX4" fmla="*/ 0 w 983369"/>
              <a:gd name="connsiteY4" fmla="*/ 133350 h 761422"/>
              <a:gd name="connsiteX0" fmla="*/ 6350 w 989719"/>
              <a:gd name="connsiteY0" fmla="*/ 133350 h 770947"/>
              <a:gd name="connsiteX1" fmla="*/ 989719 w 989719"/>
              <a:gd name="connsiteY1" fmla="*/ 0 h 770947"/>
              <a:gd name="connsiteX2" fmla="*/ 989719 w 989719"/>
              <a:gd name="connsiteY2" fmla="*/ 539172 h 770947"/>
              <a:gd name="connsiteX3" fmla="*/ 0 w 989719"/>
              <a:gd name="connsiteY3" fmla="*/ 770947 h 770947"/>
              <a:gd name="connsiteX4" fmla="*/ 6350 w 989719"/>
              <a:gd name="connsiteY4" fmla="*/ 133350 h 770947"/>
              <a:gd name="connsiteX0" fmla="*/ 384 w 993278"/>
              <a:gd name="connsiteY0" fmla="*/ 479425 h 770947"/>
              <a:gd name="connsiteX1" fmla="*/ 993278 w 993278"/>
              <a:gd name="connsiteY1" fmla="*/ 0 h 770947"/>
              <a:gd name="connsiteX2" fmla="*/ 993278 w 993278"/>
              <a:gd name="connsiteY2" fmla="*/ 539172 h 770947"/>
              <a:gd name="connsiteX3" fmla="*/ 3559 w 993278"/>
              <a:gd name="connsiteY3" fmla="*/ 770947 h 770947"/>
              <a:gd name="connsiteX4" fmla="*/ 384 w 993278"/>
              <a:gd name="connsiteY4" fmla="*/ 479425 h 77094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93278" h="770947">
                <a:moveTo>
                  <a:pt x="384" y="479425"/>
                </a:moveTo>
                <a:lnTo>
                  <a:pt x="993278" y="0"/>
                </a:lnTo>
                <a:lnTo>
                  <a:pt x="993278" y="539172"/>
                </a:lnTo>
                <a:lnTo>
                  <a:pt x="3559" y="770947"/>
                </a:lnTo>
                <a:cubicBezTo>
                  <a:pt x="5676" y="558415"/>
                  <a:pt x="-1733" y="691957"/>
                  <a:pt x="384" y="479425"/>
                </a:cubicBezTo>
                <a:close/>
              </a:path>
            </a:pathLst>
          </a:cu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s-MX"/>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38" name="Elipse 37">
            <a:extLst>
              <a:ext uri="{FF2B5EF4-FFF2-40B4-BE49-F238E27FC236}">
                <a16:creationId xmlns:a16="http://schemas.microsoft.com/office/drawing/2014/main" id="{00000000-0008-0000-1900-000026000000}"/>
              </a:ext>
            </a:extLst>
          </xdr:cNvPr>
          <xdr:cNvSpPr/>
        </xdr:nvSpPr>
        <xdr:spPr>
          <a:xfrm>
            <a:off x="7217391" y="3128183"/>
            <a:ext cx="1767257" cy="713059"/>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08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s-MX"/>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MX" sz="1100" b="1"/>
              <a:t>ADEUDO</a:t>
            </a:r>
          </a:p>
        </xdr:txBody>
      </xdr:sp>
      <xdr:sp macro="" textlink="">
        <xdr:nvSpPr>
          <xdr:cNvPr id="39" name="Elipse 38">
            <a:extLst>
              <a:ext uri="{FF2B5EF4-FFF2-40B4-BE49-F238E27FC236}">
                <a16:creationId xmlns:a16="http://schemas.microsoft.com/office/drawing/2014/main" id="{00000000-0008-0000-1900-000027000000}"/>
              </a:ext>
            </a:extLst>
          </xdr:cNvPr>
          <xdr:cNvSpPr/>
        </xdr:nvSpPr>
        <xdr:spPr>
          <a:xfrm>
            <a:off x="7118379" y="3928743"/>
            <a:ext cx="1767257" cy="708677"/>
          </a:xfrm>
          <a:prstGeom prst="ellipse">
            <a:avLst/>
          </a:prstGeom>
          <a:gradFill flip="none" rotWithShape="1">
            <a:gsLst>
              <a:gs pos="0">
                <a:srgbClr val="06A697">
                  <a:shade val="30000"/>
                  <a:satMod val="115000"/>
                </a:srgbClr>
              </a:gs>
              <a:gs pos="50000">
                <a:srgbClr val="06A697">
                  <a:shade val="67500"/>
                  <a:satMod val="115000"/>
                </a:srgbClr>
              </a:gs>
              <a:gs pos="100000">
                <a:srgbClr val="06A697">
                  <a:shade val="100000"/>
                  <a:satMod val="115000"/>
                </a:srgbClr>
              </a:gs>
            </a:gsLst>
            <a:lin ang="108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s-MX"/>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MX" sz="1100" b="1"/>
              <a:t>PAGO</a:t>
            </a:r>
          </a:p>
        </xdr:txBody>
      </xdr:sp>
      <xdr:sp macro="" textlink="">
        <xdr:nvSpPr>
          <xdr:cNvPr id="40" name="Elipse 39">
            <a:extLst>
              <a:ext uri="{FF2B5EF4-FFF2-40B4-BE49-F238E27FC236}">
                <a16:creationId xmlns:a16="http://schemas.microsoft.com/office/drawing/2014/main" id="{00000000-0008-0000-1900-000028000000}"/>
              </a:ext>
            </a:extLst>
          </xdr:cNvPr>
          <xdr:cNvSpPr/>
        </xdr:nvSpPr>
        <xdr:spPr>
          <a:xfrm>
            <a:off x="7234427" y="4695844"/>
            <a:ext cx="1767257" cy="708677"/>
          </a:xfrm>
          <a:prstGeom prst="ellipse">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08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s-MX"/>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MX" sz="1100" b="1"/>
              <a:t>P/U</a:t>
            </a:r>
          </a:p>
        </xdr:txBody>
      </xdr:sp>
      <xdr:sp macro="" textlink="">
        <xdr:nvSpPr>
          <xdr:cNvPr id="41" name="Elipse 40">
            <a:extLst>
              <a:ext uri="{FF2B5EF4-FFF2-40B4-BE49-F238E27FC236}">
                <a16:creationId xmlns:a16="http://schemas.microsoft.com/office/drawing/2014/main" id="{00000000-0008-0000-1900-000029000000}"/>
              </a:ext>
            </a:extLst>
          </xdr:cNvPr>
          <xdr:cNvSpPr/>
        </xdr:nvSpPr>
        <xdr:spPr>
          <a:xfrm>
            <a:off x="2048843" y="3359578"/>
            <a:ext cx="2180581" cy="1940613"/>
          </a:xfrm>
          <a:prstGeom prst="ellipse">
            <a:avLst/>
          </a:prstGeom>
          <a:solidFill>
            <a:schemeClr val="bg1"/>
          </a:solidFill>
          <a:ln w="57150">
            <a:noFill/>
            <a:prstDash val="lgDash"/>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s-MX"/>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MX"/>
          </a:p>
        </xdr:txBody>
      </xdr:sp>
      <xdr:pic>
        <xdr:nvPicPr>
          <xdr:cNvPr id="42" name="Imagen 41">
            <a:extLst>
              <a:ext uri="{FF2B5EF4-FFF2-40B4-BE49-F238E27FC236}">
                <a16:creationId xmlns:a16="http://schemas.microsoft.com/office/drawing/2014/main" id="{00000000-0008-0000-1900-00002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81208" y="3525583"/>
            <a:ext cx="1973306" cy="1757349"/>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12</xdr:col>
          <xdr:colOff>45720</xdr:colOff>
          <xdr:row>2</xdr:row>
          <xdr:rowOff>106680</xdr:rowOff>
        </xdr:from>
        <xdr:to>
          <xdr:col>13</xdr:col>
          <xdr:colOff>419100</xdr:colOff>
          <xdr:row>4</xdr:row>
          <xdr:rowOff>167640</xdr:rowOff>
        </xdr:to>
        <xdr:sp macro="" textlink="">
          <xdr:nvSpPr>
            <xdr:cNvPr id="78862" name="bt_niv_lobby" hidden="1">
              <a:extLst>
                <a:ext uri="{63B3BB69-23CF-44E3-9099-C40C66FF867C}">
                  <a14:compatExt spid="_x0000_s78862"/>
                </a:ext>
                <a:ext uri="{FF2B5EF4-FFF2-40B4-BE49-F238E27FC236}">
                  <a16:creationId xmlns:a16="http://schemas.microsoft.com/office/drawing/2014/main" id="{00000000-0008-0000-1900-00000E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1</xdr:col>
      <xdr:colOff>9525</xdr:colOff>
      <xdr:row>2</xdr:row>
      <xdr:rowOff>38099</xdr:rowOff>
    </xdr:from>
    <xdr:to>
      <xdr:col>2</xdr:col>
      <xdr:colOff>1000125</xdr:colOff>
      <xdr:row>8</xdr:row>
      <xdr:rowOff>180974</xdr:rowOff>
    </xdr:to>
    <xdr:grpSp>
      <xdr:nvGrpSpPr>
        <xdr:cNvPr id="4" name="Grupo 3">
          <a:extLst>
            <a:ext uri="{FF2B5EF4-FFF2-40B4-BE49-F238E27FC236}">
              <a16:creationId xmlns:a16="http://schemas.microsoft.com/office/drawing/2014/main" id="{00000000-0008-0000-1A00-000004000000}"/>
            </a:ext>
          </a:extLst>
        </xdr:cNvPr>
        <xdr:cNvGrpSpPr/>
      </xdr:nvGrpSpPr>
      <xdr:grpSpPr>
        <a:xfrm>
          <a:off x="802005" y="403859"/>
          <a:ext cx="2819400" cy="1240155"/>
          <a:chOff x="1781175" y="35183"/>
          <a:chExt cx="2771775" cy="1298996"/>
        </a:xfrm>
      </xdr:grpSpPr>
      <xdr:sp macro="" textlink="">
        <xdr:nvSpPr>
          <xdr:cNvPr id="5" name="Rectángulo 4">
            <a:extLst>
              <a:ext uri="{FF2B5EF4-FFF2-40B4-BE49-F238E27FC236}">
                <a16:creationId xmlns:a16="http://schemas.microsoft.com/office/drawing/2014/main" id="{00000000-0008-0000-1A00-000005000000}"/>
              </a:ext>
            </a:extLst>
          </xdr:cNvPr>
          <xdr:cNvSpPr/>
        </xdr:nvSpPr>
        <xdr:spPr>
          <a:xfrm>
            <a:off x="1781175" y="35183"/>
            <a:ext cx="2771775" cy="1298996"/>
          </a:xfrm>
          <a:prstGeom prst="rect">
            <a:avLst/>
          </a:prstGeom>
          <a:gradFill>
            <a:gsLst>
              <a:gs pos="0">
                <a:schemeClr val="accent1">
                  <a:lumMod val="5000"/>
                  <a:lumOff val="95000"/>
                </a:schemeClr>
              </a:gs>
              <a:gs pos="95000">
                <a:schemeClr val="bg1">
                  <a:lumMod val="85000"/>
                </a:schemeClr>
              </a:gs>
            </a:gsLst>
            <a:lin ang="5400000" scaled="1"/>
          </a:gradFill>
          <a:ln>
            <a:solidFill>
              <a:schemeClr val="bg1">
                <a:lumMod val="95000"/>
              </a:schemeClr>
            </a:solidFill>
          </a:ln>
          <a:effectLst>
            <a:outerShdw blurRad="50800" dist="38100" dir="18900000" algn="b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s-MX" sz="1600" b="1">
                <a:solidFill>
                  <a:srgbClr val="00B050"/>
                </a:solidFill>
                <a:effectLst>
                  <a:outerShdw blurRad="50800" dist="38100" dir="18900000" algn="bl" rotWithShape="0">
                    <a:prstClr val="black">
                      <a:alpha val="40000"/>
                    </a:prstClr>
                  </a:outerShdw>
                </a:effectLst>
              </a:rPr>
              <a:t>BUSCAR CLIENTE</a:t>
            </a:r>
          </a:p>
        </xdr:txBody>
      </xdr:sp>
      <mc:AlternateContent xmlns:mc="http://schemas.openxmlformats.org/markup-compatibility/2006">
        <mc:Choice xmlns:a14="http://schemas.microsoft.com/office/drawing/2010/main" Requires="a14">
          <xdr:sp macro="" textlink="">
            <xdr:nvSpPr>
              <xdr:cNvPr id="84994" name="TextBox1BUSCPAGOS" hidden="1">
                <a:extLst>
                  <a:ext uri="{63B3BB69-23CF-44E3-9099-C40C66FF867C}">
                    <a14:compatExt spid="_x0000_s84994"/>
                  </a:ext>
                  <a:ext uri="{FF2B5EF4-FFF2-40B4-BE49-F238E27FC236}">
                    <a16:creationId xmlns:a16="http://schemas.microsoft.com/office/drawing/2014/main" id="{00000000-0008-0000-1A00-0000024C0100}"/>
                  </a:ext>
                </a:extLst>
              </xdr:cNvPr>
              <xdr:cNvSpPr/>
            </xdr:nvSpPr>
            <xdr:spPr bwMode="auto">
              <a:xfrm>
                <a:off x="1885950" y="387512"/>
                <a:ext cx="2343150" cy="266700"/>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6</xdr:col>
          <xdr:colOff>121920</xdr:colOff>
          <xdr:row>3</xdr:row>
          <xdr:rowOff>175260</xdr:rowOff>
        </xdr:from>
        <xdr:to>
          <xdr:col>7</xdr:col>
          <xdr:colOff>312420</xdr:colOff>
          <xdr:row>5</xdr:row>
          <xdr:rowOff>167640</xdr:rowOff>
        </xdr:to>
        <xdr:sp macro="" textlink="">
          <xdr:nvSpPr>
            <xdr:cNvPr id="84995" name="BTLOBBYPAGOS" hidden="1">
              <a:extLst>
                <a:ext uri="{63B3BB69-23CF-44E3-9099-C40C66FF867C}">
                  <a14:compatExt spid="_x0000_s84995"/>
                </a:ext>
                <a:ext uri="{FF2B5EF4-FFF2-40B4-BE49-F238E27FC236}">
                  <a16:creationId xmlns:a16="http://schemas.microsoft.com/office/drawing/2014/main" id="{00000000-0008-0000-1A00-000003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38100</xdr:colOff>
      <xdr:row>5</xdr:row>
      <xdr:rowOff>114300</xdr:rowOff>
    </xdr:from>
    <xdr:to>
      <xdr:col>3</xdr:col>
      <xdr:colOff>76200</xdr:colOff>
      <xdr:row>7</xdr:row>
      <xdr:rowOff>9525</xdr:rowOff>
    </xdr:to>
    <xdr:sp macro="" textlink="">
      <xdr:nvSpPr>
        <xdr:cNvPr id="6" name="CuadroTexto 5">
          <a:extLst>
            <a:ext uri="{FF2B5EF4-FFF2-40B4-BE49-F238E27FC236}">
              <a16:creationId xmlns:a16="http://schemas.microsoft.com/office/drawing/2014/main" id="{00000000-0008-0000-1A00-000006000000}"/>
            </a:ext>
          </a:extLst>
        </xdr:cNvPr>
        <xdr:cNvSpPr txBox="1"/>
      </xdr:nvSpPr>
      <xdr:spPr>
        <a:xfrm>
          <a:off x="800100" y="1066800"/>
          <a:ext cx="29527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b="1">
              <a:solidFill>
                <a:schemeClr val="accent1">
                  <a:lumMod val="50000"/>
                </a:schemeClr>
              </a:solidFill>
            </a:rPr>
            <a:t>BUSCAR POR NUM DE CHASIS</a:t>
          </a:r>
        </a:p>
      </xdr:txBody>
    </xdr:sp>
    <xdr:clientData/>
  </xdr:twoCellAnchor>
  <mc:AlternateContent xmlns:mc="http://schemas.openxmlformats.org/markup-compatibility/2006">
    <mc:Choice xmlns:a14="http://schemas.microsoft.com/office/drawing/2010/main" Requires="a14">
      <xdr:twoCellAnchor editAs="oneCell">
        <xdr:from>
          <xdr:col>1</xdr:col>
          <xdr:colOff>106680</xdr:colOff>
          <xdr:row>7</xdr:row>
          <xdr:rowOff>7620</xdr:rowOff>
        </xdr:from>
        <xdr:to>
          <xdr:col>2</xdr:col>
          <xdr:colOff>624840</xdr:colOff>
          <xdr:row>8</xdr:row>
          <xdr:rowOff>83820</xdr:rowOff>
        </xdr:to>
        <xdr:sp macro="" textlink="">
          <xdr:nvSpPr>
            <xdr:cNvPr id="84997" name="TXB_BUS_NUM_CHASIS_PAGOS" hidden="1">
              <a:extLst>
                <a:ext uri="{63B3BB69-23CF-44E3-9099-C40C66FF867C}">
                  <a14:compatExt spid="_x0000_s84997"/>
                </a:ext>
                <a:ext uri="{FF2B5EF4-FFF2-40B4-BE49-F238E27FC236}">
                  <a16:creationId xmlns:a16="http://schemas.microsoft.com/office/drawing/2014/main" id="{00000000-0008-0000-1A00-000005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716280</xdr:colOff>
          <xdr:row>5</xdr:row>
          <xdr:rowOff>0</xdr:rowOff>
        </xdr:from>
        <xdr:to>
          <xdr:col>4</xdr:col>
          <xdr:colOff>1744980</xdr:colOff>
          <xdr:row>6</xdr:row>
          <xdr:rowOff>175260</xdr:rowOff>
        </xdr:to>
        <xdr:sp macro="" textlink="">
          <xdr:nvSpPr>
            <xdr:cNvPr id="19460" name="CommandButton1" hidden="1">
              <a:extLst>
                <a:ext uri="{63B3BB69-23CF-44E3-9099-C40C66FF867C}">
                  <a14:compatExt spid="_x0000_s19460"/>
                </a:ext>
                <a:ext uri="{FF2B5EF4-FFF2-40B4-BE49-F238E27FC236}">
                  <a16:creationId xmlns:a16="http://schemas.microsoft.com/office/drawing/2014/main" id="{00000000-0008-0000-1B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371475</xdr:colOff>
      <xdr:row>3</xdr:row>
      <xdr:rowOff>0</xdr:rowOff>
    </xdr:from>
    <xdr:to>
      <xdr:col>3</xdr:col>
      <xdr:colOff>314325</xdr:colOff>
      <xdr:row>7</xdr:row>
      <xdr:rowOff>180975</xdr:rowOff>
    </xdr:to>
    <xdr:grpSp>
      <xdr:nvGrpSpPr>
        <xdr:cNvPr id="3" name="Grupo 2">
          <a:extLst>
            <a:ext uri="{FF2B5EF4-FFF2-40B4-BE49-F238E27FC236}">
              <a16:creationId xmlns:a16="http://schemas.microsoft.com/office/drawing/2014/main" id="{00000000-0008-0000-1B00-000003000000}"/>
            </a:ext>
          </a:extLst>
        </xdr:cNvPr>
        <xdr:cNvGrpSpPr/>
      </xdr:nvGrpSpPr>
      <xdr:grpSpPr>
        <a:xfrm>
          <a:off x="371475" y="548640"/>
          <a:ext cx="3303270" cy="912495"/>
          <a:chOff x="1771650" y="333375"/>
          <a:chExt cx="3209925" cy="942975"/>
        </a:xfrm>
      </xdr:grpSpPr>
      <xdr:sp macro="" textlink="">
        <xdr:nvSpPr>
          <xdr:cNvPr id="2" name="Rectángulo 1">
            <a:extLst>
              <a:ext uri="{FF2B5EF4-FFF2-40B4-BE49-F238E27FC236}">
                <a16:creationId xmlns:a16="http://schemas.microsoft.com/office/drawing/2014/main" id="{00000000-0008-0000-1B00-000002000000}"/>
              </a:ext>
            </a:extLst>
          </xdr:cNvPr>
          <xdr:cNvSpPr/>
        </xdr:nvSpPr>
        <xdr:spPr>
          <a:xfrm>
            <a:off x="1771650" y="333375"/>
            <a:ext cx="3209925" cy="942975"/>
          </a:xfrm>
          <a:prstGeom prst="rect">
            <a:avLst/>
          </a:prstGeom>
          <a:gradFill>
            <a:gsLst>
              <a:gs pos="0">
                <a:schemeClr val="accent1">
                  <a:lumMod val="5000"/>
                  <a:lumOff val="95000"/>
                </a:schemeClr>
              </a:gs>
              <a:gs pos="95000">
                <a:schemeClr val="bg1">
                  <a:lumMod val="85000"/>
                </a:schemeClr>
              </a:gs>
            </a:gsLst>
            <a:lin ang="5400000" scaled="1"/>
          </a:gradFill>
          <a:ln>
            <a:solidFill>
              <a:schemeClr val="bg1">
                <a:lumMod val="95000"/>
              </a:schemeClr>
            </a:solidFill>
          </a:ln>
          <a:effectLst>
            <a:outerShdw blurRad="50800" dist="38100" dir="18900000" algn="b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s-MX" sz="1600" b="1">
                <a:solidFill>
                  <a:srgbClr val="00B050"/>
                </a:solidFill>
                <a:effectLst>
                  <a:outerShdw blurRad="50800" dist="38100" dir="18900000" algn="bl" rotWithShape="0">
                    <a:prstClr val="black">
                      <a:alpha val="40000"/>
                    </a:prstClr>
                  </a:outerShdw>
                </a:effectLst>
              </a:rPr>
              <a:t>BUSCAR CLIENTE</a:t>
            </a:r>
          </a:p>
        </xdr:txBody>
      </xdr:sp>
      <mc:AlternateContent xmlns:mc="http://schemas.openxmlformats.org/markup-compatibility/2006">
        <mc:Choice xmlns:a14="http://schemas.microsoft.com/office/drawing/2010/main" Requires="a14">
          <xdr:sp macro="" textlink="">
            <xdr:nvSpPr>
              <xdr:cNvPr id="19472" name="TextBox1CLIENTES" hidden="1">
                <a:extLst>
                  <a:ext uri="{63B3BB69-23CF-44E3-9099-C40C66FF867C}">
                    <a14:compatExt spid="_x0000_s19472"/>
                  </a:ext>
                  <a:ext uri="{FF2B5EF4-FFF2-40B4-BE49-F238E27FC236}">
                    <a16:creationId xmlns:a16="http://schemas.microsoft.com/office/drawing/2014/main" id="{00000000-0008-0000-1B00-0000104C0000}"/>
                  </a:ext>
                </a:extLst>
              </xdr:cNvPr>
              <xdr:cNvSpPr/>
            </xdr:nvSpPr>
            <xdr:spPr bwMode="auto">
              <a:xfrm>
                <a:off x="1885950" y="685799"/>
                <a:ext cx="2343150" cy="266700"/>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wsDr>
</file>

<file path=xl/drawings/drawing26.xml><?xml version="1.0" encoding="utf-8"?>
<xdr:wsDr xmlns:xdr="http://schemas.openxmlformats.org/drawingml/2006/spreadsheetDrawing" xmlns:a="http://schemas.openxmlformats.org/drawingml/2006/main">
  <xdr:twoCellAnchor editAs="oneCell">
    <xdr:from>
      <xdr:col>4</xdr:col>
      <xdr:colOff>476250</xdr:colOff>
      <xdr:row>0</xdr:row>
      <xdr:rowOff>9526</xdr:rowOff>
    </xdr:from>
    <xdr:to>
      <xdr:col>5</xdr:col>
      <xdr:colOff>685800</xdr:colOff>
      <xdr:row>4</xdr:row>
      <xdr:rowOff>142875</xdr:rowOff>
    </xdr:to>
    <mc:AlternateContent xmlns:mc="http://schemas.openxmlformats.org/markup-compatibility/2006" xmlns:a14="http://schemas.microsoft.com/office/drawing/2010/main">
      <mc:Choice Requires="a14">
        <xdr:graphicFrame macro="">
          <xdr:nvGraphicFramePr>
            <xdr:cNvPr id="2" name="PAGADO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microsoft.com/office/drawing/2010/slicer">
              <sle:slicer xmlns:sle="http://schemas.microsoft.com/office/drawing/2010/slicer" name="PAGADO 1"/>
            </a:graphicData>
          </a:graphic>
        </xdr:graphicFrame>
      </mc:Choice>
      <mc:Fallback xmlns="">
        <xdr:sp macro="" textlink="">
          <xdr:nvSpPr>
            <xdr:cNvPr id="0" name=""/>
            <xdr:cNvSpPr>
              <a:spLocks noTextEdit="1"/>
            </xdr:cNvSpPr>
          </xdr:nvSpPr>
          <xdr:spPr>
            <a:xfrm>
              <a:off x="4552950" y="9526"/>
              <a:ext cx="1219200" cy="895349"/>
            </a:xfrm>
            <a:prstGeom prst="rect">
              <a:avLst/>
            </a:prstGeom>
            <a:solidFill>
              <a:prstClr val="white"/>
            </a:solidFill>
            <a:ln w="1">
              <a:solidFill>
                <a:prstClr val="green"/>
              </a:solidFill>
            </a:ln>
          </xdr:spPr>
          <xdr:txBody>
            <a:bodyPr vertOverflow="clip" horzOverflow="clip"/>
            <a:lstStyle/>
            <a:p>
              <a:r>
                <a:rPr lang="es-MX"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5</xdr:col>
      <xdr:colOff>742950</xdr:colOff>
      <xdr:row>0</xdr:row>
      <xdr:rowOff>19051</xdr:rowOff>
    </xdr:from>
    <xdr:to>
      <xdr:col>7</xdr:col>
      <xdr:colOff>885825</xdr:colOff>
      <xdr:row>3</xdr:row>
      <xdr:rowOff>133351</xdr:rowOff>
    </xdr:to>
    <mc:AlternateContent xmlns:mc="http://schemas.openxmlformats.org/markup-compatibility/2006" xmlns:a14="http://schemas.microsoft.com/office/drawing/2010/main">
      <mc:Choice Requires="a14">
        <xdr:graphicFrame macro="">
          <xdr:nvGraphicFramePr>
            <xdr:cNvPr id="3" name="EQUI. ENTREGADOS 1">
              <a:extLst>
                <a:ext uri="{FF2B5EF4-FFF2-40B4-BE49-F238E27FC236}">
                  <a16:creationId xmlns:a16="http://schemas.microsoft.com/office/drawing/2014/main" id="{00000000-0008-0000-1C00-000003000000}"/>
                </a:ext>
              </a:extLst>
            </xdr:cNvPr>
            <xdr:cNvGraphicFramePr/>
          </xdr:nvGraphicFramePr>
          <xdr:xfrm>
            <a:off x="0" y="0"/>
            <a:ext cx="0" cy="0"/>
          </xdr:xfrm>
          <a:graphic>
            <a:graphicData uri="http://schemas.microsoft.com/office/drawing/2010/slicer">
              <sle:slicer xmlns:sle="http://schemas.microsoft.com/office/drawing/2010/slicer" name="EQUI. ENTREGADOS 1"/>
            </a:graphicData>
          </a:graphic>
        </xdr:graphicFrame>
      </mc:Choice>
      <mc:Fallback xmlns="">
        <xdr:sp macro="" textlink="">
          <xdr:nvSpPr>
            <xdr:cNvPr id="0" name=""/>
            <xdr:cNvSpPr>
              <a:spLocks noTextEdit="1"/>
            </xdr:cNvSpPr>
          </xdr:nvSpPr>
          <xdr:spPr>
            <a:xfrm>
              <a:off x="5829300" y="19051"/>
              <a:ext cx="2095500" cy="685800"/>
            </a:xfrm>
            <a:prstGeom prst="rect">
              <a:avLst/>
            </a:prstGeom>
            <a:solidFill>
              <a:prstClr val="white"/>
            </a:solidFill>
            <a:ln w="1">
              <a:solidFill>
                <a:prstClr val="green"/>
              </a:solidFill>
            </a:ln>
          </xdr:spPr>
          <xdr:txBody>
            <a:bodyPr vertOverflow="clip" horzOverflow="clip"/>
            <a:lstStyle/>
            <a:p>
              <a:r>
                <a:rPr lang="es-MX"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27.xml><?xml version="1.0" encoding="utf-8"?>
<xdr:wsDr xmlns:xdr="http://schemas.openxmlformats.org/drawingml/2006/spreadsheetDrawing" xmlns:a="http://schemas.openxmlformats.org/drawingml/2006/main">
  <xdr:twoCellAnchor>
    <xdr:from>
      <xdr:col>2</xdr:col>
      <xdr:colOff>1</xdr:colOff>
      <xdr:row>3</xdr:row>
      <xdr:rowOff>0</xdr:rowOff>
    </xdr:from>
    <xdr:to>
      <xdr:col>3</xdr:col>
      <xdr:colOff>0</xdr:colOff>
      <xdr:row>4</xdr:row>
      <xdr:rowOff>0</xdr:rowOff>
    </xdr:to>
    <xdr:pic>
      <xdr:nvPicPr>
        <xdr:cNvPr id="3" name="Imagen 2">
          <a:extLst>
            <a:ext uri="{FF2B5EF4-FFF2-40B4-BE49-F238E27FC236}">
              <a16:creationId xmlns:a16="http://schemas.microsoft.com/office/drawing/2014/main" id="{00000000-0008-0000-1E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4359" r="8108" b="21795"/>
        <a:stretch/>
      </xdr:blipFill>
      <xdr:spPr>
        <a:xfrm>
          <a:off x="2066926" y="571500"/>
          <a:ext cx="1762124" cy="762000"/>
        </a:xfrm>
        <a:prstGeom prst="rect">
          <a:avLst/>
        </a:prstGeom>
      </xdr:spPr>
    </xdr:pic>
    <xdr:clientData/>
  </xdr:twoCellAnchor>
  <xdr:twoCellAnchor>
    <xdr:from>
      <xdr:col>5</xdr:col>
      <xdr:colOff>0</xdr:colOff>
      <xdr:row>4</xdr:row>
      <xdr:rowOff>0</xdr:rowOff>
    </xdr:from>
    <xdr:to>
      <xdr:col>6</xdr:col>
      <xdr:colOff>0</xdr:colOff>
      <xdr:row>5</xdr:row>
      <xdr:rowOff>9525</xdr:rowOff>
    </xdr:to>
    <xdr:pic>
      <xdr:nvPicPr>
        <xdr:cNvPr id="4" name="Imagen 3">
          <a:extLst>
            <a:ext uri="{FF2B5EF4-FFF2-40B4-BE49-F238E27FC236}">
              <a16:creationId xmlns:a16="http://schemas.microsoft.com/office/drawing/2014/main" id="{00000000-0008-0000-1E00-00000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2359" t="12778" b="42500"/>
        <a:stretch/>
      </xdr:blipFill>
      <xdr:spPr>
        <a:xfrm>
          <a:off x="6819900" y="1333500"/>
          <a:ext cx="1695450" cy="771525"/>
        </a:xfrm>
        <a:prstGeom prst="rect">
          <a:avLst/>
        </a:prstGeom>
      </xdr:spPr>
    </xdr:pic>
    <xdr:clientData/>
  </xdr:twoCellAnchor>
  <xdr:twoCellAnchor>
    <xdr:from>
      <xdr:col>5</xdr:col>
      <xdr:colOff>1</xdr:colOff>
      <xdr:row>3</xdr:row>
      <xdr:rowOff>0</xdr:rowOff>
    </xdr:from>
    <xdr:to>
      <xdr:col>6</xdr:col>
      <xdr:colOff>1</xdr:colOff>
      <xdr:row>4</xdr:row>
      <xdr:rowOff>0</xdr:rowOff>
    </xdr:to>
    <xdr:pic>
      <xdr:nvPicPr>
        <xdr:cNvPr id="6" name="Imagen 5">
          <a:extLst>
            <a:ext uri="{FF2B5EF4-FFF2-40B4-BE49-F238E27FC236}">
              <a16:creationId xmlns:a16="http://schemas.microsoft.com/office/drawing/2014/main" id="{00000000-0008-0000-1E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t="10005" b="10005"/>
        <a:stretch/>
      </xdr:blipFill>
      <xdr:spPr>
        <a:xfrm>
          <a:off x="6819901" y="1647825"/>
          <a:ext cx="1695450" cy="762000"/>
        </a:xfrm>
        <a:prstGeom prst="rect">
          <a:avLst/>
        </a:prstGeom>
      </xdr:spPr>
    </xdr:pic>
    <xdr:clientData/>
  </xdr:twoCellAnchor>
  <xdr:twoCellAnchor>
    <xdr:from>
      <xdr:col>2</xdr:col>
      <xdr:colOff>0</xdr:colOff>
      <xdr:row>4</xdr:row>
      <xdr:rowOff>0</xdr:rowOff>
    </xdr:from>
    <xdr:to>
      <xdr:col>3</xdr:col>
      <xdr:colOff>0</xdr:colOff>
      <xdr:row>5</xdr:row>
      <xdr:rowOff>0</xdr:rowOff>
    </xdr:to>
    <xdr:pic>
      <xdr:nvPicPr>
        <xdr:cNvPr id="7" name="Imagen 6">
          <a:extLst>
            <a:ext uri="{FF2B5EF4-FFF2-40B4-BE49-F238E27FC236}">
              <a16:creationId xmlns:a16="http://schemas.microsoft.com/office/drawing/2014/main" id="{00000000-0008-0000-1E00-000007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7647" t="3859" r="13574" b="2263"/>
        <a:stretch/>
      </xdr:blipFill>
      <xdr:spPr>
        <a:xfrm>
          <a:off x="7629525" y="1333500"/>
          <a:ext cx="1762125" cy="762000"/>
        </a:xfrm>
        <a:prstGeom prst="rect">
          <a:avLst/>
        </a:prstGeom>
      </xdr:spPr>
    </xdr:pic>
    <xdr:clientData/>
  </xdr:twoCellAnchor>
  <xdr:twoCellAnchor editAs="oneCell">
    <xdr:from>
      <xdr:col>2</xdr:col>
      <xdr:colOff>9525</xdr:colOff>
      <xdr:row>5</xdr:row>
      <xdr:rowOff>0</xdr:rowOff>
    </xdr:from>
    <xdr:to>
      <xdr:col>3</xdr:col>
      <xdr:colOff>0</xdr:colOff>
      <xdr:row>6</xdr:row>
      <xdr:rowOff>0</xdr:rowOff>
    </xdr:to>
    <xdr:pic>
      <xdr:nvPicPr>
        <xdr:cNvPr id="9" name="Imagen 8">
          <a:extLst>
            <a:ext uri="{FF2B5EF4-FFF2-40B4-BE49-F238E27FC236}">
              <a16:creationId xmlns:a16="http://schemas.microsoft.com/office/drawing/2014/main" id="{00000000-0008-0000-1E00-000009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t="26144" r="2696" b="28758"/>
        <a:stretch/>
      </xdr:blipFill>
      <xdr:spPr>
        <a:xfrm>
          <a:off x="2076450" y="3171825"/>
          <a:ext cx="1752600" cy="762000"/>
        </a:xfrm>
        <a:prstGeom prst="rect">
          <a:avLst/>
        </a:prstGeom>
      </xdr:spPr>
    </xdr:pic>
    <xdr:clientData/>
  </xdr:twoCellAnchor>
  <xdr:twoCellAnchor editAs="oneCell">
    <xdr:from>
      <xdr:col>5</xdr:col>
      <xdr:colOff>0</xdr:colOff>
      <xdr:row>4</xdr:row>
      <xdr:rowOff>761999</xdr:rowOff>
    </xdr:from>
    <xdr:to>
      <xdr:col>5</xdr:col>
      <xdr:colOff>1685924</xdr:colOff>
      <xdr:row>5</xdr:row>
      <xdr:rowOff>752474</xdr:rowOff>
    </xdr:to>
    <xdr:pic>
      <xdr:nvPicPr>
        <xdr:cNvPr id="11" name="Imagen 10">
          <a:extLst>
            <a:ext uri="{FF2B5EF4-FFF2-40B4-BE49-F238E27FC236}">
              <a16:creationId xmlns:a16="http://schemas.microsoft.com/office/drawing/2014/main" id="{00000000-0008-0000-1E00-00000B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t="35254" r="261" b="22168"/>
        <a:stretch/>
      </xdr:blipFill>
      <xdr:spPr>
        <a:xfrm>
          <a:off x="6819900" y="3171824"/>
          <a:ext cx="1685924" cy="752475"/>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HINKPAD" refreshedDate="45074.037200578707" backgroundQuery="1" createdVersion="8" refreshedVersion="8" minRefreshableVersion="3" recordCount="0" supportSubquery="1" supportAdvancedDrill="1" xr:uid="{492E3DD9-F37E-46BD-A0B0-0871384BDC28}">
  <cacheSource type="external" connectionId="8"/>
  <cacheFields count="5">
    <cacheField name="[PRESUP].[MATERIAL / ACCESORIO].[MATERIAL / ACCESORIO]" caption="MATERIAL / ACCESORIO" numFmtId="0" hierarchy="43" level="1">
      <sharedItems count="64">
        <s v="ALETAS (ALERONES)"/>
        <s v="BASE PARA PATIN"/>
        <s v="BASES PARA ESTRIBO"/>
        <s v="BORDA DELANTERA"/>
        <s v="BORDA TRASERA"/>
        <s v="BUCHACA"/>
        <s v="CAJA DE HERRAMIENTAS"/>
        <s v="CANAL DE 4&quot;"/>
        <s v="CANAL DE 6&quot; PERNO"/>
        <s v="CANAL DE 6&quot; X 12m"/>
        <s v="CARDA DE COPA TRENZADA"/>
        <s v="CARGADORES"/>
        <s v="CARTABON PARA ESTRIBO"/>
        <s v="CINTA REFLEJANTE"/>
        <s v="CO2"/>
        <s v="CONCHA 1.20m"/>
        <s v="CONSUMIBLE"/>
        <s v="DISCO DE CORTADORA"/>
        <s v="DISCOS DE DESBASTE #9"/>
        <s v="DISCOS LAMINADOS #7"/>
        <s v="EJES"/>
        <s v="GANCHO HOLLAN"/>
        <s v="GANCHO PARA LAZO"/>
        <s v="HOJAS DE LIJA"/>
        <s v="JALON"/>
        <s v="JUEGO BASE/PATIN"/>
        <s v="JUEGO PORTALODERA"/>
        <s v="KIT DE ABS Y CONEXIONES"/>
        <s v="KIT PLAFONES"/>
        <s v="LAMINA PORTA LLANTAS 1/2 X 3&quot;"/>
        <s v="LODERA DEL CENTRO"/>
        <s v="LODERAS"/>
        <s v="LUCES"/>
        <s v="MATERIAL COMPLEMENTARIO"/>
        <s v="MATRACAS/WINCHES"/>
        <s v="MICROTUBULAR"/>
        <s v="PAR/FLEJES"/>
        <s v="PAR/PESTAÑAS"/>
        <s v="PATIN HJ"/>
        <s v="PERNO REY"/>
        <s v="PIJAS/BROCAS"/>
        <s v="PINTURA Y MANO DE OBRA"/>
        <s v="PISO MADERA"/>
        <s v="PISO PLASTICO"/>
        <s v="PLACA 1 1/4"/>
        <s v="PLACA P/QUINTA"/>
        <s v="PORTA PLACA"/>
        <s v="PUENTE PARA SUSPENSIÓN"/>
        <s v="PUENTES PARA PLANCHA"/>
        <s v="REDONDA PORTALLANTAS"/>
        <s v="RIEL"/>
        <s v="ROTULACION"/>
        <s v="SEPARADOR CENTRO"/>
        <s v="SOLERA DE 1/2&quot; X 3&quot;"/>
        <s v="SOLERA DE 1/2&quot; X 6&quot; X 12m"/>
        <s v="SOLERA PARA CARTABON"/>
        <s v="SOLERA PARA ESTRIBU"/>
        <s v="SOLERAS DE 3/8&quot; X 2"/>
        <s v="SUSPENSIÓN COMPLETA"/>
        <s v="TANQUE DE AIRE"/>
        <s v="TOPES HULE 3 BARRENOS"/>
        <s v="TORNILLOS"/>
        <s v="TRAVESAÑOS"/>
        <s v="TUBO 1 1/4"/>
      </sharedItems>
    </cacheField>
    <cacheField name="[Measures].[Suma de IMP POR POYECTO]" caption="Suma de IMP POR POYECTO" numFmtId="0" hierarchy="67" level="32767"/>
    <cacheField name="[PRESUP].[LARGO].[LARGO]" caption="LARGO" numFmtId="0" hierarchy="48" level="1">
      <sharedItems containsSemiMixedTypes="0" containsNonDate="0" containsString="0"/>
    </cacheField>
    <cacheField name="[PRESUP].[NUM. DE EJES].[NUM. DE EJES]" caption="NUM. DE EJES" numFmtId="0" hierarchy="47" level="1">
      <sharedItems containsSemiMixedTypes="0" containsNonDate="0" containsString="0"/>
    </cacheField>
    <cacheField name="[PRESUP].[NOMBRE].[NOMBRE]" caption="NOMBRE" numFmtId="0" hierarchy="42" level="1">
      <sharedItems containsSemiMixedTypes="0" containsNonDate="0" containsString="0"/>
    </cacheField>
  </cacheFields>
  <cacheHierarchies count="73">
    <cacheHierarchy uniqueName="[acero].[PZAS]" caption="PZAS" attribute="1" defaultMemberUniqueName="[acero].[PZAS].[All]" allUniqueName="[acero].[PZAS].[All]" dimensionUniqueName="[acero]" displayFolder="" count="0" memberValueDatatype="130" unbalanced="0"/>
    <cacheHierarchy uniqueName="[acero].[TIPO]" caption="TIPO" attribute="1" defaultMemberUniqueName="[acero].[TIPO].[All]" allUniqueName="[acero].[TIPO].[All]" dimensionUniqueName="[acero]" displayFolder="" count="0" memberValueDatatype="130" unbalanced="0"/>
    <cacheHierarchy uniqueName="[acero].[NOMBRE]" caption="NOMBRE" attribute="1" defaultMemberUniqueName="[acero].[NOMBRE].[All]" allUniqueName="[acero].[NOMBRE].[All]" dimensionUniqueName="[acero]" displayFolder="" count="0" memberValueDatatype="130" unbalanced="0"/>
    <cacheHierarchy uniqueName="[acero].[MATERIAL / ACCESORIO]" caption="MATERIAL / ACCESORIO" attribute="1" defaultMemberUniqueName="[acero].[MATERIAL / ACCESORIO].[All]" allUniqueName="[acero].[MATERIAL / ACCESORIO].[All]" dimensionUniqueName="[acero]" displayFolder="" count="0" memberValueDatatype="130" unbalanced="0"/>
    <cacheHierarchy uniqueName="[acero].[CLASE]" caption="CLASE" attribute="1" defaultMemberUniqueName="[acero].[CLASE].[All]" allUniqueName="[acero].[CLASE].[All]" dimensionUniqueName="[acero]" displayFolder="" count="0" memberValueDatatype="130" unbalanced="0"/>
    <cacheHierarchy uniqueName="[acero].[PRECIO $ C/U]" caption="PRECIO $ C/U" attribute="1" defaultMemberUniqueName="[acero].[PRECIO $ C/U].[All]" allUniqueName="[acero].[PRECIO $ C/U].[All]" dimensionUniqueName="[acero]" displayFolder="" count="0" memberValueDatatype="20" unbalanced="0"/>
    <cacheHierarchy uniqueName="[acero].[IMP POR POYECTO]" caption="IMP POR POYECTO" attribute="1" defaultMemberUniqueName="[acero].[IMP POR POYECTO].[All]" allUniqueName="[acero].[IMP POR POYECTO].[All]" dimensionUniqueName="[acero]" displayFolder="" count="0" memberValueDatatype="20" unbalanced="0"/>
    <cacheHierarchy uniqueName="[acero].[NUM. DE EJES]" caption="NUM. DE EJES" attribute="1" defaultMemberUniqueName="[acero].[NUM. DE EJES].[All]" allUniqueName="[acero].[NUM. DE EJES].[All]" dimensionUniqueName="[acero]" displayFolder="" count="0" memberValueDatatype="20" unbalanced="0"/>
    <cacheHierarchy uniqueName="[acero].[LARGO]" caption="LARGO" attribute="1" defaultMemberUniqueName="[acero].[LARGO].[All]" allUniqueName="[acero].[LARGO].[All]" dimensionUniqueName="[acero]" displayFolder="" count="0" memberValueDatatype="130" unbalanced="0"/>
    <cacheHierarchy uniqueName="[acero].[OBSERVACION]" caption="OBSERVACION" attribute="1" defaultMemberUniqueName="[acero].[OBSERVACION].[All]" allUniqueName="[acero].[OBSERVACION].[All]" dimensionUniqueName="[acero]" displayFolder="" count="0" memberValueDatatype="130" unbalanced="0"/>
    <cacheHierarchy uniqueName="[extras].[PZAS]" caption="PZAS" attribute="1" defaultMemberUniqueName="[extras].[PZAS].[All]" allUniqueName="[extras].[PZAS].[All]" dimensionUniqueName="[extras]" displayFolder="" count="0" memberValueDatatype="130" unbalanced="0"/>
    <cacheHierarchy uniqueName="[extras].[TIPO]" caption="TIPO" attribute="1" defaultMemberUniqueName="[extras].[TIPO].[All]" allUniqueName="[extras].[TIPO].[All]" dimensionUniqueName="[extras]" displayFolder="" count="0" memberValueDatatype="130" unbalanced="0"/>
    <cacheHierarchy uniqueName="[extras].[NOMBRE]" caption="NOMBRE" attribute="1" defaultMemberUniqueName="[extras].[NOMBRE].[All]" allUniqueName="[extras].[NOMBRE].[All]" dimensionUniqueName="[extras]" displayFolder="" count="0" memberValueDatatype="130" unbalanced="0"/>
    <cacheHierarchy uniqueName="[extras].[MATERIAL / ACCESORIO]" caption="MATERIAL / ACCESORIO" attribute="1" defaultMemberUniqueName="[extras].[MATERIAL / ACCESORIO].[All]" allUniqueName="[extras].[MATERIAL / ACCESORIO].[All]" dimensionUniqueName="[extras]" displayFolder="" count="0" memberValueDatatype="130" unbalanced="0"/>
    <cacheHierarchy uniqueName="[extras].[CLASE]" caption="CLASE" attribute="1" defaultMemberUniqueName="[extras].[CLASE].[All]" allUniqueName="[extras].[CLASE].[All]" dimensionUniqueName="[extras]" displayFolder="" count="0" memberValueDatatype="130" unbalanced="0"/>
    <cacheHierarchy uniqueName="[extras].[PRECIO $ C/U]" caption="PRECIO $ C/U" attribute="1" defaultMemberUniqueName="[extras].[PRECIO $ C/U].[All]" allUniqueName="[extras].[PRECIO $ C/U].[All]" dimensionUniqueName="[extras]" displayFolder="" count="0" memberValueDatatype="20" unbalanced="0"/>
    <cacheHierarchy uniqueName="[extras].[IMP POR POYECTO]" caption="IMP POR POYECTO" attribute="1" defaultMemberUniqueName="[extras].[IMP POR POYECTO].[All]" allUniqueName="[extras].[IMP POR POYECTO].[All]" dimensionUniqueName="[extras]" displayFolder="" count="0" memberValueDatatype="20" unbalanced="0"/>
    <cacheHierarchy uniqueName="[extras].[NUM. DE EJES]" caption="NUM. DE EJES" attribute="1" defaultMemberUniqueName="[extras].[NUM. DE EJES].[All]" allUniqueName="[extras].[NUM. DE EJES].[All]" dimensionUniqueName="[extras]" displayFolder="" count="0" memberValueDatatype="20" unbalanced="0"/>
    <cacheHierarchy uniqueName="[extras].[LARGO]" caption="LARGO" attribute="1" defaultMemberUniqueName="[extras].[LARGO].[All]" allUniqueName="[extras].[LARGO].[All]" dimensionUniqueName="[extras]" displayFolder="" count="0" memberValueDatatype="130" unbalanced="0"/>
    <cacheHierarchy uniqueName="[extras].[OBSERVACION]" caption="OBSERVACION" attribute="1" defaultMemberUniqueName="[extras].[OBSERVACION].[All]" allUniqueName="[extras].[OBSERVACION].[All]" dimensionUniqueName="[extras]" displayFolder="" count="0" memberValueDatatype="130" unbalanced="0"/>
    <cacheHierarchy uniqueName="[otros].[PZAS]" caption="PZAS" attribute="1" defaultMemberUniqueName="[otros].[PZAS].[All]" allUniqueName="[otros].[PZAS].[All]" dimensionUniqueName="[otros]" displayFolder="" count="0" memberValueDatatype="130" unbalanced="0"/>
    <cacheHierarchy uniqueName="[otros].[TIPO]" caption="TIPO" attribute="1" defaultMemberUniqueName="[otros].[TIPO].[All]" allUniqueName="[otros].[TIPO].[All]" dimensionUniqueName="[otros]" displayFolder="" count="0" memberValueDatatype="130" unbalanced="0"/>
    <cacheHierarchy uniqueName="[otros].[NOMBRE]" caption="NOMBRE" attribute="1" defaultMemberUniqueName="[otros].[NOMBRE].[All]" allUniqueName="[otros].[NOMBRE].[All]" dimensionUniqueName="[otros]" displayFolder="" count="0" memberValueDatatype="130" unbalanced="0"/>
    <cacheHierarchy uniqueName="[otros].[MATERIAL / ACCESORIO]" caption="MATERIAL / ACCESORIO" attribute="1" defaultMemberUniqueName="[otros].[MATERIAL / ACCESORIO].[All]" allUniqueName="[otros].[MATERIAL / ACCESORIO].[All]" dimensionUniqueName="[otros]" displayFolder="" count="0" memberValueDatatype="130" unbalanced="0"/>
    <cacheHierarchy uniqueName="[otros].[CLASE]" caption="CLASE" attribute="1" defaultMemberUniqueName="[otros].[CLASE].[All]" allUniqueName="[otros].[CLASE].[All]" dimensionUniqueName="[otros]" displayFolder="" count="0" memberValueDatatype="130" unbalanced="0"/>
    <cacheHierarchy uniqueName="[otros].[PRECIO $ C/U]" caption="PRECIO $ C/U" attribute="1" defaultMemberUniqueName="[otros].[PRECIO $ C/U].[All]" allUniqueName="[otros].[PRECIO $ C/U].[All]" dimensionUniqueName="[otros]" displayFolder="" count="0" memberValueDatatype="20" unbalanced="0"/>
    <cacheHierarchy uniqueName="[otros].[IMP POR POYECTO]" caption="IMP POR POYECTO" attribute="1" defaultMemberUniqueName="[otros].[IMP POR POYECTO].[All]" allUniqueName="[otros].[IMP POR POYECTO].[All]" dimensionUniqueName="[otros]" displayFolder="" count="0" memberValueDatatype="20" unbalanced="0"/>
    <cacheHierarchy uniqueName="[otros].[NUM. DE EJES]" caption="NUM. DE EJES" attribute="1" defaultMemberUniqueName="[otros].[NUM. DE EJES].[All]" allUniqueName="[otros].[NUM. DE EJES].[All]" dimensionUniqueName="[otros]" displayFolder="" count="0" memberValueDatatype="20" unbalanced="0"/>
    <cacheHierarchy uniqueName="[otros].[LARGO]" caption="LARGO" attribute="1" defaultMemberUniqueName="[otros].[LARGO].[All]" allUniqueName="[otros].[LARGO].[All]" dimensionUniqueName="[otros]" displayFolder="" count="0" memberValueDatatype="130" unbalanced="0"/>
    <cacheHierarchy uniqueName="[otros].[OBSERVACION]" caption="OBSERVACION" attribute="1" defaultMemberUniqueName="[otros].[OBSERVACION].[All]" allUniqueName="[otros].[OBSERVACION].[All]" dimensionUniqueName="[otros]" displayFolder="" count="0" memberValueDatatype="130" unbalanced="0"/>
    <cacheHierarchy uniqueName="[piramide].[PZAS]" caption="PZAS" attribute="1" defaultMemberUniqueName="[piramide].[PZAS].[All]" allUniqueName="[piramide].[PZAS].[All]" dimensionUniqueName="[piramide]" displayFolder="" count="0" memberValueDatatype="130" unbalanced="0"/>
    <cacheHierarchy uniqueName="[piramide].[TIPO]" caption="TIPO" attribute="1" defaultMemberUniqueName="[piramide].[TIPO].[All]" allUniqueName="[piramide].[TIPO].[All]" dimensionUniqueName="[piramide]" displayFolder="" count="0" memberValueDatatype="130" unbalanced="0"/>
    <cacheHierarchy uniqueName="[piramide].[NOMBRE]" caption="NOMBRE" attribute="1" defaultMemberUniqueName="[piramide].[NOMBRE].[All]" allUniqueName="[piramide].[NOMBRE].[All]" dimensionUniqueName="[piramide]" displayFolder="" count="0" memberValueDatatype="130" unbalanced="0"/>
    <cacheHierarchy uniqueName="[piramide].[MATERIAL / ACCESORIO]" caption="MATERIAL / ACCESORIO" attribute="1" defaultMemberUniqueName="[piramide].[MATERIAL / ACCESORIO].[All]" allUniqueName="[piramide].[MATERIAL / ACCESORIO].[All]" dimensionUniqueName="[piramide]" displayFolder="" count="0" memberValueDatatype="130" unbalanced="0"/>
    <cacheHierarchy uniqueName="[piramide].[CLASE]" caption="CLASE" attribute="1" defaultMemberUniqueName="[piramide].[CLASE].[All]" allUniqueName="[piramide].[CLASE].[All]" dimensionUniqueName="[piramide]" displayFolder="" count="0" memberValueDatatype="130" unbalanced="0"/>
    <cacheHierarchy uniqueName="[piramide].[PRECIO $ C/U]" caption="PRECIO $ C/U" attribute="1" defaultMemberUniqueName="[piramide].[PRECIO $ C/U].[All]" allUniqueName="[piramide].[PRECIO $ C/U].[All]" dimensionUniqueName="[piramide]" displayFolder="" count="0" memberValueDatatype="20" unbalanced="0"/>
    <cacheHierarchy uniqueName="[piramide].[IMP POR POYECTO]" caption="IMP POR POYECTO" attribute="1" defaultMemberUniqueName="[piramide].[IMP POR POYECTO].[All]" allUniqueName="[piramide].[IMP POR POYECTO].[All]" dimensionUniqueName="[piramide]" displayFolder="" count="0" memberValueDatatype="5" unbalanced="0"/>
    <cacheHierarchy uniqueName="[piramide].[NUM. DE EJES]" caption="NUM. DE EJES" attribute="1" defaultMemberUniqueName="[piramide].[NUM. DE EJES].[All]" allUniqueName="[piramide].[NUM. DE EJES].[All]" dimensionUniqueName="[piramide]" displayFolder="" count="0" memberValueDatatype="20" unbalanced="0"/>
    <cacheHierarchy uniqueName="[piramide].[LARGO]" caption="LARGO" attribute="1" defaultMemberUniqueName="[piramide].[LARGO].[All]" allUniqueName="[piramide].[LARGO].[All]" dimensionUniqueName="[piramide]" displayFolder="" count="0" memberValueDatatype="130" unbalanced="0"/>
    <cacheHierarchy uniqueName="[piramide].[OBSERVACION]" caption="OBSERVACION" attribute="1" defaultMemberUniqueName="[piramide].[OBSERVACION].[All]" allUniqueName="[piramide].[OBSERVACION].[All]" dimensionUniqueName="[piramide]" displayFolder="" count="0" memberValueDatatype="130" unbalanced="0"/>
    <cacheHierarchy uniqueName="[PRESUP].[PZAS]" caption="PZAS" attribute="1" defaultMemberUniqueName="[PRESUP].[PZAS].[All]" allUniqueName="[PRESUP].[PZAS].[All]" dimensionUniqueName="[PRESUP]" displayFolder="" count="0" memberValueDatatype="5" unbalanced="0"/>
    <cacheHierarchy uniqueName="[PRESUP].[TIPO]" caption="TIPO" attribute="1" defaultMemberUniqueName="[PRESUP].[TIPO].[All]" allUniqueName="[PRESUP].[TIPO].[All]" dimensionUniqueName="[PRESUP]" displayFolder="" count="0" memberValueDatatype="130" unbalanced="0"/>
    <cacheHierarchy uniqueName="[PRESUP].[NOMBRE]" caption="NOMBRE" attribute="1" defaultMemberUniqueName="[PRESUP].[NOMBRE].[All]" allUniqueName="[PRESUP].[NOMBRE].[All]" dimensionUniqueName="[PRESUP]" displayFolder="" count="2" memberValueDatatype="130" unbalanced="0">
      <fieldsUsage count="2">
        <fieldUsage x="-1"/>
        <fieldUsage x="4"/>
      </fieldsUsage>
    </cacheHierarchy>
    <cacheHierarchy uniqueName="[PRESUP].[MATERIAL / ACCESORIO]" caption="MATERIAL / ACCESORIO" attribute="1" defaultMemberUniqueName="[PRESUP].[MATERIAL / ACCESORIO].[All]" allUniqueName="[PRESUP].[MATERIAL / ACCESORIO].[All]" dimensionUniqueName="[PRESUP]" displayFolder="" count="2" memberValueDatatype="130" unbalanced="0">
      <fieldsUsage count="2">
        <fieldUsage x="-1"/>
        <fieldUsage x="0"/>
      </fieldsUsage>
    </cacheHierarchy>
    <cacheHierarchy uniqueName="[PRESUP].[CLASE]" caption="CLASE" attribute="1" defaultMemberUniqueName="[PRESUP].[CLASE].[All]" allUniqueName="[PRESUP].[CLASE].[All]" dimensionUniqueName="[PRESUP]" displayFolder="" count="0" memberValueDatatype="130" unbalanced="0"/>
    <cacheHierarchy uniqueName="[PRESUP].[PRECIO $ C/U]" caption="PRECIO $ C/U" attribute="1" defaultMemberUniqueName="[PRESUP].[PRECIO $ C/U].[All]" allUniqueName="[PRESUP].[PRECIO $ C/U].[All]" dimensionUniqueName="[PRESUP]" displayFolder="" count="0" memberValueDatatype="5" unbalanced="0"/>
    <cacheHierarchy uniqueName="[PRESUP].[IMP POR POYECTO]" caption="IMP POR POYECTO" attribute="1" defaultMemberUniqueName="[PRESUP].[IMP POR POYECTO].[All]" allUniqueName="[PRESUP].[IMP POR POYECTO].[All]" dimensionUniqueName="[PRESUP]" displayFolder="" count="0" memberValueDatatype="5" unbalanced="0"/>
    <cacheHierarchy uniqueName="[PRESUP].[NUM. DE EJES]" caption="NUM. DE EJES" attribute="1" defaultMemberUniqueName="[PRESUP].[NUM. DE EJES].[All]" allUniqueName="[PRESUP].[NUM. DE EJES].[All]" dimensionUniqueName="[PRESUP]" displayFolder="" count="2" memberValueDatatype="20" unbalanced="0">
      <fieldsUsage count="2">
        <fieldUsage x="-1"/>
        <fieldUsage x="3"/>
      </fieldsUsage>
    </cacheHierarchy>
    <cacheHierarchy uniqueName="[PRESUP].[LARGO]" caption="LARGO" attribute="1" defaultMemberUniqueName="[PRESUP].[LARGO].[All]" allUniqueName="[PRESUP].[LARGO].[All]" dimensionUniqueName="[PRESUP]" displayFolder="" count="2" memberValueDatatype="130" unbalanced="0">
      <fieldsUsage count="2">
        <fieldUsage x="-1"/>
        <fieldUsage x="2"/>
      </fieldsUsage>
    </cacheHierarchy>
    <cacheHierarchy uniqueName="[PRESUP].[OBSERVACION]" caption="OBSERVACION" attribute="1" defaultMemberUniqueName="[PRESUP].[OBSERVACION].[All]" allUniqueName="[PRESUP].[OBSERVACION].[All]" dimensionUniqueName="[PRESUP]" displayFolder="" count="0" memberValueDatatype="130" unbalanced="0"/>
    <cacheHierarchy uniqueName="[truckzone].[PZAS]" caption="PZAS" attribute="1" defaultMemberUniqueName="[truckzone].[PZAS].[All]" allUniqueName="[truckzone].[PZAS].[All]" dimensionUniqueName="[truckzone]" displayFolder="" count="0" memberValueDatatype="130" unbalanced="0"/>
    <cacheHierarchy uniqueName="[truckzone].[TIPO]" caption="TIPO" attribute="1" defaultMemberUniqueName="[truckzone].[TIPO].[All]" allUniqueName="[truckzone].[TIPO].[All]" dimensionUniqueName="[truckzone]" displayFolder="" count="0" memberValueDatatype="130" unbalanced="0"/>
    <cacheHierarchy uniqueName="[truckzone].[NOMBRE]" caption="NOMBRE" attribute="1" defaultMemberUniqueName="[truckzone].[NOMBRE].[All]" allUniqueName="[truckzone].[NOMBRE].[All]" dimensionUniqueName="[truckzone]" displayFolder="" count="0" memberValueDatatype="130" unbalanced="0"/>
    <cacheHierarchy uniqueName="[truckzone].[MATERIAL / ACCESORIO]" caption="MATERIAL / ACCESORIO" attribute="1" defaultMemberUniqueName="[truckzone].[MATERIAL / ACCESORIO].[All]" allUniqueName="[truckzone].[MATERIAL / ACCESORIO].[All]" dimensionUniqueName="[truckzone]" displayFolder="" count="0" memberValueDatatype="130" unbalanced="0"/>
    <cacheHierarchy uniqueName="[truckzone].[CLASE]" caption="CLASE" attribute="1" defaultMemberUniqueName="[truckzone].[CLASE].[All]" allUniqueName="[truckzone].[CLASE].[All]" dimensionUniqueName="[truckzone]" displayFolder="" count="0" memberValueDatatype="130" unbalanced="0"/>
    <cacheHierarchy uniqueName="[truckzone].[PRECIO $ C/U]" caption="PRECIO $ C/U" attribute="1" defaultMemberUniqueName="[truckzone].[PRECIO $ C/U].[All]" allUniqueName="[truckzone].[PRECIO $ C/U].[All]" dimensionUniqueName="[truckzone]" displayFolder="" count="0" memberValueDatatype="5" unbalanced="0"/>
    <cacheHierarchy uniqueName="[truckzone].[IMP POR POYECTO]" caption="IMP POR POYECTO" attribute="1" defaultMemberUniqueName="[truckzone].[IMP POR POYECTO].[All]" allUniqueName="[truckzone].[IMP POR POYECTO].[All]" dimensionUniqueName="[truckzone]" displayFolder="" count="0" memberValueDatatype="5" unbalanced="0"/>
    <cacheHierarchy uniqueName="[truckzone].[NUM. DE EJES]" caption="NUM. DE EJES" attribute="1" defaultMemberUniqueName="[truckzone].[NUM. DE EJES].[All]" allUniqueName="[truckzone].[NUM. DE EJES].[All]" dimensionUniqueName="[truckzone]" displayFolder="" count="0" memberValueDatatype="20" unbalanced="0"/>
    <cacheHierarchy uniqueName="[truckzone].[LARGO]" caption="LARGO" attribute="1" defaultMemberUniqueName="[truckzone].[LARGO].[All]" allUniqueName="[truckzone].[LARGO].[All]" dimensionUniqueName="[truckzone]" displayFolder="" count="0" memberValueDatatype="130" unbalanced="0"/>
    <cacheHierarchy uniqueName="[truckzone].[OBSERVACION]" caption="OBSERVACION" attribute="1" defaultMemberUniqueName="[truckzone].[OBSERVACION].[All]" allUniqueName="[truckzone].[OBSERVACION].[All]" dimensionUniqueName="[truckzone]" displayFolder="" count="0" memberValueDatatype="130" unbalanced="0"/>
    <cacheHierarchy uniqueName="[Measures].[__XL_Count PRESUP]" caption="__XL_Count PRESUP" measure="1" displayFolder="" measureGroup="PRESUP" count="0" hidden="1"/>
    <cacheHierarchy uniqueName="[Measures].[__XL_Count acero]" caption="__XL_Count acero" measure="1" displayFolder="" measureGroup="acero" count="0" hidden="1"/>
    <cacheHierarchy uniqueName="[Measures].[__XL_Count extras]" caption="__XL_Count extras" measure="1" displayFolder="" measureGroup="extras" count="0" hidden="1"/>
    <cacheHierarchy uniqueName="[Measures].[__XL_Count otros]" caption="__XL_Count otros" measure="1" displayFolder="" measureGroup="otros" count="0" hidden="1"/>
    <cacheHierarchy uniqueName="[Measures].[__XL_Count piramide]" caption="__XL_Count piramide" measure="1" displayFolder="" measureGroup="piramide" count="0" hidden="1"/>
    <cacheHierarchy uniqueName="[Measures].[__XL_Count truckzone]" caption="__XL_Count truckzone" measure="1" displayFolder="" measureGroup="truckzone" count="0" hidden="1"/>
    <cacheHierarchy uniqueName="[Measures].[__No measures defined]" caption="__No measures defined" measure="1" displayFolder="" count="0" hidden="1"/>
    <cacheHierarchy uniqueName="[Measures].[Suma de IMP POR POYECTO]" caption="Suma de IMP POR POYECTO" measure="1" displayFolder="" measureGroup="PRESUP" count="0" oneField="1" hidden="1">
      <fieldsUsage count="1">
        <fieldUsage x="1"/>
      </fieldsUsage>
    </cacheHierarchy>
    <cacheHierarchy uniqueName="[Measures].[Suma de IMP POR POYECTO 2]" caption="Suma de IMP POR POYECTO 2" measure="1" displayFolder="" measureGroup="acero" count="0" hidden="1"/>
    <cacheHierarchy uniqueName="[Measures].[Suma de IMP POR POYECTO 3]" caption="Suma de IMP POR POYECTO 3" measure="1" displayFolder="" measureGroup="otros" count="0" hidden="1">
      <extLst>
        <ext xmlns:x15="http://schemas.microsoft.com/office/spreadsheetml/2010/11/main" uri="{B97F6D7D-B522-45F9-BDA1-12C45D357490}">
          <x15:cacheHierarchy aggregatedColumn="26"/>
        </ext>
      </extLst>
    </cacheHierarchy>
    <cacheHierarchy uniqueName="[Measures].[Suma de IMP POR POYECTO 4]" caption="Suma de IMP POR POYECTO 4" measure="1" displayFolder="" measureGroup="piramide" count="0" hidden="1">
      <extLst>
        <ext xmlns:x15="http://schemas.microsoft.com/office/spreadsheetml/2010/11/main" uri="{B97F6D7D-B522-45F9-BDA1-12C45D357490}">
          <x15:cacheHierarchy aggregatedColumn="36"/>
        </ext>
      </extLst>
    </cacheHierarchy>
    <cacheHierarchy uniqueName="[Measures].[Suma de IMP POR POYECTO 5]" caption="Suma de IMP POR POYECTO 5" measure="1" displayFolder="" measureGroup="extras" count="0" hidden="1">
      <extLst>
        <ext xmlns:x15="http://schemas.microsoft.com/office/spreadsheetml/2010/11/main" uri="{B97F6D7D-B522-45F9-BDA1-12C45D357490}">
          <x15:cacheHierarchy aggregatedColumn="16"/>
        </ext>
      </extLst>
    </cacheHierarchy>
    <cacheHierarchy uniqueName="[Measures].[Suma de IMP POR POYECTO 6]" caption="Suma de IMP POR POYECTO 6" measure="1" displayFolder="" measureGroup="truckzone" count="0" hidden="1">
      <extLst>
        <ext xmlns:x15="http://schemas.microsoft.com/office/spreadsheetml/2010/11/main" uri="{B97F6D7D-B522-45F9-BDA1-12C45D357490}">
          <x15:cacheHierarchy aggregatedColumn="56"/>
        </ext>
      </extLst>
    </cacheHierarchy>
  </cacheHierarchies>
  <kpis count="0"/>
  <dimensions count="7">
    <dimension name="acero" uniqueName="[acero]" caption="acero"/>
    <dimension name="extras" uniqueName="[extras]" caption="extras"/>
    <dimension measure="1" name="Measures" uniqueName="[Measures]" caption="Measures"/>
    <dimension name="otros" uniqueName="[otros]" caption="otros"/>
    <dimension name="piramide" uniqueName="[piramide]" caption="piramide"/>
    <dimension name="PRESUP" uniqueName="[PRESUP]" caption="PRESUP"/>
    <dimension name="truckzone" uniqueName="[truckzone]" caption="truckzone"/>
  </dimensions>
  <measureGroups count="6">
    <measureGroup name="acero" caption="acero"/>
    <measureGroup name="extras" caption="extras"/>
    <measureGroup name="otros" caption="otros"/>
    <measureGroup name="piramide" caption="piramide"/>
    <measureGroup name="PRESUP" caption="PRESUP"/>
    <measureGroup name="truckzone" caption="truckzone"/>
  </measureGroups>
  <maps count="6">
    <map measureGroup="0" dimension="0"/>
    <map measureGroup="1" dimension="1"/>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HINKPAD" refreshedDate="45158.964699189812" backgroundQuery="1" createdVersion="8" refreshedVersion="8" minRefreshableVersion="3" recordCount="0" supportSubquery="1" supportAdvancedDrill="1" xr:uid="{48061EB5-F27E-4477-A85E-C2A993B1B8E1}">
  <cacheSource type="external" connectionId="8"/>
  <cacheFields count="5">
    <cacheField name="[ACERO 1].[MATERIAL / ACCESORIO].[MATERIAL / ACCESORIO]" caption="MATERIAL / ACCESORIO" numFmtId="0" hierarchy="3" level="1">
      <sharedItems count="22">
        <s v="BASE PARA ESTRIBO"/>
        <s v="BASE PARA PATIN"/>
        <s v="BORDA DELANTERA"/>
        <s v="BORDA TRASERA"/>
        <s v="BUCHACAS"/>
        <s v="BUCHACAS PARA PATIN"/>
        <s v="CAJA DE HERRAMIENTAS"/>
        <s v="JALON P/ GANCHO DE ARRASTRE"/>
        <s v="JUEGO ALETAS (ALERONES)"/>
        <s v="JUEGO BASE L P/PATIN"/>
        <s v="KIT BASE P/TANQUE"/>
        <s v="LODERA DEL CENTRO"/>
        <s v="PAR BASES PARA PORTALLANTAS"/>
        <s v="PAR FLEJES"/>
        <s v="PAR/PESTANAS"/>
        <s v="PLACA P/QUINTA"/>
        <s v="PORTA PLACA"/>
        <s v="PORTALODERAS"/>
        <s v="PTR 4&quot;4 PARA ESTRIBO"/>
        <s v="PUENTES PARA PLANCHA"/>
        <s v="PUENTES PARA SUSPENSION"/>
        <s v="SEPARADOR CENTRO"/>
      </sharedItems>
    </cacheField>
    <cacheField name="[Measures].[Suma de IMP POR POYECTO]" caption="Suma de IMP POR POYECTO" numFmtId="0" hierarchy="123" level="32767"/>
    <cacheField name="[ACERO 1].[CLASE].[CLASE]" caption="CLASE" numFmtId="0" hierarchy="8" level="1">
      <sharedItems containsSemiMixedTypes="0" containsNonDate="0" containsString="0"/>
    </cacheField>
    <cacheField name="[Measures].[Suma de PZAS 6]" caption="Suma de PZAS 6" numFmtId="0" hierarchy="124" level="32767"/>
    <cacheField name="[Tabla24].[NOMBRE].[NOMBRE]" caption="NOMBRE" numFmtId="0" hierarchy="71" level="1">
      <sharedItems containsSemiMixedTypes="0" containsNonDate="0" containsString="0"/>
    </cacheField>
  </cacheFields>
  <cacheHierarchies count="130">
    <cacheHierarchy uniqueName="[ACERO 1].[PZAS]" caption="PZAS" attribute="1" defaultMemberUniqueName="[ACERO 1].[PZAS].[All]" allUniqueName="[ACERO 1].[PZAS].[All]" dimensionUniqueName="[ACERO 1]" displayFolder="" count="0" memberValueDatatype="5" unbalanced="0"/>
    <cacheHierarchy uniqueName="[ACERO 1].[TIPO]" caption="TIPO" attribute="1" defaultMemberUniqueName="[ACERO 1].[TIPO].[All]" allUniqueName="[ACERO 1].[TIPO].[All]" dimensionUniqueName="[ACERO 1]" displayFolder="" count="0" memberValueDatatype="130" unbalanced="0"/>
    <cacheHierarchy uniqueName="[ACERO 1].[NOMBRE]" caption="NOMBRE" attribute="1" defaultMemberUniqueName="[ACERO 1].[NOMBRE].[All]" allUniqueName="[ACERO 1].[NOMBRE].[All]" dimensionUniqueName="[ACERO 1]" displayFolder="" count="0" memberValueDatatype="130" unbalanced="0"/>
    <cacheHierarchy uniqueName="[ACERO 1].[MATERIAL / ACCESORIO]" caption="MATERIAL / ACCESORIO" attribute="1" defaultMemberUniqueName="[ACERO 1].[MATERIAL / ACCESORIO].[All]" allUniqueName="[ACERO 1].[MATERIAL / ACCESORIO].[All]" dimensionUniqueName="[ACERO 1]" displayFolder="" count="2" memberValueDatatype="130" unbalanced="0">
      <fieldsUsage count="2">
        <fieldUsage x="-1"/>
        <fieldUsage x="0"/>
      </fieldsUsage>
    </cacheHierarchy>
    <cacheHierarchy uniqueName="[ACERO 1].[PRECIO $ C/U]" caption="PRECIO $ C/U" attribute="1" defaultMemberUniqueName="[ACERO 1].[PRECIO $ C/U].[All]" allUniqueName="[ACERO 1].[PRECIO $ C/U].[All]" dimensionUniqueName="[ACERO 1]" displayFolder="" count="0" memberValueDatatype="5" unbalanced="0"/>
    <cacheHierarchy uniqueName="[ACERO 1].[IMP POR POYECTO]" caption="IMP POR POYECTO" attribute="1" defaultMemberUniqueName="[ACERO 1].[IMP POR POYECTO].[All]" allUniqueName="[ACERO 1].[IMP POR POYECTO].[All]" dimensionUniqueName="[ACERO 1]" displayFolder="" count="0" memberValueDatatype="5" unbalanced="0"/>
    <cacheHierarchy uniqueName="[ACERO 1].[NUM. DE EJES]" caption="NUM. DE EJES" attribute="1" defaultMemberUniqueName="[ACERO 1].[NUM. DE EJES].[All]" allUniqueName="[ACERO 1].[NUM. DE EJES].[All]" dimensionUniqueName="[ACERO 1]" displayFolder="" count="0" memberValueDatatype="20" unbalanced="0"/>
    <cacheHierarchy uniqueName="[ACERO 1].[LARGO]" caption="LARGO" attribute="1" defaultMemberUniqueName="[ACERO 1].[LARGO].[All]" allUniqueName="[ACERO 1].[LARGO].[All]" dimensionUniqueName="[ACERO 1]" displayFolder="" count="0" memberValueDatatype="130" unbalanced="0"/>
    <cacheHierarchy uniqueName="[ACERO 1].[CLASE]" caption="CLASE" attribute="1" defaultMemberUniqueName="[ACERO 1].[CLASE].[All]" allUniqueName="[ACERO 1].[CLASE].[All]" dimensionUniqueName="[ACERO 1]" displayFolder="" count="2" memberValueDatatype="130" unbalanced="0">
      <fieldsUsage count="2">
        <fieldUsage x="-1"/>
        <fieldUsage x="2"/>
      </fieldsUsage>
    </cacheHierarchy>
    <cacheHierarchy uniqueName="[ACERO 1].[OBSERVACION]" caption="OBSERVACION" attribute="1" defaultMemberUniqueName="[ACERO 1].[OBSERVACION].[All]" allUniqueName="[ACERO 1].[OBSERVACION].[All]" dimensionUniqueName="[ACERO 1]" displayFolder="" count="0" memberValueDatatype="130" unbalanced="0"/>
    <cacheHierarchy uniqueName="[CHASIS].[CLIENTE]" caption="CLIENTE" attribute="1" defaultMemberUniqueName="[CHASIS].[CLIENTE].[All]" allUniqueName="[CHASIS].[CLIENTE].[All]" dimensionUniqueName="[CHASIS]" displayFolder="" count="0" memberValueDatatype="130" unbalanced="0"/>
    <cacheHierarchy uniqueName="[CHASIS].[CHASIS]" caption="CHASIS" attribute="1" defaultMemberUniqueName="[CHASIS].[CHASIS].[All]" allUniqueName="[CHASIS].[CHASIS].[All]" dimensionUniqueName="[CHASIS]" displayFolder="" count="0" memberValueDatatype="130" unbalanced="0"/>
    <cacheHierarchy uniqueName="[CHASIS].[AÑO MODELO]" caption="AÑO MODELO" attribute="1" defaultMemberUniqueName="[CHASIS].[AÑO MODELO].[All]" allUniqueName="[CHASIS].[AÑO MODELO].[All]" dimensionUniqueName="[CHASIS]" displayFolder="" count="0" memberValueDatatype="20" unbalanced="0"/>
    <cacheHierarchy uniqueName="[CHASIS].[P/U]" caption="P/U" attribute="1" defaultMemberUniqueName="[CHASIS].[P/U].[All]" allUniqueName="[CHASIS].[P/U].[All]" dimensionUniqueName="[CHASIS]" displayFolder="" count="0" memberValueDatatype="20" unbalanced="0"/>
    <cacheHierarchy uniqueName="[CHASIS].[PAGO]" caption="PAGO" attribute="1" defaultMemberUniqueName="[CHASIS].[PAGO].[All]" allUniqueName="[CHASIS].[PAGO].[All]" dimensionUniqueName="[CHASIS]" displayFolder="" count="0" memberValueDatatype="20" unbalanced="0"/>
    <cacheHierarchy uniqueName="[CHASIS].[ADEUDO]" caption="ADEUDO" attribute="1" defaultMemberUniqueName="[CHASIS].[ADEUDO].[All]" allUniqueName="[CHASIS].[ADEUDO].[All]" dimensionUniqueName="[CHASIS]" displayFolder="" count="0" memberValueDatatype="20" unbalanced="0"/>
    <cacheHierarchy uniqueName="[CHASIS].[FACTURA]" caption="FACTURA" attribute="1" defaultMemberUniqueName="[CHASIS].[FACTURA].[All]" allUniqueName="[CHASIS].[FACTURA].[All]" dimensionUniqueName="[CHASIS]" displayFolder="" count="0" memberValueDatatype="130" unbalanced="0"/>
    <cacheHierarchy uniqueName="[CHASIS].[FECHE/ENTRGA]" caption="FECHE/ENTRGA" attribute="1" time="1" defaultMemberUniqueName="[CHASIS].[FECHE/ENTRGA].[All]" allUniqueName="[CHASIS].[FECHE/ENTRGA].[All]" dimensionUniqueName="[CHASIS]" displayFolder="" count="0" memberValueDatatype="7" unbalanced="0"/>
    <cacheHierarchy uniqueName="[CHASIS].[PAGADO]" caption="PAGADO" attribute="1" defaultMemberUniqueName="[CHASIS].[PAGADO].[All]" allUniqueName="[CHASIS].[PAGADO].[All]" dimensionUniqueName="[CHASIS]" displayFolder="" count="0" memberValueDatatype="130" unbalanced="0"/>
    <cacheHierarchy uniqueName="[CHASIS].[EQUI. ENTREGADOS]" caption="EQUI. ENTREGADOS" attribute="1" defaultMemberUniqueName="[CHASIS].[EQUI. ENTREGADOS].[All]" allUniqueName="[CHASIS].[EQUI. ENTREGADOS].[All]" dimensionUniqueName="[CHASIS]" displayFolder="" count="0" memberValueDatatype="130" unbalanced="0"/>
    <cacheHierarchy uniqueName="[CHASIS].[FECHE/ENTRGA (mes)]" caption="FECHE/ENTRGA (mes)" attribute="1" defaultMemberUniqueName="[CHASIS].[FECHE/ENTRGA (mes)].[All]" allUniqueName="[CHASIS].[FECHE/ENTRGA (mes)].[All]" dimensionUniqueName="[CHASIS]" displayFolder="" count="0" memberValueDatatype="130" unbalanced="0"/>
    <cacheHierarchy uniqueName="[clientes].[CLIENTE]" caption="CLIENTE" attribute="1" defaultMemberUniqueName="[clientes].[CLIENTE].[All]" allUniqueName="[clientes].[CLIENTE].[All]" dimensionUniqueName="[clientes]" displayFolder="" count="0" memberValueDatatype="130" unbalanced="0"/>
    <cacheHierarchy uniqueName="[clientes].[R. F. C.]" caption="R. F. C." attribute="1" defaultMemberUniqueName="[clientes].[R. F. C.].[All]" allUniqueName="[clientes].[R. F. C.].[All]" dimensionUniqueName="[clientes]" displayFolder="" count="0" memberValueDatatype="130" unbalanced="0"/>
    <cacheHierarchy uniqueName="[clientes].[EMPRESA]" caption="EMPRESA" attribute="1" defaultMemberUniqueName="[clientes].[EMPRESA].[All]" allUniqueName="[clientes].[EMPRESA].[All]" dimensionUniqueName="[clientes]" displayFolder="" count="0" memberValueDatatype="130" unbalanced="0"/>
    <cacheHierarchy uniqueName="[clientes].[CALLE, No., COLONIA]" caption="CALLE, No., COLONIA" attribute="1" defaultMemberUniqueName="[clientes].[CALLE, No., COLONIA].[All]" allUniqueName="[clientes].[CALLE, No., COLONIA].[All]" dimensionUniqueName="[clientes]" displayFolder="" count="0" memberValueDatatype="130" unbalanced="0"/>
    <cacheHierarchy uniqueName="[clientes].[MUNICIPIO, ESTADO, PAIS.]" caption="MUNICIPIO, ESTADO, PAIS." attribute="1" defaultMemberUniqueName="[clientes].[MUNICIPIO, ESTADO, PAIS.].[All]" allUniqueName="[clientes].[MUNICIPIO, ESTADO, PAIS.].[All]" dimensionUniqueName="[clientes]" displayFolder="" count="0" memberValueDatatype="130" unbalanced="0"/>
    <cacheHierarchy uniqueName="[clientes].[C.P.]" caption="C.P." attribute="1" defaultMemberUniqueName="[clientes].[C.P.].[All]" allUniqueName="[clientes].[C.P.].[All]" dimensionUniqueName="[clientes]" displayFolder="" count="0" memberValueDatatype="130" unbalanced="0"/>
    <cacheHierarchy uniqueName="[clientes].[TEL/CEL]" caption="TEL/CEL" attribute="1" defaultMemberUniqueName="[clientes].[TEL/CEL].[All]" allUniqueName="[clientes].[TEL/CEL].[All]" dimensionUniqueName="[clientes]" displayFolder="" count="0" memberValueDatatype="130" unbalanced="0"/>
    <cacheHierarchy uniqueName="[clientes].[CORREO]" caption="CORREO" attribute="1" defaultMemberUniqueName="[clientes].[CORREO].[All]" allUniqueName="[clientes].[CORREO].[All]" dimensionUniqueName="[clientes]" displayFolder="" count="0" memberValueDatatype="130" unbalanced="0"/>
    <cacheHierarchy uniqueName="[extras].[PZAS]" caption="PZAS" attribute="1" defaultMemberUniqueName="[extras].[PZAS].[All]" allUniqueName="[extras].[PZAS].[All]" dimensionUniqueName="[extras]" displayFolder="" count="0" memberValueDatatype="20" unbalanced="0"/>
    <cacheHierarchy uniqueName="[extras].[TIPO]" caption="TIPO" attribute="1" defaultMemberUniqueName="[extras].[TIPO].[All]" allUniqueName="[extras].[TIPO].[All]" dimensionUniqueName="[extras]" displayFolder="" count="0" memberValueDatatype="130" unbalanced="0"/>
    <cacheHierarchy uniqueName="[extras].[NOMBRE]" caption="NOMBRE" attribute="1" defaultMemberUniqueName="[extras].[NOMBRE].[All]" allUniqueName="[extras].[NOMBRE].[All]" dimensionUniqueName="[extras]" displayFolder="" count="0" memberValueDatatype="130" unbalanced="0"/>
    <cacheHierarchy uniqueName="[extras].[MATERIAL / ACCESORIO]" caption="MATERIAL / ACCESORIO" attribute="1" defaultMemberUniqueName="[extras].[MATERIAL / ACCESORIO].[All]" allUniqueName="[extras].[MATERIAL / ACCESORIO].[All]" dimensionUniqueName="[extras]" displayFolder="" count="0" memberValueDatatype="130" unbalanced="0"/>
    <cacheHierarchy uniqueName="[extras].[CLASE]" caption="CLASE" attribute="1" defaultMemberUniqueName="[extras].[CLASE].[All]" allUniqueName="[extras].[CLASE].[All]" dimensionUniqueName="[extras]" displayFolder="" count="0" memberValueDatatype="130" unbalanced="0"/>
    <cacheHierarchy uniqueName="[extras].[PRECIO $ C/U]" caption="PRECIO $ C/U" attribute="1" defaultMemberUniqueName="[extras].[PRECIO $ C/U].[All]" allUniqueName="[extras].[PRECIO $ C/U].[All]" dimensionUniqueName="[extras]" displayFolder="" count="0" memberValueDatatype="20" unbalanced="0"/>
    <cacheHierarchy uniqueName="[extras].[IMP POR POYECTO]" caption="IMP POR POYECTO" attribute="1" defaultMemberUniqueName="[extras].[IMP POR POYECTO].[All]" allUniqueName="[extras].[IMP POR POYECTO].[All]" dimensionUniqueName="[extras]" displayFolder="" count="0" memberValueDatatype="20" unbalanced="0"/>
    <cacheHierarchy uniqueName="[extras].[NUM. DE EJES]" caption="NUM. DE EJES" attribute="1" defaultMemberUniqueName="[extras].[NUM. DE EJES].[All]" allUniqueName="[extras].[NUM. DE EJES].[All]" dimensionUniqueName="[extras]" displayFolder="" count="0" memberValueDatatype="20" unbalanced="0"/>
    <cacheHierarchy uniqueName="[extras].[LARGO]" caption="LARGO" attribute="1" defaultMemberUniqueName="[extras].[LARGO].[All]" allUniqueName="[extras].[LARGO].[All]" dimensionUniqueName="[extras]" displayFolder="" count="0" memberValueDatatype="130" unbalanced="0"/>
    <cacheHierarchy uniqueName="[extras].[OBSERVACION]" caption="OBSERVACION" attribute="1" defaultMemberUniqueName="[extras].[OBSERVACION].[All]" allUniqueName="[extras].[OBSERVACION].[All]" dimensionUniqueName="[extras]" displayFolder="" count="0" memberValueDatatype="130" unbalanced="0"/>
    <cacheHierarchy uniqueName="[otros].[PZAS]" caption="PZAS" attribute="1" defaultMemberUniqueName="[otros].[PZAS].[All]" allUniqueName="[otros].[PZAS].[All]" dimensionUniqueName="[otros]" displayFolder="" count="0" memberValueDatatype="5" unbalanced="0"/>
    <cacheHierarchy uniqueName="[otros].[TIPO]" caption="TIPO" attribute="1" defaultMemberUniqueName="[otros].[TIPO].[All]" allUniqueName="[otros].[TIPO].[All]" dimensionUniqueName="[otros]" displayFolder="" count="0" memberValueDatatype="130" unbalanced="0"/>
    <cacheHierarchy uniqueName="[otros].[NOMBRE]" caption="NOMBRE" attribute="1" defaultMemberUniqueName="[otros].[NOMBRE].[All]" allUniqueName="[otros].[NOMBRE].[All]" dimensionUniqueName="[otros]" displayFolder="" count="0" memberValueDatatype="130" unbalanced="0"/>
    <cacheHierarchy uniqueName="[otros].[MATERIAL / ACCESORIO]" caption="MATERIAL / ACCESORIO" attribute="1" defaultMemberUniqueName="[otros].[MATERIAL / ACCESORIO].[All]" allUniqueName="[otros].[MATERIAL / ACCESORIO].[All]" dimensionUniqueName="[otros]" displayFolder="" count="0" memberValueDatatype="130" unbalanced="0"/>
    <cacheHierarchy uniqueName="[otros].[PRECIO $ C/U]" caption="PRECIO $ C/U" attribute="1" defaultMemberUniqueName="[otros].[PRECIO $ C/U].[All]" allUniqueName="[otros].[PRECIO $ C/U].[All]" dimensionUniqueName="[otros]" displayFolder="" count="0" memberValueDatatype="20" unbalanced="0"/>
    <cacheHierarchy uniqueName="[otros].[IMP POR POYECTO]" caption="IMP POR POYECTO" attribute="1" defaultMemberUniqueName="[otros].[IMP POR POYECTO].[All]" allUniqueName="[otros].[IMP POR POYECTO].[All]" dimensionUniqueName="[otros]" displayFolder="" count="0" memberValueDatatype="5" unbalanced="0"/>
    <cacheHierarchy uniqueName="[otros].[NUM. DE EJES]" caption="NUM. DE EJES" attribute="1" defaultMemberUniqueName="[otros].[NUM. DE EJES].[All]" allUniqueName="[otros].[NUM. DE EJES].[All]" dimensionUniqueName="[otros]" displayFolder="" count="0" memberValueDatatype="20" unbalanced="0"/>
    <cacheHierarchy uniqueName="[otros].[LARGO]" caption="LARGO" attribute="1" defaultMemberUniqueName="[otros].[LARGO].[All]" allUniqueName="[otros].[LARGO].[All]" dimensionUniqueName="[otros]" displayFolder="" count="0" memberValueDatatype="130" unbalanced="0"/>
    <cacheHierarchy uniqueName="[otros].[CLASE]" caption="CLASE" attribute="1" defaultMemberUniqueName="[otros].[CLASE].[All]" allUniqueName="[otros].[CLASE].[All]" dimensionUniqueName="[otros]" displayFolder="" count="0" memberValueDatatype="130" unbalanced="0"/>
    <cacheHierarchy uniqueName="[otros].[OBSERVACION]" caption="OBSERVACION" attribute="1" defaultMemberUniqueName="[otros].[OBSERVACION].[All]" allUniqueName="[otros].[OBSERVACION].[All]" dimensionUniqueName="[otros]" displayFolder="" count="0" memberValueDatatype="130" unbalanced="0"/>
    <cacheHierarchy uniqueName="[Page001].[Column1]" caption="Column1" attribute="1" defaultMemberUniqueName="[Page001].[Column1].[All]" allUniqueName="[Page001].[Column1].[All]" dimensionUniqueName="[Page001]" displayFolder="" count="0" memberValueDatatype="130" unbalanced="0"/>
    <cacheHierarchy uniqueName="[Page001].[Column2]" caption="Column2" attribute="1" defaultMemberUniqueName="[Page001].[Column2].[All]" allUniqueName="[Page001].[Column2].[All]" dimensionUniqueName="[Page001]" displayFolder="" count="0" memberValueDatatype="130" unbalanced="0"/>
    <cacheHierarchy uniqueName="[Page001].[Column3]" caption="Column3" attribute="1" defaultMemberUniqueName="[Page001].[Column3].[All]" allUniqueName="[Page001].[Column3].[All]" dimensionUniqueName="[Page001]" displayFolder="" count="0" memberValueDatatype="130" unbalanced="0"/>
    <cacheHierarchy uniqueName="[Page001].[Column4]" caption="Column4" attribute="1" defaultMemberUniqueName="[Page001].[Column4].[All]" allUniqueName="[Page001].[Column4].[All]" dimensionUniqueName="[Page001]" displayFolder="" count="0" memberValueDatatype="130" unbalanced="0"/>
    <cacheHierarchy uniqueName="[Page001].[Column5]" caption="Column5" attribute="1" defaultMemberUniqueName="[Page001].[Column5].[All]" allUniqueName="[Page001].[Column5].[All]" dimensionUniqueName="[Page001]" displayFolder="" count="0" memberValueDatatype="130" unbalanced="0"/>
    <cacheHierarchy uniqueName="[Page002].[Column1]" caption="Column1" attribute="1" defaultMemberUniqueName="[Page002].[Column1].[All]" allUniqueName="[Page002].[Column1].[All]" dimensionUniqueName="[Page002]" displayFolder="" count="0" memberValueDatatype="130" unbalanced="0"/>
    <cacheHierarchy uniqueName="[Page002].[Column2]" caption="Column2" attribute="1" defaultMemberUniqueName="[Page002].[Column2].[All]" allUniqueName="[Page002].[Column2].[All]" dimensionUniqueName="[Page002]" displayFolder="" count="0" memberValueDatatype="130" unbalanced="0"/>
    <cacheHierarchy uniqueName="[Page003].[Column1]" caption="Column1" attribute="1" defaultMemberUniqueName="[Page003].[Column1].[All]" allUniqueName="[Page003].[Column1].[All]" dimensionUniqueName="[Page003]" displayFolder="" count="0" memberValueDatatype="130" unbalanced="0"/>
    <cacheHierarchy uniqueName="[Page003].[Column2]" caption="Column2" attribute="1" defaultMemberUniqueName="[Page003].[Column2].[All]" allUniqueName="[Page003].[Column2].[All]" dimensionUniqueName="[Page003]" displayFolder="" count="0" memberValueDatatype="130" unbalanced="0"/>
    <cacheHierarchy uniqueName="[Page003].[Column3]" caption="Column3" attribute="1" defaultMemberUniqueName="[Page003].[Column3].[All]" allUniqueName="[Page003].[Column3].[All]" dimensionUniqueName="[Page003]" displayFolder="" count="0" memberValueDatatype="130" unbalanced="0"/>
    <cacheHierarchy uniqueName="[Page003].[Column4]" caption="Column4" attribute="1" defaultMemberUniqueName="[Page003].[Column4].[All]" allUniqueName="[Page003].[Column4].[All]" dimensionUniqueName="[Page003]" displayFolder="" count="0" memberValueDatatype="130" unbalanced="0"/>
    <cacheHierarchy uniqueName="[Page003].[Column5]" caption="Column5" attribute="1" defaultMemberUniqueName="[Page003].[Column5].[All]" allUniqueName="[Page003].[Column5].[All]" dimensionUniqueName="[Page003]" displayFolder="" count="0" memberValueDatatype="130" unbalanced="0"/>
    <cacheHierarchy uniqueName="[piramide].[PZAS]" caption="PZAS" attribute="1" defaultMemberUniqueName="[piramide].[PZAS].[All]" allUniqueName="[piramide].[PZAS].[All]" dimensionUniqueName="[piramide]" displayFolder="" count="0" memberValueDatatype="5" unbalanced="0"/>
    <cacheHierarchy uniqueName="[piramide].[TIPO]" caption="TIPO" attribute="1" defaultMemberUniqueName="[piramide].[TIPO].[All]" allUniqueName="[piramide].[TIPO].[All]" dimensionUniqueName="[piramide]" displayFolder="" count="0" memberValueDatatype="130" unbalanced="0"/>
    <cacheHierarchy uniqueName="[piramide].[NOMBRE]" caption="NOMBRE" attribute="1" defaultMemberUniqueName="[piramide].[NOMBRE].[All]" allUniqueName="[piramide].[NOMBRE].[All]" dimensionUniqueName="[piramide]" displayFolder="" count="0" memberValueDatatype="130" unbalanced="0"/>
    <cacheHierarchy uniqueName="[piramide].[MATERIAL / ACCESORIO]" caption="MATERIAL / ACCESORIO" attribute="1" defaultMemberUniqueName="[piramide].[MATERIAL / ACCESORIO].[All]" allUniqueName="[piramide].[MATERIAL / ACCESORIO].[All]" dimensionUniqueName="[piramide]" displayFolder="" count="0" memberValueDatatype="130" unbalanced="0"/>
    <cacheHierarchy uniqueName="[piramide].[PRECIO $ C/U]" caption="PRECIO $ C/U" attribute="1" defaultMemberUniqueName="[piramide].[PRECIO $ C/U].[All]" allUniqueName="[piramide].[PRECIO $ C/U].[All]" dimensionUniqueName="[piramide]" displayFolder="" count="0" memberValueDatatype="5" unbalanced="0"/>
    <cacheHierarchy uniqueName="[piramide].[IMP POR POYECTO]" caption="IMP POR POYECTO" attribute="1" defaultMemberUniqueName="[piramide].[IMP POR POYECTO].[All]" allUniqueName="[piramide].[IMP POR POYECTO].[All]" dimensionUniqueName="[piramide]" displayFolder="" count="0" memberValueDatatype="5" unbalanced="0"/>
    <cacheHierarchy uniqueName="[piramide].[NUM. DE EJES]" caption="NUM. DE EJES" attribute="1" defaultMemberUniqueName="[piramide].[NUM. DE EJES].[All]" allUniqueName="[piramide].[NUM. DE EJES].[All]" dimensionUniqueName="[piramide]" displayFolder="" count="0" memberValueDatatype="20" unbalanced="0"/>
    <cacheHierarchy uniqueName="[piramide].[LARGO]" caption="LARGO" attribute="1" defaultMemberUniqueName="[piramide].[LARGO].[All]" allUniqueName="[piramide].[LARGO].[All]" dimensionUniqueName="[piramide]" displayFolder="" count="0" memberValueDatatype="130" unbalanced="0"/>
    <cacheHierarchy uniqueName="[piramide].[CLASE]" caption="CLASE" attribute="1" defaultMemberUniqueName="[piramide].[CLASE].[All]" allUniqueName="[piramide].[CLASE].[All]" dimensionUniqueName="[piramide]" displayFolder="" count="0" memberValueDatatype="130" unbalanced="0"/>
    <cacheHierarchy uniqueName="[piramide].[OBSERVACION]" caption="OBSERVACION" attribute="1" defaultMemberUniqueName="[piramide].[OBSERVACION].[All]" allUniqueName="[piramide].[OBSERVACION].[All]" dimensionUniqueName="[piramide]" displayFolder="" count="0" memberValueDatatype="130" unbalanced="0"/>
    <cacheHierarchy uniqueName="[Tabla24].[NOMBRE]" caption="NOMBRE" attribute="1" defaultMemberUniqueName="[Tabla24].[NOMBRE].[All]" allUniqueName="[Tabla24].[NOMBRE].[All]" dimensionUniqueName="[Tabla24]" displayFolder="" count="2" memberValueDatatype="130" unbalanced="0">
      <fieldsUsage count="2">
        <fieldUsage x="-1"/>
        <fieldUsage x="4"/>
      </fieldsUsage>
    </cacheHierarchy>
    <cacheHierarchy uniqueName="[Tabla24].[TIPO]" caption="TIPO" attribute="1" defaultMemberUniqueName="[Tabla24].[TIPO].[All]" allUniqueName="[Tabla24].[TIPO].[All]" dimensionUniqueName="[Tabla24]" displayFolder="" count="0" memberValueDatatype="130" unbalanced="0"/>
    <cacheHierarchy uniqueName="[Tabla24].[NUM. DE EJES]" caption="NUM. DE EJES" attribute="1" defaultMemberUniqueName="[Tabla24].[NUM. DE EJES].[All]" allUniqueName="[Tabla24].[NUM. DE EJES].[All]" dimensionUniqueName="[Tabla24]" displayFolder="" count="0" memberValueDatatype="20" unbalanced="0"/>
    <cacheHierarchy uniqueName="[Tabla24].[LARGO]" caption="LARGO" attribute="1" defaultMemberUniqueName="[Tabla24].[LARGO].[All]" allUniqueName="[Tabla24].[LARGO].[All]" dimensionUniqueName="[Tabla24]" displayFolder="" count="0" memberValueDatatype="130" unbalanced="0"/>
    <cacheHierarchy uniqueName="[Tabla24].[CONCAT]" caption="CONCAT" attribute="1" defaultMemberUniqueName="[Tabla24].[CONCAT].[All]" allUniqueName="[Tabla24].[CONCAT].[All]" dimensionUniqueName="[Tabla24]" displayFolder="" count="0" memberValueDatatype="130" unbalanced="0"/>
    <cacheHierarchy uniqueName="[Tabla24].[Peso Vehicular]" caption="Peso Vehicular" attribute="1" defaultMemberUniqueName="[Tabla24].[Peso Vehicular].[All]" allUniqueName="[Tabla24].[Peso Vehicular].[All]" dimensionUniqueName="[Tabla24]" displayFolder="" count="0" memberValueDatatype="20" unbalanced="0"/>
    <cacheHierarchy uniqueName="[Tabla24].[PBVD:]" caption="PBVD:" attribute="1" defaultMemberUniqueName="[Tabla24].[PBVD:].[All]" allUniqueName="[Tabla24].[PBVD:].[All]" dimensionUniqueName="[Tabla24]" displayFolder="" count="0" memberValueDatatype="20" unbalanced="0"/>
    <cacheHierarchy uniqueName="[Tabla24].[Modelo ABS:]" caption="Modelo ABS:" attribute="1" defaultMemberUniqueName="[Tabla24].[Modelo ABS:].[All]" allUniqueName="[Tabla24].[Modelo ABS:].[All]" dimensionUniqueName="[Tabla24]" displayFolder="" count="0" memberValueDatatype="130" unbalanced="0"/>
    <cacheHierarchy uniqueName="[Tabla24].[CDE ejes traseros:]" caption="CDE ejes traseros:" attribute="1" defaultMemberUniqueName="[Tabla24].[CDE ejes traseros:].[All]" allUniqueName="[Tabla24].[CDE ejes traseros:].[All]" dimensionUniqueName="[Tabla24]" displayFolder="" count="0" memberValueDatatype="20" unbalanced="0"/>
    <cacheHierarchy uniqueName="[Tabla24].[Número de llantas:]" caption="Número de llantas:" attribute="1" defaultMemberUniqueName="[Tabla24].[Número de llantas:].[All]" allUniqueName="[Tabla24].[Número de llantas:].[All]" dimensionUniqueName="[Tabla24]" displayFolder="" count="0" memberValueDatatype="20" unbalanced="0"/>
    <cacheHierarchy uniqueName="[Tabla24].[Capacidad de eje en posición de montaje:]" caption="Capacidad de eje en posición de montaje:" attribute="1" defaultMemberUniqueName="[Tabla24].[Capacidad de eje en posición de montaje:].[All]" allUniqueName="[Tabla24].[Capacidad de eje en posición de montaje:].[All]" dimensionUniqueName="[Tabla24]" displayFolder="" count="0" memberValueDatatype="20" unbalanced="0"/>
    <cacheHierarchy uniqueName="[Tabla24].[Capacidad de espigas de eje:]" caption="Capacidad de espigas de eje:" attribute="1" defaultMemberUniqueName="[Tabla24].[Capacidad de espigas de eje:].[All]" allUniqueName="[Tabla24].[Capacidad de espigas de eje:].[All]" dimensionUniqueName="[Tabla24]" displayFolder="" count="0" memberValueDatatype="20" unbalanced="0"/>
    <cacheHierarchy uniqueName="[Tabla24].[Longitud]" caption="Longitud" attribute="1" defaultMemberUniqueName="[Tabla24].[Longitud].[All]" allUniqueName="[Tabla24].[Longitud].[All]" dimensionUniqueName="[Tabla24]" displayFolder="" count="0" memberValueDatatype="5" unbalanced="0"/>
    <cacheHierarchy uniqueName="[Table001  Page 1].[Column1]" caption="Column1" attribute="1" defaultMemberUniqueName="[Table001  Page 1].[Column1].[All]" allUniqueName="[Table001  Page 1].[Column1].[All]" dimensionUniqueName="[Table001  Page 1]" displayFolder="" count="0" memberValueDatatype="130" unbalanced="0"/>
    <cacheHierarchy uniqueName="[Table002  Page 3].[Column1]" caption="Column1" attribute="1" defaultMemberUniqueName="[Table002  Page 3].[Column1].[All]" allUniqueName="[Table002  Page 3].[Column1].[All]" dimensionUniqueName="[Table002  Page 3]" displayFolder="" count="0" memberValueDatatype="130" unbalanced="0"/>
    <cacheHierarchy uniqueName="[Table002  Page 3].[Column2]" caption="Column2" attribute="1" defaultMemberUniqueName="[Table002  Page 3].[Column2].[All]" allUniqueName="[Table002  Page 3].[Column2].[All]" dimensionUniqueName="[Table002  Page 3]" displayFolder="" count="0" memberValueDatatype="130" unbalanced="0"/>
    <cacheHierarchy uniqueName="[Table004  Page 3].[Column1]" caption="Column1" attribute="1" defaultMemberUniqueName="[Table004  Page 3].[Column1].[All]" allUniqueName="[Table004  Page 3].[Column1].[All]" dimensionUniqueName="[Table004  Page 3]" displayFolder="" count="0" memberValueDatatype="130" unbalanced="0"/>
    <cacheHierarchy uniqueName="[Table004  Page 3].[Column2]" caption="Column2" attribute="1" defaultMemberUniqueName="[Table004  Page 3].[Column2].[All]" allUniqueName="[Table004  Page 3].[Column2].[All]" dimensionUniqueName="[Table004  Page 3]" displayFolder="" count="0" memberValueDatatype="130" unbalanced="0"/>
    <cacheHierarchy uniqueName="[truckzone].[PZAS]" caption="PZAS" attribute="1" defaultMemberUniqueName="[truckzone].[PZAS].[All]" allUniqueName="[truckzone].[PZAS].[All]" dimensionUniqueName="[truckzone]" displayFolder="" count="0" memberValueDatatype="5" unbalanced="0"/>
    <cacheHierarchy uniqueName="[truckzone].[TIPO]" caption="TIPO" attribute="1" defaultMemberUniqueName="[truckzone].[TIPO].[All]" allUniqueName="[truckzone].[TIPO].[All]" dimensionUniqueName="[truckzone]" displayFolder="" count="0" memberValueDatatype="130" unbalanced="0"/>
    <cacheHierarchy uniqueName="[truckzone].[NOMBRE]" caption="NOMBRE" attribute="1" defaultMemberUniqueName="[truckzone].[NOMBRE].[All]" allUniqueName="[truckzone].[NOMBRE].[All]" dimensionUniqueName="[truckzone]" displayFolder="" count="0" memberValueDatatype="130" unbalanced="0"/>
    <cacheHierarchy uniqueName="[truckzone].[MATERIAL / ACCESORIO]" caption="MATERIAL / ACCESORIO" attribute="1" defaultMemberUniqueName="[truckzone].[MATERIAL / ACCESORIO].[All]" allUniqueName="[truckzone].[MATERIAL / ACCESORIO].[All]" dimensionUniqueName="[truckzone]" displayFolder="" count="0" memberValueDatatype="130" unbalanced="0"/>
    <cacheHierarchy uniqueName="[truckzone].[PRECIO $ C/U]" caption="PRECIO $ C/U" attribute="1" defaultMemberUniqueName="[truckzone].[PRECIO $ C/U].[All]" allUniqueName="[truckzone].[PRECIO $ C/U].[All]" dimensionUniqueName="[truckzone]" displayFolder="" count="0" memberValueDatatype="5" unbalanced="0"/>
    <cacheHierarchy uniqueName="[truckzone].[IMP POR POYECTO]" caption="IMP POR POYECTO" attribute="1" defaultMemberUniqueName="[truckzone].[IMP POR POYECTO].[All]" allUniqueName="[truckzone].[IMP POR POYECTO].[All]" dimensionUniqueName="[truckzone]" displayFolder="" count="0" memberValueDatatype="5" unbalanced="0"/>
    <cacheHierarchy uniqueName="[truckzone].[NUM. DE EJES]" caption="NUM. DE EJES" attribute="1" defaultMemberUniqueName="[truckzone].[NUM. DE EJES].[All]" allUniqueName="[truckzone].[NUM. DE EJES].[All]" dimensionUniqueName="[truckzone]" displayFolder="" count="0" memberValueDatatype="20" unbalanced="0"/>
    <cacheHierarchy uniqueName="[truckzone].[LARGO]" caption="LARGO" attribute="1" defaultMemberUniqueName="[truckzone].[LARGO].[All]" allUniqueName="[truckzone].[LARGO].[All]" dimensionUniqueName="[truckzone]" displayFolder="" count="0" memberValueDatatype="130" unbalanced="0"/>
    <cacheHierarchy uniqueName="[truckzone].[CLASE]" caption="CLASE" attribute="1" defaultMemberUniqueName="[truckzone].[CLASE].[All]" allUniqueName="[truckzone].[CLASE].[All]" dimensionUniqueName="[truckzone]" displayFolder="" count="0" memberValueDatatype="130" unbalanced="0"/>
    <cacheHierarchy uniqueName="[truckzone].[OBSERVACION]" caption="OBSERVACION" attribute="1" defaultMemberUniqueName="[truckzone].[OBSERVACION].[All]" allUniqueName="[truckzone].[OBSERVACION].[All]" dimensionUniqueName="[truckzone]" displayFolder="" count="0" memberValueDatatype="130" unbalanced="0"/>
    <cacheHierarchy uniqueName="[CHASIS].[FECHE/ENTRGA (índice de meses)]" caption="FECHE/ENTRGA (índice de meses)" attribute="1" defaultMemberUniqueName="[CHASIS].[FECHE/ENTRGA (índice de meses)].[All]" allUniqueName="[CHASIS].[FECHE/ENTRGA (índice de meses)].[All]" dimensionUniqueName="[CHASIS]" displayFolder="" count="0" memberValueDatatype="20" unbalanced="0" hidden="1"/>
    <cacheHierarchy uniqueName="[Measures].[__XL_Count extras]" caption="__XL_Count extras" measure="1" displayFolder="" measureGroup="extras" count="0" hidden="1"/>
    <cacheHierarchy uniqueName="[Measures].[__XL_Count otros]" caption="__XL_Count otros" measure="1" displayFolder="" measureGroup="otros" count="0" hidden="1"/>
    <cacheHierarchy uniqueName="[Measures].[__XL_Count piramide]" caption="__XL_Count piramide" measure="1" displayFolder="" measureGroup="piramide" count="0" hidden="1"/>
    <cacheHierarchy uniqueName="[Measures].[__XL_Count truckzone]" caption="__XL_Count truckzone" measure="1" displayFolder="" measureGroup="truckzone" count="0" hidden="1"/>
    <cacheHierarchy uniqueName="[Measures].[__XL_Count Tabla24]" caption="__XL_Count Tabla24" measure="1" displayFolder="" measureGroup="Tabla24" count="0" hidden="1"/>
    <cacheHierarchy uniqueName="[Measures].[__XL_Count ACERO 1]" caption="__XL_Count ACERO 1" measure="1" displayFolder="" measureGroup="ACERO 1" count="0" hidden="1"/>
    <cacheHierarchy uniqueName="[Measures].[__XL_Count Table001  Page 1]" caption="__XL_Count Table001  Page 1" measure="1" displayFolder="" measureGroup="Table001  Page 1" count="0" hidden="1"/>
    <cacheHierarchy uniqueName="[Measures].[__XL_Count Table002  Page 3]" caption="__XL_Count Table002  Page 3" measure="1" displayFolder="" measureGroup="Table002  Page 3" count="0" hidden="1"/>
    <cacheHierarchy uniqueName="[Measures].[__XL_Count Table004  Page 3]" caption="__XL_Count Table004  Page 3" measure="1" displayFolder="" measureGroup="Table004  Page 3" count="0" hidden="1"/>
    <cacheHierarchy uniqueName="[Measures].[__XL_Count Page001]" caption="__XL_Count Page001" measure="1" displayFolder="" measureGroup="Page001" count="0" hidden="1"/>
    <cacheHierarchy uniqueName="[Measures].[__XL_Count Page003]" caption="__XL_Count Page003" measure="1" displayFolder="" measureGroup="Page003" count="0" hidden="1"/>
    <cacheHierarchy uniqueName="[Measures].[__XL_Count Page002]" caption="__XL_Count Page002" measure="1" displayFolder="" measureGroup="Page002" count="0" hidden="1"/>
    <cacheHierarchy uniqueName="[Measures].[__XL_Count CHASIS]" caption="__XL_Count CHASIS" measure="1" displayFolder="" measureGroup="CHASIS" count="0" hidden="1"/>
    <cacheHierarchy uniqueName="[Measures].[__XL_Count clientes]" caption="__XL_Count clientes" measure="1" displayFolder="" measureGroup="clientes" count="0" hidden="1"/>
    <cacheHierarchy uniqueName="[Measures].[__No measures defined]" caption="__No measures defined" measure="1" displayFolder="" count="0" hidden="1"/>
    <cacheHierarchy uniqueName="[Measures].[Suma de IMP POR POYECTO 3]" caption="Suma de IMP POR POYECTO 3" measure="1" displayFolder="" measureGroup="otros" count="0" hidden="1">
      <extLst>
        <ext xmlns:x15="http://schemas.microsoft.com/office/spreadsheetml/2010/11/main" uri="{B97F6D7D-B522-45F9-BDA1-12C45D357490}">
          <x15:cacheHierarchy aggregatedColumn="44"/>
        </ext>
      </extLst>
    </cacheHierarchy>
    <cacheHierarchy uniqueName="[Measures].[Suma de IMP POR POYECTO 4]" caption="Suma de IMP POR POYECTO 4" measure="1" displayFolder="" measureGroup="piramide" count="0" hidden="1">
      <extLst>
        <ext xmlns:x15="http://schemas.microsoft.com/office/spreadsheetml/2010/11/main" uri="{B97F6D7D-B522-45F9-BDA1-12C45D357490}">
          <x15:cacheHierarchy aggregatedColumn="66"/>
        </ext>
      </extLst>
    </cacheHierarchy>
    <cacheHierarchy uniqueName="[Measures].[Suma de IMP POR POYECTO 5]" caption="Suma de IMP POR POYECTO 5" measure="1" displayFolder="" measureGroup="extras" count="0" hidden="1">
      <extLst>
        <ext xmlns:x15="http://schemas.microsoft.com/office/spreadsheetml/2010/11/main" uri="{B97F6D7D-B522-45F9-BDA1-12C45D357490}">
          <x15:cacheHierarchy aggregatedColumn="35"/>
        </ext>
      </extLst>
    </cacheHierarchy>
    <cacheHierarchy uniqueName="[Measures].[Suma de IMP POR POYECTO 6]" caption="Suma de IMP POR POYECTO 6" measure="1" displayFolder="" measureGroup="truckzone" count="0" hidden="1">
      <extLst>
        <ext xmlns:x15="http://schemas.microsoft.com/office/spreadsheetml/2010/11/main" uri="{B97F6D7D-B522-45F9-BDA1-12C45D357490}">
          <x15:cacheHierarchy aggregatedColumn="94"/>
        </ext>
      </extLst>
    </cacheHierarchy>
    <cacheHierarchy uniqueName="[Measures].[Suma de PZAS 2]" caption="Suma de PZAS 2" measure="1" displayFolder="" measureGroup="otros" count="0" hidden="1">
      <extLst>
        <ext xmlns:x15="http://schemas.microsoft.com/office/spreadsheetml/2010/11/main" uri="{B97F6D7D-B522-45F9-BDA1-12C45D357490}">
          <x15:cacheHierarchy aggregatedColumn="39"/>
        </ext>
      </extLst>
    </cacheHierarchy>
    <cacheHierarchy uniqueName="[Measures].[Suma de PZAS 3]" caption="Suma de PZAS 3" measure="1" displayFolder="" measureGroup="extras" count="0" hidden="1">
      <extLst>
        <ext xmlns:x15="http://schemas.microsoft.com/office/spreadsheetml/2010/11/main" uri="{B97F6D7D-B522-45F9-BDA1-12C45D357490}">
          <x15:cacheHierarchy aggregatedColumn="29"/>
        </ext>
      </extLst>
    </cacheHierarchy>
    <cacheHierarchy uniqueName="[Measures].[Suma de PZAS 4]" caption="Suma de PZAS 4" measure="1" displayFolder="" measureGroup="piramide" count="0" hidden="1">
      <extLst>
        <ext xmlns:x15="http://schemas.microsoft.com/office/spreadsheetml/2010/11/main" uri="{B97F6D7D-B522-45F9-BDA1-12C45D357490}">
          <x15:cacheHierarchy aggregatedColumn="61"/>
        </ext>
      </extLst>
    </cacheHierarchy>
    <cacheHierarchy uniqueName="[Measures].[Suma de PZAS 5]" caption="Suma de PZAS 5" measure="1" displayFolder="" measureGroup="truckzone" count="0" hidden="1">
      <extLst>
        <ext xmlns:x15="http://schemas.microsoft.com/office/spreadsheetml/2010/11/main" uri="{B97F6D7D-B522-45F9-BDA1-12C45D357490}">
          <x15:cacheHierarchy aggregatedColumn="89"/>
        </ext>
      </extLst>
    </cacheHierarchy>
    <cacheHierarchy uniqueName="[Measures].[Suma de IMP POR POYECTO]" caption="Suma de IMP POR POYECTO" measure="1" displayFolder="" measureGroup="ACERO 1" count="0" oneField="1" hidden="1">
      <fieldsUsage count="1">
        <fieldUsage x="1"/>
      </fieldsUsage>
      <extLst>
        <ext xmlns:x15="http://schemas.microsoft.com/office/spreadsheetml/2010/11/main" uri="{B97F6D7D-B522-45F9-BDA1-12C45D357490}">
          <x15:cacheHierarchy aggregatedColumn="5"/>
        </ext>
      </extLst>
    </cacheHierarchy>
    <cacheHierarchy uniqueName="[Measures].[Suma de PZAS 6]" caption="Suma de PZAS 6" measure="1" displayFolder="" measureGroup="ACERO 1" count="0" oneField="1" hidden="1">
      <fieldsUsage count="1">
        <fieldUsage x="3"/>
      </fieldsUsage>
      <extLst>
        <ext xmlns:x15="http://schemas.microsoft.com/office/spreadsheetml/2010/11/main" uri="{B97F6D7D-B522-45F9-BDA1-12C45D357490}">
          <x15:cacheHierarchy aggregatedColumn="0"/>
        </ext>
      </extLst>
    </cacheHierarchy>
    <cacheHierarchy uniqueName="[Measures].[Recuento de MATERIAL / ACCESORIO]" caption="Recuento de MATERIAL / ACCESORIO" measure="1" displayFolder="" measureGroup="extras" count="0" hidden="1">
      <extLst>
        <ext xmlns:x15="http://schemas.microsoft.com/office/spreadsheetml/2010/11/main" uri="{B97F6D7D-B522-45F9-BDA1-12C45D357490}">
          <x15:cacheHierarchy aggregatedColumn="32"/>
        </ext>
      </extLst>
    </cacheHierarchy>
    <cacheHierarchy uniqueName="[Measures].[Recuento de TIPO]" caption="Recuento de TIPO" measure="1" displayFolder="" measureGroup="extras" count="0" hidden="1">
      <extLst>
        <ext xmlns:x15="http://schemas.microsoft.com/office/spreadsheetml/2010/11/main" uri="{B97F6D7D-B522-45F9-BDA1-12C45D357490}">
          <x15:cacheHierarchy aggregatedColumn="30"/>
        </ext>
      </extLst>
    </cacheHierarchy>
    <cacheHierarchy uniqueName="[Measures].[Suma de PAGO]" caption="Suma de PAGO" measure="1" displayFolder="" measureGroup="CHASIS" count="0" hidden="1">
      <extLst>
        <ext xmlns:x15="http://schemas.microsoft.com/office/spreadsheetml/2010/11/main" uri="{B97F6D7D-B522-45F9-BDA1-12C45D357490}">
          <x15:cacheHierarchy aggregatedColumn="14"/>
        </ext>
      </extLst>
    </cacheHierarchy>
    <cacheHierarchy uniqueName="[Measures].[Suma de P/U]" caption="Suma de P/U" measure="1" displayFolder="" measureGroup="CHASIS" count="0" hidden="1">
      <extLst>
        <ext xmlns:x15="http://schemas.microsoft.com/office/spreadsheetml/2010/11/main" uri="{B97F6D7D-B522-45F9-BDA1-12C45D357490}">
          <x15:cacheHierarchy aggregatedColumn="13"/>
        </ext>
      </extLst>
    </cacheHierarchy>
    <cacheHierarchy uniqueName="[Measures].[Suma de ADEUDO]" caption="Suma de ADEUDO" measure="1" displayFolder="" measureGroup="CHASIS" count="0" hidden="1">
      <extLst>
        <ext xmlns:x15="http://schemas.microsoft.com/office/spreadsheetml/2010/11/main" uri="{B97F6D7D-B522-45F9-BDA1-12C45D357490}">
          <x15:cacheHierarchy aggregatedColumn="15"/>
        </ext>
      </extLst>
    </cacheHierarchy>
  </cacheHierarchies>
  <kpis count="0"/>
  <dimensions count="15">
    <dimension name="ACERO 1" uniqueName="[ACERO 1]" caption="ACERO 1"/>
    <dimension name="CHASIS" uniqueName="[CHASIS]" caption="CHASIS"/>
    <dimension name="clientes" uniqueName="[clientes]" caption="clientes"/>
    <dimension name="extras" uniqueName="[extras]" caption="extras"/>
    <dimension measure="1" name="Measures" uniqueName="[Measures]" caption="Measures"/>
    <dimension name="otros" uniqueName="[otros]" caption="otros"/>
    <dimension name="Page001" uniqueName="[Page001]" caption="Page001"/>
    <dimension name="Page002" uniqueName="[Page002]" caption="Page002"/>
    <dimension name="Page003" uniqueName="[Page003]" caption="Page003"/>
    <dimension name="piramide" uniqueName="[piramide]" caption="piramide"/>
    <dimension name="Tabla24" uniqueName="[Tabla24]" caption="Tabla24"/>
    <dimension name="Table001  Page 1" uniqueName="[Table001  Page 1]" caption="Table001  Page 1"/>
    <dimension name="Table002  Page 3" uniqueName="[Table002  Page 3]" caption="Table002  Page 3"/>
    <dimension name="Table004  Page 3" uniqueName="[Table004  Page 3]" caption="Table004  Page 3"/>
    <dimension name="truckzone" uniqueName="[truckzone]" caption="truckzone"/>
  </dimensions>
  <measureGroups count="14">
    <measureGroup name="ACERO 1" caption="ACERO 1"/>
    <measureGroup name="CHASIS" caption="CHASIS"/>
    <measureGroup name="clientes" caption="clientes"/>
    <measureGroup name="extras" caption="extras"/>
    <measureGroup name="otros" caption="otros"/>
    <measureGroup name="Page001" caption="Page001"/>
    <measureGroup name="Page002" caption="Page002"/>
    <measureGroup name="Page003" caption="Page003"/>
    <measureGroup name="piramide" caption="piramide"/>
    <measureGroup name="Tabla24" caption="Tabla24"/>
    <measureGroup name="Table001  Page 1" caption="Table001  Page 1"/>
    <measureGroup name="Table002  Page 3" caption="Table002  Page 3"/>
    <measureGroup name="Table004  Page 3" caption="Table004  Page 3"/>
    <measureGroup name="truckzone" caption="truckzone"/>
  </measureGroups>
  <maps count="19">
    <map measureGroup="0" dimension="0"/>
    <map measureGroup="0" dimension="10"/>
    <map measureGroup="1" dimension="1"/>
    <map measureGroup="2" dimension="2"/>
    <map measureGroup="3" dimension="3"/>
    <map measureGroup="3" dimension="10"/>
    <map measureGroup="4" dimension="5"/>
    <map measureGroup="4" dimension="10"/>
    <map measureGroup="5" dimension="6"/>
    <map measureGroup="6" dimension="7"/>
    <map measureGroup="7" dimension="8"/>
    <map measureGroup="8" dimension="9"/>
    <map measureGroup="8" dimension="10"/>
    <map measureGroup="9" dimension="10"/>
    <map measureGroup="10" dimension="11"/>
    <map measureGroup="11" dimension="12"/>
    <map measureGroup="12" dimension="13"/>
    <map measureGroup="13" dimension="10"/>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HINKPAD" refreshedDate="45158.964700231481" backgroundQuery="1" createdVersion="5" refreshedVersion="8" minRefreshableVersion="3" recordCount="0" supportSubquery="1" supportAdvancedDrill="1" xr:uid="{6261C807-86CA-4AB9-B1C2-A7590B243703}">
  <cacheSource type="external" connectionId="8"/>
  <cacheFields count="5">
    <cacheField name="[piramide].[MATERIAL / ACCESORIO].[MATERIAL / ACCESORIO]" caption="MATERIAL / ACCESORIO" numFmtId="0" hierarchy="64" level="1">
      <sharedItems count="12">
        <s v="ANGULO 1/8 &quot;1 1/2 PORTALLANTAS"/>
        <s v="CANAL DE 6&quot;'12M"/>
        <s v="GANCHO PARA IAZO"/>
        <s v="PLACA 1/4"/>
        <s v="REDONDO PORTALLANTAS YJALON"/>
        <s v="SOLERA 1/2&quot;.3 P/ESQUINEROS"/>
        <s v="SOLERA DE 1/2&quot;' 3&quot;"/>
        <s v="SOLERA DE 1/2&quot; 6&quot;'12M"/>
        <s v="SOLERA PORTALLANTAS 1/2'3"/>
        <s v="SOLERAS DE 3/8&quot;'2"/>
        <s v="TUBO  1 1/4"/>
        <s v="TUBO I 1/2 CED 40"/>
      </sharedItems>
    </cacheField>
    <cacheField name="[Measures].[Suma de IMP POR POYECTO 4]" caption="Suma de IMP POR POYECTO 4" numFmtId="0" hierarchy="116" level="32767"/>
    <cacheField name="[piramide].[CLASE].[CLASE]" caption="CLASE" numFmtId="0" hierarchy="69" level="1">
      <sharedItems containsSemiMixedTypes="0" containsNonDate="0" containsString="0"/>
    </cacheField>
    <cacheField name="[Measures].[Suma de PZAS 4]" caption="Suma de PZAS 4" numFmtId="0" hierarchy="121" level="32767"/>
    <cacheField name="[Tabla24].[NOMBRE].[NOMBRE]" caption="NOMBRE" numFmtId="0" hierarchy="71" level="1">
      <sharedItems containsSemiMixedTypes="0" containsNonDate="0" containsString="0"/>
    </cacheField>
  </cacheFields>
  <cacheHierarchies count="130">
    <cacheHierarchy uniqueName="[ACERO 1].[PZAS]" caption="PZAS" attribute="1" defaultMemberUniqueName="[ACERO 1].[PZAS].[All]" allUniqueName="[ACERO 1].[PZAS].[All]" dimensionUniqueName="[ACERO 1]" displayFolder="" count="0" memberValueDatatype="5" unbalanced="0"/>
    <cacheHierarchy uniqueName="[ACERO 1].[TIPO]" caption="TIPO" attribute="1" defaultMemberUniqueName="[ACERO 1].[TIPO].[All]" allUniqueName="[ACERO 1].[TIPO].[All]" dimensionUniqueName="[ACERO 1]" displayFolder="" count="0" memberValueDatatype="130" unbalanced="0"/>
    <cacheHierarchy uniqueName="[ACERO 1].[NOMBRE]" caption="NOMBRE" attribute="1" defaultMemberUniqueName="[ACERO 1].[NOMBRE].[All]" allUniqueName="[ACERO 1].[NOMBRE].[All]" dimensionUniqueName="[ACERO 1]" displayFolder="" count="0" memberValueDatatype="130" unbalanced="0"/>
    <cacheHierarchy uniqueName="[ACERO 1].[MATERIAL / ACCESORIO]" caption="MATERIAL / ACCESORIO" attribute="1" defaultMemberUniqueName="[ACERO 1].[MATERIAL / ACCESORIO].[All]" allUniqueName="[ACERO 1].[MATERIAL / ACCESORIO].[All]" dimensionUniqueName="[ACERO 1]" displayFolder="" count="0" memberValueDatatype="130" unbalanced="0"/>
    <cacheHierarchy uniqueName="[ACERO 1].[PRECIO $ C/U]" caption="PRECIO $ C/U" attribute="1" defaultMemberUniqueName="[ACERO 1].[PRECIO $ C/U].[All]" allUniqueName="[ACERO 1].[PRECIO $ C/U].[All]" dimensionUniqueName="[ACERO 1]" displayFolder="" count="0" memberValueDatatype="5" unbalanced="0"/>
    <cacheHierarchy uniqueName="[ACERO 1].[IMP POR POYECTO]" caption="IMP POR POYECTO" attribute="1" defaultMemberUniqueName="[ACERO 1].[IMP POR POYECTO].[All]" allUniqueName="[ACERO 1].[IMP POR POYECTO].[All]" dimensionUniqueName="[ACERO 1]" displayFolder="" count="0" memberValueDatatype="5" unbalanced="0"/>
    <cacheHierarchy uniqueName="[ACERO 1].[NUM. DE EJES]" caption="NUM. DE EJES" attribute="1" defaultMemberUniqueName="[ACERO 1].[NUM. DE EJES].[All]" allUniqueName="[ACERO 1].[NUM. DE EJES].[All]" dimensionUniqueName="[ACERO 1]" displayFolder="" count="0" memberValueDatatype="20" unbalanced="0"/>
    <cacheHierarchy uniqueName="[ACERO 1].[LARGO]" caption="LARGO" attribute="1" defaultMemberUniqueName="[ACERO 1].[LARGO].[All]" allUniqueName="[ACERO 1].[LARGO].[All]" dimensionUniqueName="[ACERO 1]" displayFolder="" count="0" memberValueDatatype="130" unbalanced="0"/>
    <cacheHierarchy uniqueName="[ACERO 1].[CLASE]" caption="CLASE" attribute="1" defaultMemberUniqueName="[ACERO 1].[CLASE].[All]" allUniqueName="[ACERO 1].[CLASE].[All]" dimensionUniqueName="[ACERO 1]" displayFolder="" count="0" memberValueDatatype="130" unbalanced="0"/>
    <cacheHierarchy uniqueName="[ACERO 1].[OBSERVACION]" caption="OBSERVACION" attribute="1" defaultMemberUniqueName="[ACERO 1].[OBSERVACION].[All]" allUniqueName="[ACERO 1].[OBSERVACION].[All]" dimensionUniqueName="[ACERO 1]" displayFolder="" count="0" memberValueDatatype="130" unbalanced="0"/>
    <cacheHierarchy uniqueName="[CHASIS].[CLIENTE]" caption="CLIENTE" attribute="1" defaultMemberUniqueName="[CHASIS].[CLIENTE].[All]" allUniqueName="[CHASIS].[CLIENTE].[All]" dimensionUniqueName="[CHASIS]" displayFolder="" count="0" memberValueDatatype="130" unbalanced="0"/>
    <cacheHierarchy uniqueName="[CHASIS].[CHASIS]" caption="CHASIS" attribute="1" defaultMemberUniqueName="[CHASIS].[CHASIS].[All]" allUniqueName="[CHASIS].[CHASIS].[All]" dimensionUniqueName="[CHASIS]" displayFolder="" count="0" memberValueDatatype="130" unbalanced="0"/>
    <cacheHierarchy uniqueName="[CHASIS].[AÑO MODELO]" caption="AÑO MODELO" attribute="1" defaultMemberUniqueName="[CHASIS].[AÑO MODELO].[All]" allUniqueName="[CHASIS].[AÑO MODELO].[All]" dimensionUniqueName="[CHASIS]" displayFolder="" count="0" memberValueDatatype="20" unbalanced="0"/>
    <cacheHierarchy uniqueName="[CHASIS].[P/U]" caption="P/U" attribute="1" defaultMemberUniqueName="[CHASIS].[P/U].[All]" allUniqueName="[CHASIS].[P/U].[All]" dimensionUniqueName="[CHASIS]" displayFolder="" count="0" memberValueDatatype="20" unbalanced="0"/>
    <cacheHierarchy uniqueName="[CHASIS].[PAGO]" caption="PAGO" attribute="1" defaultMemberUniqueName="[CHASIS].[PAGO].[All]" allUniqueName="[CHASIS].[PAGO].[All]" dimensionUniqueName="[CHASIS]" displayFolder="" count="0" memberValueDatatype="20" unbalanced="0"/>
    <cacheHierarchy uniqueName="[CHASIS].[ADEUDO]" caption="ADEUDO" attribute="1" defaultMemberUniqueName="[CHASIS].[ADEUDO].[All]" allUniqueName="[CHASIS].[ADEUDO].[All]" dimensionUniqueName="[CHASIS]" displayFolder="" count="0" memberValueDatatype="20" unbalanced="0"/>
    <cacheHierarchy uniqueName="[CHASIS].[FACTURA]" caption="FACTURA" attribute="1" defaultMemberUniqueName="[CHASIS].[FACTURA].[All]" allUniqueName="[CHASIS].[FACTURA].[All]" dimensionUniqueName="[CHASIS]" displayFolder="" count="0" memberValueDatatype="130" unbalanced="0"/>
    <cacheHierarchy uniqueName="[CHASIS].[FECHE/ENTRGA]" caption="FECHE/ENTRGA" attribute="1" time="1" defaultMemberUniqueName="[CHASIS].[FECHE/ENTRGA].[All]" allUniqueName="[CHASIS].[FECHE/ENTRGA].[All]" dimensionUniqueName="[CHASIS]" displayFolder="" count="0" memberValueDatatype="7" unbalanced="0"/>
    <cacheHierarchy uniqueName="[CHASIS].[PAGADO]" caption="PAGADO" attribute="1" defaultMemberUniqueName="[CHASIS].[PAGADO].[All]" allUniqueName="[CHASIS].[PAGADO].[All]" dimensionUniqueName="[CHASIS]" displayFolder="" count="0" memberValueDatatype="130" unbalanced="0"/>
    <cacheHierarchy uniqueName="[CHASIS].[EQUI. ENTREGADOS]" caption="EQUI. ENTREGADOS" attribute="1" defaultMemberUniqueName="[CHASIS].[EQUI. ENTREGADOS].[All]" allUniqueName="[CHASIS].[EQUI. ENTREGADOS].[All]" dimensionUniqueName="[CHASIS]" displayFolder="" count="0" memberValueDatatype="130" unbalanced="0"/>
    <cacheHierarchy uniqueName="[CHASIS].[FECHE/ENTRGA (mes)]" caption="FECHE/ENTRGA (mes)" attribute="1" defaultMemberUniqueName="[CHASIS].[FECHE/ENTRGA (mes)].[All]" allUniqueName="[CHASIS].[FECHE/ENTRGA (mes)].[All]" dimensionUniqueName="[CHASIS]" displayFolder="" count="0" memberValueDatatype="130" unbalanced="0"/>
    <cacheHierarchy uniqueName="[clientes].[CLIENTE]" caption="CLIENTE" attribute="1" defaultMemberUniqueName="[clientes].[CLIENTE].[All]" allUniqueName="[clientes].[CLIENTE].[All]" dimensionUniqueName="[clientes]" displayFolder="" count="0" memberValueDatatype="130" unbalanced="0"/>
    <cacheHierarchy uniqueName="[clientes].[R. F. C.]" caption="R. F. C." attribute="1" defaultMemberUniqueName="[clientes].[R. F. C.].[All]" allUniqueName="[clientes].[R. F. C.].[All]" dimensionUniqueName="[clientes]" displayFolder="" count="0" memberValueDatatype="130" unbalanced="0"/>
    <cacheHierarchy uniqueName="[clientes].[EMPRESA]" caption="EMPRESA" attribute="1" defaultMemberUniqueName="[clientes].[EMPRESA].[All]" allUniqueName="[clientes].[EMPRESA].[All]" dimensionUniqueName="[clientes]" displayFolder="" count="0" memberValueDatatype="130" unbalanced="0"/>
    <cacheHierarchy uniqueName="[clientes].[CALLE, No., COLONIA]" caption="CALLE, No., COLONIA" attribute="1" defaultMemberUniqueName="[clientes].[CALLE, No., COLONIA].[All]" allUniqueName="[clientes].[CALLE, No., COLONIA].[All]" dimensionUniqueName="[clientes]" displayFolder="" count="0" memberValueDatatype="130" unbalanced="0"/>
    <cacheHierarchy uniqueName="[clientes].[MUNICIPIO, ESTADO, PAIS.]" caption="MUNICIPIO, ESTADO, PAIS." attribute="1" defaultMemberUniqueName="[clientes].[MUNICIPIO, ESTADO, PAIS.].[All]" allUniqueName="[clientes].[MUNICIPIO, ESTADO, PAIS.].[All]" dimensionUniqueName="[clientes]" displayFolder="" count="0" memberValueDatatype="130" unbalanced="0"/>
    <cacheHierarchy uniqueName="[clientes].[C.P.]" caption="C.P." attribute="1" defaultMemberUniqueName="[clientes].[C.P.].[All]" allUniqueName="[clientes].[C.P.].[All]" dimensionUniqueName="[clientes]" displayFolder="" count="0" memberValueDatatype="130" unbalanced="0"/>
    <cacheHierarchy uniqueName="[clientes].[TEL/CEL]" caption="TEL/CEL" attribute="1" defaultMemberUniqueName="[clientes].[TEL/CEL].[All]" allUniqueName="[clientes].[TEL/CEL].[All]" dimensionUniqueName="[clientes]" displayFolder="" count="0" memberValueDatatype="130" unbalanced="0"/>
    <cacheHierarchy uniqueName="[clientes].[CORREO]" caption="CORREO" attribute="1" defaultMemberUniqueName="[clientes].[CORREO].[All]" allUniqueName="[clientes].[CORREO].[All]" dimensionUniqueName="[clientes]" displayFolder="" count="0" memberValueDatatype="130" unbalanced="0"/>
    <cacheHierarchy uniqueName="[extras].[PZAS]" caption="PZAS" attribute="1" defaultMemberUniqueName="[extras].[PZAS].[All]" allUniqueName="[extras].[PZAS].[All]" dimensionUniqueName="[extras]" displayFolder="" count="0" memberValueDatatype="20" unbalanced="0"/>
    <cacheHierarchy uniqueName="[extras].[TIPO]" caption="TIPO" attribute="1" defaultMemberUniqueName="[extras].[TIPO].[All]" allUniqueName="[extras].[TIPO].[All]" dimensionUniqueName="[extras]" displayFolder="" count="0" memberValueDatatype="130" unbalanced="0"/>
    <cacheHierarchy uniqueName="[extras].[NOMBRE]" caption="NOMBRE" attribute="1" defaultMemberUniqueName="[extras].[NOMBRE].[All]" allUniqueName="[extras].[NOMBRE].[All]" dimensionUniqueName="[extras]" displayFolder="" count="0" memberValueDatatype="130" unbalanced="0"/>
    <cacheHierarchy uniqueName="[extras].[MATERIAL / ACCESORIO]" caption="MATERIAL / ACCESORIO" attribute="1" defaultMemberUniqueName="[extras].[MATERIAL / ACCESORIO].[All]" allUniqueName="[extras].[MATERIAL / ACCESORIO].[All]" dimensionUniqueName="[extras]" displayFolder="" count="0" memberValueDatatype="130" unbalanced="0"/>
    <cacheHierarchy uniqueName="[extras].[CLASE]" caption="CLASE" attribute="1" defaultMemberUniqueName="[extras].[CLASE].[All]" allUniqueName="[extras].[CLASE].[All]" dimensionUniqueName="[extras]" displayFolder="" count="0" memberValueDatatype="130" unbalanced="0"/>
    <cacheHierarchy uniqueName="[extras].[PRECIO $ C/U]" caption="PRECIO $ C/U" attribute="1" defaultMemberUniqueName="[extras].[PRECIO $ C/U].[All]" allUniqueName="[extras].[PRECIO $ C/U].[All]" dimensionUniqueName="[extras]" displayFolder="" count="0" memberValueDatatype="20" unbalanced="0"/>
    <cacheHierarchy uniqueName="[extras].[IMP POR POYECTO]" caption="IMP POR POYECTO" attribute="1" defaultMemberUniqueName="[extras].[IMP POR POYECTO].[All]" allUniqueName="[extras].[IMP POR POYECTO].[All]" dimensionUniqueName="[extras]" displayFolder="" count="0" memberValueDatatype="20" unbalanced="0"/>
    <cacheHierarchy uniqueName="[extras].[NUM. DE EJES]" caption="NUM. DE EJES" attribute="1" defaultMemberUniqueName="[extras].[NUM. DE EJES].[All]" allUniqueName="[extras].[NUM. DE EJES].[All]" dimensionUniqueName="[extras]" displayFolder="" count="0" memberValueDatatype="20" unbalanced="0"/>
    <cacheHierarchy uniqueName="[extras].[LARGO]" caption="LARGO" attribute="1" defaultMemberUniqueName="[extras].[LARGO].[All]" allUniqueName="[extras].[LARGO].[All]" dimensionUniqueName="[extras]" displayFolder="" count="0" memberValueDatatype="130" unbalanced="0"/>
    <cacheHierarchy uniqueName="[extras].[OBSERVACION]" caption="OBSERVACION" attribute="1" defaultMemberUniqueName="[extras].[OBSERVACION].[All]" allUniqueName="[extras].[OBSERVACION].[All]" dimensionUniqueName="[extras]" displayFolder="" count="0" memberValueDatatype="130" unbalanced="0"/>
    <cacheHierarchy uniqueName="[otros].[PZAS]" caption="PZAS" attribute="1" defaultMemberUniqueName="[otros].[PZAS].[All]" allUniqueName="[otros].[PZAS].[All]" dimensionUniqueName="[otros]" displayFolder="" count="0" memberValueDatatype="5" unbalanced="0"/>
    <cacheHierarchy uniqueName="[otros].[TIPO]" caption="TIPO" attribute="1" defaultMemberUniqueName="[otros].[TIPO].[All]" allUniqueName="[otros].[TIPO].[All]" dimensionUniqueName="[otros]" displayFolder="" count="0" memberValueDatatype="130" unbalanced="0"/>
    <cacheHierarchy uniqueName="[otros].[NOMBRE]" caption="NOMBRE" attribute="1" defaultMemberUniqueName="[otros].[NOMBRE].[All]" allUniqueName="[otros].[NOMBRE].[All]" dimensionUniqueName="[otros]" displayFolder="" count="0" memberValueDatatype="130" unbalanced="0"/>
    <cacheHierarchy uniqueName="[otros].[MATERIAL / ACCESORIO]" caption="MATERIAL / ACCESORIO" attribute="1" defaultMemberUniqueName="[otros].[MATERIAL / ACCESORIO].[All]" allUniqueName="[otros].[MATERIAL / ACCESORIO].[All]" dimensionUniqueName="[otros]" displayFolder="" count="0" memberValueDatatype="130" unbalanced="0"/>
    <cacheHierarchy uniqueName="[otros].[PRECIO $ C/U]" caption="PRECIO $ C/U" attribute="1" defaultMemberUniqueName="[otros].[PRECIO $ C/U].[All]" allUniqueName="[otros].[PRECIO $ C/U].[All]" dimensionUniqueName="[otros]" displayFolder="" count="0" memberValueDatatype="20" unbalanced="0"/>
    <cacheHierarchy uniqueName="[otros].[IMP POR POYECTO]" caption="IMP POR POYECTO" attribute="1" defaultMemberUniqueName="[otros].[IMP POR POYECTO].[All]" allUniqueName="[otros].[IMP POR POYECTO].[All]" dimensionUniqueName="[otros]" displayFolder="" count="0" memberValueDatatype="5" unbalanced="0"/>
    <cacheHierarchy uniqueName="[otros].[NUM. DE EJES]" caption="NUM. DE EJES" attribute="1" defaultMemberUniqueName="[otros].[NUM. DE EJES].[All]" allUniqueName="[otros].[NUM. DE EJES].[All]" dimensionUniqueName="[otros]" displayFolder="" count="0" memberValueDatatype="20" unbalanced="0"/>
    <cacheHierarchy uniqueName="[otros].[LARGO]" caption="LARGO" attribute="1" defaultMemberUniqueName="[otros].[LARGO].[All]" allUniqueName="[otros].[LARGO].[All]" dimensionUniqueName="[otros]" displayFolder="" count="0" memberValueDatatype="130" unbalanced="0"/>
    <cacheHierarchy uniqueName="[otros].[CLASE]" caption="CLASE" attribute="1" defaultMemberUniqueName="[otros].[CLASE].[All]" allUniqueName="[otros].[CLASE].[All]" dimensionUniqueName="[otros]" displayFolder="" count="0" memberValueDatatype="130" unbalanced="0"/>
    <cacheHierarchy uniqueName="[otros].[OBSERVACION]" caption="OBSERVACION" attribute="1" defaultMemberUniqueName="[otros].[OBSERVACION].[All]" allUniqueName="[otros].[OBSERVACION].[All]" dimensionUniqueName="[otros]" displayFolder="" count="0" memberValueDatatype="130" unbalanced="0"/>
    <cacheHierarchy uniqueName="[Page001].[Column1]" caption="Column1" attribute="1" defaultMemberUniqueName="[Page001].[Column1].[All]" allUniqueName="[Page001].[Column1].[All]" dimensionUniqueName="[Page001]" displayFolder="" count="0" memberValueDatatype="130" unbalanced="0"/>
    <cacheHierarchy uniqueName="[Page001].[Column2]" caption="Column2" attribute="1" defaultMemberUniqueName="[Page001].[Column2].[All]" allUniqueName="[Page001].[Column2].[All]" dimensionUniqueName="[Page001]" displayFolder="" count="0" memberValueDatatype="130" unbalanced="0"/>
    <cacheHierarchy uniqueName="[Page001].[Column3]" caption="Column3" attribute="1" defaultMemberUniqueName="[Page001].[Column3].[All]" allUniqueName="[Page001].[Column3].[All]" dimensionUniqueName="[Page001]" displayFolder="" count="0" memberValueDatatype="130" unbalanced="0"/>
    <cacheHierarchy uniqueName="[Page001].[Column4]" caption="Column4" attribute="1" defaultMemberUniqueName="[Page001].[Column4].[All]" allUniqueName="[Page001].[Column4].[All]" dimensionUniqueName="[Page001]" displayFolder="" count="0" memberValueDatatype="130" unbalanced="0"/>
    <cacheHierarchy uniqueName="[Page001].[Column5]" caption="Column5" attribute="1" defaultMemberUniqueName="[Page001].[Column5].[All]" allUniqueName="[Page001].[Column5].[All]" dimensionUniqueName="[Page001]" displayFolder="" count="0" memberValueDatatype="130" unbalanced="0"/>
    <cacheHierarchy uniqueName="[Page002].[Column1]" caption="Column1" attribute="1" defaultMemberUniqueName="[Page002].[Column1].[All]" allUniqueName="[Page002].[Column1].[All]" dimensionUniqueName="[Page002]" displayFolder="" count="0" memberValueDatatype="130" unbalanced="0"/>
    <cacheHierarchy uniqueName="[Page002].[Column2]" caption="Column2" attribute="1" defaultMemberUniqueName="[Page002].[Column2].[All]" allUniqueName="[Page002].[Column2].[All]" dimensionUniqueName="[Page002]" displayFolder="" count="0" memberValueDatatype="130" unbalanced="0"/>
    <cacheHierarchy uniqueName="[Page003].[Column1]" caption="Column1" attribute="1" defaultMemberUniqueName="[Page003].[Column1].[All]" allUniqueName="[Page003].[Column1].[All]" dimensionUniqueName="[Page003]" displayFolder="" count="0" memberValueDatatype="130" unbalanced="0"/>
    <cacheHierarchy uniqueName="[Page003].[Column2]" caption="Column2" attribute="1" defaultMemberUniqueName="[Page003].[Column2].[All]" allUniqueName="[Page003].[Column2].[All]" dimensionUniqueName="[Page003]" displayFolder="" count="0" memberValueDatatype="130" unbalanced="0"/>
    <cacheHierarchy uniqueName="[Page003].[Column3]" caption="Column3" attribute="1" defaultMemberUniqueName="[Page003].[Column3].[All]" allUniqueName="[Page003].[Column3].[All]" dimensionUniqueName="[Page003]" displayFolder="" count="0" memberValueDatatype="130" unbalanced="0"/>
    <cacheHierarchy uniqueName="[Page003].[Column4]" caption="Column4" attribute="1" defaultMemberUniqueName="[Page003].[Column4].[All]" allUniqueName="[Page003].[Column4].[All]" dimensionUniqueName="[Page003]" displayFolder="" count="0" memberValueDatatype="130" unbalanced="0"/>
    <cacheHierarchy uniqueName="[Page003].[Column5]" caption="Column5" attribute="1" defaultMemberUniqueName="[Page003].[Column5].[All]" allUniqueName="[Page003].[Column5].[All]" dimensionUniqueName="[Page003]" displayFolder="" count="0" memberValueDatatype="130" unbalanced="0"/>
    <cacheHierarchy uniqueName="[piramide].[PZAS]" caption="PZAS" attribute="1" defaultMemberUniqueName="[piramide].[PZAS].[All]" allUniqueName="[piramide].[PZAS].[All]" dimensionUniqueName="[piramide]" displayFolder="" count="0" memberValueDatatype="5" unbalanced="0"/>
    <cacheHierarchy uniqueName="[piramide].[TIPO]" caption="TIPO" attribute="1" defaultMemberUniqueName="[piramide].[TIPO].[All]" allUniqueName="[piramide].[TIPO].[All]" dimensionUniqueName="[piramide]" displayFolder="" count="0" memberValueDatatype="130" unbalanced="0"/>
    <cacheHierarchy uniqueName="[piramide].[NOMBRE]" caption="NOMBRE" attribute="1" defaultMemberUniqueName="[piramide].[NOMBRE].[All]" allUniqueName="[piramide].[NOMBRE].[All]" dimensionUniqueName="[piramide]" displayFolder="" count="0" memberValueDatatype="130" unbalanced="0"/>
    <cacheHierarchy uniqueName="[piramide].[MATERIAL / ACCESORIO]" caption="MATERIAL / ACCESORIO" attribute="1" defaultMemberUniqueName="[piramide].[MATERIAL / ACCESORIO].[All]" allUniqueName="[piramide].[MATERIAL / ACCESORIO].[All]" dimensionUniqueName="[piramide]" displayFolder="" count="2" memberValueDatatype="130" unbalanced="0">
      <fieldsUsage count="2">
        <fieldUsage x="-1"/>
        <fieldUsage x="0"/>
      </fieldsUsage>
    </cacheHierarchy>
    <cacheHierarchy uniqueName="[piramide].[PRECIO $ C/U]" caption="PRECIO $ C/U" attribute="1" defaultMemberUniqueName="[piramide].[PRECIO $ C/U].[All]" allUniqueName="[piramide].[PRECIO $ C/U].[All]" dimensionUniqueName="[piramide]" displayFolder="" count="0" memberValueDatatype="5" unbalanced="0"/>
    <cacheHierarchy uniqueName="[piramide].[IMP POR POYECTO]" caption="IMP POR POYECTO" attribute="1" defaultMemberUniqueName="[piramide].[IMP POR POYECTO].[All]" allUniqueName="[piramide].[IMP POR POYECTO].[All]" dimensionUniqueName="[piramide]" displayFolder="" count="0" memberValueDatatype="5" unbalanced="0"/>
    <cacheHierarchy uniqueName="[piramide].[NUM. DE EJES]" caption="NUM. DE EJES" attribute="1" defaultMemberUniqueName="[piramide].[NUM. DE EJES].[All]" allUniqueName="[piramide].[NUM. DE EJES].[All]" dimensionUniqueName="[piramide]" displayFolder="" count="0" memberValueDatatype="20" unbalanced="0"/>
    <cacheHierarchy uniqueName="[piramide].[LARGO]" caption="LARGO" attribute="1" defaultMemberUniqueName="[piramide].[LARGO].[All]" allUniqueName="[piramide].[LARGO].[All]" dimensionUniqueName="[piramide]" displayFolder="" count="0" memberValueDatatype="130" unbalanced="0"/>
    <cacheHierarchy uniqueName="[piramide].[CLASE]" caption="CLASE" attribute="1" defaultMemberUniqueName="[piramide].[CLASE].[All]" allUniqueName="[piramide].[CLASE].[All]" dimensionUniqueName="[piramide]" displayFolder="" count="2" memberValueDatatype="130" unbalanced="0">
      <fieldsUsage count="2">
        <fieldUsage x="-1"/>
        <fieldUsage x="2"/>
      </fieldsUsage>
    </cacheHierarchy>
    <cacheHierarchy uniqueName="[piramide].[OBSERVACION]" caption="OBSERVACION" attribute="1" defaultMemberUniqueName="[piramide].[OBSERVACION].[All]" allUniqueName="[piramide].[OBSERVACION].[All]" dimensionUniqueName="[piramide]" displayFolder="" count="0" memberValueDatatype="130" unbalanced="0"/>
    <cacheHierarchy uniqueName="[Tabla24].[NOMBRE]" caption="NOMBRE" attribute="1" defaultMemberUniqueName="[Tabla24].[NOMBRE].[All]" allUniqueName="[Tabla24].[NOMBRE].[All]" dimensionUniqueName="[Tabla24]" displayFolder="" count="2" memberValueDatatype="130" unbalanced="0">
      <fieldsUsage count="2">
        <fieldUsage x="-1"/>
        <fieldUsage x="4"/>
      </fieldsUsage>
    </cacheHierarchy>
    <cacheHierarchy uniqueName="[Tabla24].[TIPO]" caption="TIPO" attribute="1" defaultMemberUniqueName="[Tabla24].[TIPO].[All]" allUniqueName="[Tabla24].[TIPO].[All]" dimensionUniqueName="[Tabla24]" displayFolder="" count="0" memberValueDatatype="130" unbalanced="0"/>
    <cacheHierarchy uniqueName="[Tabla24].[NUM. DE EJES]" caption="NUM. DE EJES" attribute="1" defaultMemberUniqueName="[Tabla24].[NUM. DE EJES].[All]" allUniqueName="[Tabla24].[NUM. DE EJES].[All]" dimensionUniqueName="[Tabla24]" displayFolder="" count="0" memberValueDatatype="20" unbalanced="0"/>
    <cacheHierarchy uniqueName="[Tabla24].[LARGO]" caption="LARGO" attribute="1" defaultMemberUniqueName="[Tabla24].[LARGO].[All]" allUniqueName="[Tabla24].[LARGO].[All]" dimensionUniqueName="[Tabla24]" displayFolder="" count="0" memberValueDatatype="130" unbalanced="0"/>
    <cacheHierarchy uniqueName="[Tabla24].[CONCAT]" caption="CONCAT" attribute="1" defaultMemberUniqueName="[Tabla24].[CONCAT].[All]" allUniqueName="[Tabla24].[CONCAT].[All]" dimensionUniqueName="[Tabla24]" displayFolder="" count="0" memberValueDatatype="130" unbalanced="0"/>
    <cacheHierarchy uniqueName="[Tabla24].[Peso Vehicular]" caption="Peso Vehicular" attribute="1" defaultMemberUniqueName="[Tabla24].[Peso Vehicular].[All]" allUniqueName="[Tabla24].[Peso Vehicular].[All]" dimensionUniqueName="[Tabla24]" displayFolder="" count="0" memberValueDatatype="20" unbalanced="0"/>
    <cacheHierarchy uniqueName="[Tabla24].[PBVD:]" caption="PBVD:" attribute="1" defaultMemberUniqueName="[Tabla24].[PBVD:].[All]" allUniqueName="[Tabla24].[PBVD:].[All]" dimensionUniqueName="[Tabla24]" displayFolder="" count="0" memberValueDatatype="20" unbalanced="0"/>
    <cacheHierarchy uniqueName="[Tabla24].[Modelo ABS:]" caption="Modelo ABS:" attribute="1" defaultMemberUniqueName="[Tabla24].[Modelo ABS:].[All]" allUniqueName="[Tabla24].[Modelo ABS:].[All]" dimensionUniqueName="[Tabla24]" displayFolder="" count="0" memberValueDatatype="130" unbalanced="0"/>
    <cacheHierarchy uniqueName="[Tabla24].[CDE ejes traseros:]" caption="CDE ejes traseros:" attribute="1" defaultMemberUniqueName="[Tabla24].[CDE ejes traseros:].[All]" allUniqueName="[Tabla24].[CDE ejes traseros:].[All]" dimensionUniqueName="[Tabla24]" displayFolder="" count="0" memberValueDatatype="20" unbalanced="0"/>
    <cacheHierarchy uniqueName="[Tabla24].[Número de llantas:]" caption="Número de llantas:" attribute="1" defaultMemberUniqueName="[Tabla24].[Número de llantas:].[All]" allUniqueName="[Tabla24].[Número de llantas:].[All]" dimensionUniqueName="[Tabla24]" displayFolder="" count="0" memberValueDatatype="20" unbalanced="0"/>
    <cacheHierarchy uniqueName="[Tabla24].[Capacidad de eje en posición de montaje:]" caption="Capacidad de eje en posición de montaje:" attribute="1" defaultMemberUniqueName="[Tabla24].[Capacidad de eje en posición de montaje:].[All]" allUniqueName="[Tabla24].[Capacidad de eje en posición de montaje:].[All]" dimensionUniqueName="[Tabla24]" displayFolder="" count="0" memberValueDatatype="20" unbalanced="0"/>
    <cacheHierarchy uniqueName="[Tabla24].[Capacidad de espigas de eje:]" caption="Capacidad de espigas de eje:" attribute="1" defaultMemberUniqueName="[Tabla24].[Capacidad de espigas de eje:].[All]" allUniqueName="[Tabla24].[Capacidad de espigas de eje:].[All]" dimensionUniqueName="[Tabla24]" displayFolder="" count="0" memberValueDatatype="20" unbalanced="0"/>
    <cacheHierarchy uniqueName="[Tabla24].[Longitud]" caption="Longitud" attribute="1" defaultMemberUniqueName="[Tabla24].[Longitud].[All]" allUniqueName="[Tabla24].[Longitud].[All]" dimensionUniqueName="[Tabla24]" displayFolder="" count="0" memberValueDatatype="5" unbalanced="0"/>
    <cacheHierarchy uniqueName="[Table001  Page 1].[Column1]" caption="Column1" attribute="1" defaultMemberUniqueName="[Table001  Page 1].[Column1].[All]" allUniqueName="[Table001  Page 1].[Column1].[All]" dimensionUniqueName="[Table001  Page 1]" displayFolder="" count="0" memberValueDatatype="130" unbalanced="0"/>
    <cacheHierarchy uniqueName="[Table002  Page 3].[Column1]" caption="Column1" attribute="1" defaultMemberUniqueName="[Table002  Page 3].[Column1].[All]" allUniqueName="[Table002  Page 3].[Column1].[All]" dimensionUniqueName="[Table002  Page 3]" displayFolder="" count="0" memberValueDatatype="130" unbalanced="0"/>
    <cacheHierarchy uniqueName="[Table002  Page 3].[Column2]" caption="Column2" attribute="1" defaultMemberUniqueName="[Table002  Page 3].[Column2].[All]" allUniqueName="[Table002  Page 3].[Column2].[All]" dimensionUniqueName="[Table002  Page 3]" displayFolder="" count="0" memberValueDatatype="130" unbalanced="0"/>
    <cacheHierarchy uniqueName="[Table004  Page 3].[Column1]" caption="Column1" attribute="1" defaultMemberUniqueName="[Table004  Page 3].[Column1].[All]" allUniqueName="[Table004  Page 3].[Column1].[All]" dimensionUniqueName="[Table004  Page 3]" displayFolder="" count="0" memberValueDatatype="130" unbalanced="0"/>
    <cacheHierarchy uniqueName="[Table004  Page 3].[Column2]" caption="Column2" attribute="1" defaultMemberUniqueName="[Table004  Page 3].[Column2].[All]" allUniqueName="[Table004  Page 3].[Column2].[All]" dimensionUniqueName="[Table004  Page 3]" displayFolder="" count="0" memberValueDatatype="130" unbalanced="0"/>
    <cacheHierarchy uniqueName="[truckzone].[PZAS]" caption="PZAS" attribute="1" defaultMemberUniqueName="[truckzone].[PZAS].[All]" allUniqueName="[truckzone].[PZAS].[All]" dimensionUniqueName="[truckzone]" displayFolder="" count="0" memberValueDatatype="5" unbalanced="0"/>
    <cacheHierarchy uniqueName="[truckzone].[TIPO]" caption="TIPO" attribute="1" defaultMemberUniqueName="[truckzone].[TIPO].[All]" allUniqueName="[truckzone].[TIPO].[All]" dimensionUniqueName="[truckzone]" displayFolder="" count="0" memberValueDatatype="130" unbalanced="0"/>
    <cacheHierarchy uniqueName="[truckzone].[NOMBRE]" caption="NOMBRE" attribute="1" defaultMemberUniqueName="[truckzone].[NOMBRE].[All]" allUniqueName="[truckzone].[NOMBRE].[All]" dimensionUniqueName="[truckzone]" displayFolder="" count="0" memberValueDatatype="130" unbalanced="0"/>
    <cacheHierarchy uniqueName="[truckzone].[MATERIAL / ACCESORIO]" caption="MATERIAL / ACCESORIO" attribute="1" defaultMemberUniqueName="[truckzone].[MATERIAL / ACCESORIO].[All]" allUniqueName="[truckzone].[MATERIAL / ACCESORIO].[All]" dimensionUniqueName="[truckzone]" displayFolder="" count="0" memberValueDatatype="130" unbalanced="0"/>
    <cacheHierarchy uniqueName="[truckzone].[PRECIO $ C/U]" caption="PRECIO $ C/U" attribute="1" defaultMemberUniqueName="[truckzone].[PRECIO $ C/U].[All]" allUniqueName="[truckzone].[PRECIO $ C/U].[All]" dimensionUniqueName="[truckzone]" displayFolder="" count="0" memberValueDatatype="5" unbalanced="0"/>
    <cacheHierarchy uniqueName="[truckzone].[IMP POR POYECTO]" caption="IMP POR POYECTO" attribute="1" defaultMemberUniqueName="[truckzone].[IMP POR POYECTO].[All]" allUniqueName="[truckzone].[IMP POR POYECTO].[All]" dimensionUniqueName="[truckzone]" displayFolder="" count="0" memberValueDatatype="5" unbalanced="0"/>
    <cacheHierarchy uniqueName="[truckzone].[NUM. DE EJES]" caption="NUM. DE EJES" attribute="1" defaultMemberUniqueName="[truckzone].[NUM. DE EJES].[All]" allUniqueName="[truckzone].[NUM. DE EJES].[All]" dimensionUniqueName="[truckzone]" displayFolder="" count="0" memberValueDatatype="20" unbalanced="0"/>
    <cacheHierarchy uniqueName="[truckzone].[LARGO]" caption="LARGO" attribute="1" defaultMemberUniqueName="[truckzone].[LARGO].[All]" allUniqueName="[truckzone].[LARGO].[All]" dimensionUniqueName="[truckzone]" displayFolder="" count="0" memberValueDatatype="130" unbalanced="0"/>
    <cacheHierarchy uniqueName="[truckzone].[CLASE]" caption="CLASE" attribute="1" defaultMemberUniqueName="[truckzone].[CLASE].[All]" allUniqueName="[truckzone].[CLASE].[All]" dimensionUniqueName="[truckzone]" displayFolder="" count="0" memberValueDatatype="130" unbalanced="0"/>
    <cacheHierarchy uniqueName="[truckzone].[OBSERVACION]" caption="OBSERVACION" attribute="1" defaultMemberUniqueName="[truckzone].[OBSERVACION].[All]" allUniqueName="[truckzone].[OBSERVACION].[All]" dimensionUniqueName="[truckzone]" displayFolder="" count="0" memberValueDatatype="130" unbalanced="0"/>
    <cacheHierarchy uniqueName="[CHASIS].[FECHE/ENTRGA (índice de meses)]" caption="FECHE/ENTRGA (índice de meses)" attribute="1" defaultMemberUniqueName="[CHASIS].[FECHE/ENTRGA (índice de meses)].[All]" allUniqueName="[CHASIS].[FECHE/ENTRGA (índice de meses)].[All]" dimensionUniqueName="[CHASIS]" displayFolder="" count="0" memberValueDatatype="20" unbalanced="0" hidden="1"/>
    <cacheHierarchy uniqueName="[Measures].[__XL_Count extras]" caption="__XL_Count extras" measure="1" displayFolder="" measureGroup="extras" count="0" hidden="1"/>
    <cacheHierarchy uniqueName="[Measures].[__XL_Count otros]" caption="__XL_Count otros" measure="1" displayFolder="" measureGroup="otros" count="0" hidden="1"/>
    <cacheHierarchy uniqueName="[Measures].[__XL_Count piramide]" caption="__XL_Count piramide" measure="1" displayFolder="" measureGroup="piramide" count="0" hidden="1"/>
    <cacheHierarchy uniqueName="[Measures].[__XL_Count truckzone]" caption="__XL_Count truckzone" measure="1" displayFolder="" measureGroup="truckzone" count="0" hidden="1"/>
    <cacheHierarchy uniqueName="[Measures].[__XL_Count Tabla24]" caption="__XL_Count Tabla24" measure="1" displayFolder="" measureGroup="Tabla24" count="0" hidden="1"/>
    <cacheHierarchy uniqueName="[Measures].[__XL_Count ACERO 1]" caption="__XL_Count ACERO 1" measure="1" displayFolder="" measureGroup="ACERO 1" count="0" hidden="1"/>
    <cacheHierarchy uniqueName="[Measures].[__XL_Count Table001  Page 1]" caption="__XL_Count Table001  Page 1" measure="1" displayFolder="" measureGroup="Table001  Page 1" count="0" hidden="1"/>
    <cacheHierarchy uniqueName="[Measures].[__XL_Count Table002  Page 3]" caption="__XL_Count Table002  Page 3" measure="1" displayFolder="" measureGroup="Table002  Page 3" count="0" hidden="1"/>
    <cacheHierarchy uniqueName="[Measures].[__XL_Count Table004  Page 3]" caption="__XL_Count Table004  Page 3" measure="1" displayFolder="" measureGroup="Table004  Page 3" count="0" hidden="1"/>
    <cacheHierarchy uniqueName="[Measures].[__XL_Count Page001]" caption="__XL_Count Page001" measure="1" displayFolder="" measureGroup="Page001" count="0" hidden="1"/>
    <cacheHierarchy uniqueName="[Measures].[__XL_Count Page003]" caption="__XL_Count Page003" measure="1" displayFolder="" measureGroup="Page003" count="0" hidden="1"/>
    <cacheHierarchy uniqueName="[Measures].[__XL_Count Page002]" caption="__XL_Count Page002" measure="1" displayFolder="" measureGroup="Page002" count="0" hidden="1"/>
    <cacheHierarchy uniqueName="[Measures].[__XL_Count CHASIS]" caption="__XL_Count CHASIS" measure="1" displayFolder="" measureGroup="CHASIS" count="0" hidden="1"/>
    <cacheHierarchy uniqueName="[Measures].[__XL_Count clientes]" caption="__XL_Count clientes" measure="1" displayFolder="" measureGroup="clientes" count="0" hidden="1"/>
    <cacheHierarchy uniqueName="[Measures].[__No measures defined]" caption="__No measures defined" measure="1" displayFolder="" count="0" hidden="1"/>
    <cacheHierarchy uniqueName="[Measures].[Suma de IMP POR POYECTO 3]" caption="Suma de IMP POR POYECTO 3" measure="1" displayFolder="" measureGroup="otros" count="0" hidden="1">
      <extLst>
        <ext xmlns:x15="http://schemas.microsoft.com/office/spreadsheetml/2010/11/main" uri="{B97F6D7D-B522-45F9-BDA1-12C45D357490}">
          <x15:cacheHierarchy aggregatedColumn="44"/>
        </ext>
      </extLst>
    </cacheHierarchy>
    <cacheHierarchy uniqueName="[Measures].[Suma de IMP POR POYECTO 4]" caption="Suma de IMP POR POYECTO 4" measure="1" displayFolder="" measureGroup="piramide" count="0" oneField="1" hidden="1">
      <fieldsUsage count="1">
        <fieldUsage x="1"/>
      </fieldsUsage>
      <extLst>
        <ext xmlns:x15="http://schemas.microsoft.com/office/spreadsheetml/2010/11/main" uri="{B97F6D7D-B522-45F9-BDA1-12C45D357490}">
          <x15:cacheHierarchy aggregatedColumn="66"/>
        </ext>
      </extLst>
    </cacheHierarchy>
    <cacheHierarchy uniqueName="[Measures].[Suma de IMP POR POYECTO 5]" caption="Suma de IMP POR POYECTO 5" measure="1" displayFolder="" measureGroup="extras" count="0" hidden="1">
      <extLst>
        <ext xmlns:x15="http://schemas.microsoft.com/office/spreadsheetml/2010/11/main" uri="{B97F6D7D-B522-45F9-BDA1-12C45D357490}">
          <x15:cacheHierarchy aggregatedColumn="35"/>
        </ext>
      </extLst>
    </cacheHierarchy>
    <cacheHierarchy uniqueName="[Measures].[Suma de IMP POR POYECTO 6]" caption="Suma de IMP POR POYECTO 6" measure="1" displayFolder="" measureGroup="truckzone" count="0" hidden="1">
      <extLst>
        <ext xmlns:x15="http://schemas.microsoft.com/office/spreadsheetml/2010/11/main" uri="{B97F6D7D-B522-45F9-BDA1-12C45D357490}">
          <x15:cacheHierarchy aggregatedColumn="94"/>
        </ext>
      </extLst>
    </cacheHierarchy>
    <cacheHierarchy uniqueName="[Measures].[Suma de PZAS 2]" caption="Suma de PZAS 2" measure="1" displayFolder="" measureGroup="otros" count="0" hidden="1">
      <extLst>
        <ext xmlns:x15="http://schemas.microsoft.com/office/spreadsheetml/2010/11/main" uri="{B97F6D7D-B522-45F9-BDA1-12C45D357490}">
          <x15:cacheHierarchy aggregatedColumn="39"/>
        </ext>
      </extLst>
    </cacheHierarchy>
    <cacheHierarchy uniqueName="[Measures].[Suma de PZAS 3]" caption="Suma de PZAS 3" measure="1" displayFolder="" measureGroup="extras" count="0" hidden="1">
      <extLst>
        <ext xmlns:x15="http://schemas.microsoft.com/office/spreadsheetml/2010/11/main" uri="{B97F6D7D-B522-45F9-BDA1-12C45D357490}">
          <x15:cacheHierarchy aggregatedColumn="29"/>
        </ext>
      </extLst>
    </cacheHierarchy>
    <cacheHierarchy uniqueName="[Measures].[Suma de PZAS 4]" caption="Suma de PZAS 4" measure="1" displayFolder="" measureGroup="piramide" count="0" oneField="1" hidden="1">
      <fieldsUsage count="1">
        <fieldUsage x="3"/>
      </fieldsUsage>
      <extLst>
        <ext xmlns:x15="http://schemas.microsoft.com/office/spreadsheetml/2010/11/main" uri="{B97F6D7D-B522-45F9-BDA1-12C45D357490}">
          <x15:cacheHierarchy aggregatedColumn="61"/>
        </ext>
      </extLst>
    </cacheHierarchy>
    <cacheHierarchy uniqueName="[Measures].[Suma de PZAS 5]" caption="Suma de PZAS 5" measure="1" displayFolder="" measureGroup="truckzone" count="0" hidden="1">
      <extLst>
        <ext xmlns:x15="http://schemas.microsoft.com/office/spreadsheetml/2010/11/main" uri="{B97F6D7D-B522-45F9-BDA1-12C45D357490}">
          <x15:cacheHierarchy aggregatedColumn="89"/>
        </ext>
      </extLst>
    </cacheHierarchy>
    <cacheHierarchy uniqueName="[Measures].[Suma de IMP POR POYECTO]" caption="Suma de IMP POR POYECTO" measure="1" displayFolder="" measureGroup="ACERO 1" count="0" hidden="1">
      <extLst>
        <ext xmlns:x15="http://schemas.microsoft.com/office/spreadsheetml/2010/11/main" uri="{B97F6D7D-B522-45F9-BDA1-12C45D357490}">
          <x15:cacheHierarchy aggregatedColumn="5"/>
        </ext>
      </extLst>
    </cacheHierarchy>
    <cacheHierarchy uniqueName="[Measures].[Suma de PZAS 6]" caption="Suma de PZAS 6" measure="1" displayFolder="" measureGroup="ACERO 1" count="0" hidden="1">
      <extLst>
        <ext xmlns:x15="http://schemas.microsoft.com/office/spreadsheetml/2010/11/main" uri="{B97F6D7D-B522-45F9-BDA1-12C45D357490}">
          <x15:cacheHierarchy aggregatedColumn="0"/>
        </ext>
      </extLst>
    </cacheHierarchy>
    <cacheHierarchy uniqueName="[Measures].[Recuento de MATERIAL / ACCESORIO]" caption="Recuento de MATERIAL / ACCESORIO" measure="1" displayFolder="" measureGroup="extras" count="0" hidden="1">
      <extLst>
        <ext xmlns:x15="http://schemas.microsoft.com/office/spreadsheetml/2010/11/main" uri="{B97F6D7D-B522-45F9-BDA1-12C45D357490}">
          <x15:cacheHierarchy aggregatedColumn="32"/>
        </ext>
      </extLst>
    </cacheHierarchy>
    <cacheHierarchy uniqueName="[Measures].[Recuento de TIPO]" caption="Recuento de TIPO" measure="1" displayFolder="" measureGroup="extras" count="0" hidden="1">
      <extLst>
        <ext xmlns:x15="http://schemas.microsoft.com/office/spreadsheetml/2010/11/main" uri="{B97F6D7D-B522-45F9-BDA1-12C45D357490}">
          <x15:cacheHierarchy aggregatedColumn="30"/>
        </ext>
      </extLst>
    </cacheHierarchy>
    <cacheHierarchy uniqueName="[Measures].[Suma de PAGO]" caption="Suma de PAGO" measure="1" displayFolder="" measureGroup="CHASIS" count="0" hidden="1">
      <extLst>
        <ext xmlns:x15="http://schemas.microsoft.com/office/spreadsheetml/2010/11/main" uri="{B97F6D7D-B522-45F9-BDA1-12C45D357490}">
          <x15:cacheHierarchy aggregatedColumn="14"/>
        </ext>
      </extLst>
    </cacheHierarchy>
    <cacheHierarchy uniqueName="[Measures].[Suma de P/U]" caption="Suma de P/U" measure="1" displayFolder="" measureGroup="CHASIS" count="0" hidden="1">
      <extLst>
        <ext xmlns:x15="http://schemas.microsoft.com/office/spreadsheetml/2010/11/main" uri="{B97F6D7D-B522-45F9-BDA1-12C45D357490}">
          <x15:cacheHierarchy aggregatedColumn="13"/>
        </ext>
      </extLst>
    </cacheHierarchy>
    <cacheHierarchy uniqueName="[Measures].[Suma de ADEUDO]" caption="Suma de ADEUDO" measure="1" displayFolder="" measureGroup="CHASIS" count="0" hidden="1">
      <extLst>
        <ext xmlns:x15="http://schemas.microsoft.com/office/spreadsheetml/2010/11/main" uri="{B97F6D7D-B522-45F9-BDA1-12C45D357490}">
          <x15:cacheHierarchy aggregatedColumn="15"/>
        </ext>
      </extLst>
    </cacheHierarchy>
  </cacheHierarchies>
  <kpis count="0"/>
  <dimensions count="15">
    <dimension name="ACERO 1" uniqueName="[ACERO 1]" caption="ACERO 1"/>
    <dimension name="CHASIS" uniqueName="[CHASIS]" caption="CHASIS"/>
    <dimension name="clientes" uniqueName="[clientes]" caption="clientes"/>
    <dimension name="extras" uniqueName="[extras]" caption="extras"/>
    <dimension measure="1" name="Measures" uniqueName="[Measures]" caption="Measures"/>
    <dimension name="otros" uniqueName="[otros]" caption="otros"/>
    <dimension name="Page001" uniqueName="[Page001]" caption="Page001"/>
    <dimension name="Page002" uniqueName="[Page002]" caption="Page002"/>
    <dimension name="Page003" uniqueName="[Page003]" caption="Page003"/>
    <dimension name="piramide" uniqueName="[piramide]" caption="piramide"/>
    <dimension name="Tabla24" uniqueName="[Tabla24]" caption="Tabla24"/>
    <dimension name="Table001  Page 1" uniqueName="[Table001  Page 1]" caption="Table001  Page 1"/>
    <dimension name="Table002  Page 3" uniqueName="[Table002  Page 3]" caption="Table002  Page 3"/>
    <dimension name="Table004  Page 3" uniqueName="[Table004  Page 3]" caption="Table004  Page 3"/>
    <dimension name="truckzone" uniqueName="[truckzone]" caption="truckzone"/>
  </dimensions>
  <measureGroups count="14">
    <measureGroup name="ACERO 1" caption="ACERO 1"/>
    <measureGroup name="CHASIS" caption="CHASIS"/>
    <measureGroup name="clientes" caption="clientes"/>
    <measureGroup name="extras" caption="extras"/>
    <measureGroup name="otros" caption="otros"/>
    <measureGroup name="Page001" caption="Page001"/>
    <measureGroup name="Page002" caption="Page002"/>
    <measureGroup name="Page003" caption="Page003"/>
    <measureGroup name="piramide" caption="piramide"/>
    <measureGroup name="Tabla24" caption="Tabla24"/>
    <measureGroup name="Table001  Page 1" caption="Table001  Page 1"/>
    <measureGroup name="Table002  Page 3" caption="Table002  Page 3"/>
    <measureGroup name="Table004  Page 3" caption="Table004  Page 3"/>
    <measureGroup name="truckzone" caption="truckzone"/>
  </measureGroups>
  <maps count="19">
    <map measureGroup="0" dimension="0"/>
    <map measureGroup="0" dimension="10"/>
    <map measureGroup="1" dimension="1"/>
    <map measureGroup="2" dimension="2"/>
    <map measureGroup="3" dimension="3"/>
    <map measureGroup="3" dimension="10"/>
    <map measureGroup="4" dimension="5"/>
    <map measureGroup="4" dimension="10"/>
    <map measureGroup="5" dimension="6"/>
    <map measureGroup="6" dimension="7"/>
    <map measureGroup="7" dimension="8"/>
    <map measureGroup="8" dimension="9"/>
    <map measureGroup="8" dimension="10"/>
    <map measureGroup="9" dimension="10"/>
    <map measureGroup="10" dimension="11"/>
    <map measureGroup="11" dimension="12"/>
    <map measureGroup="12" dimension="13"/>
    <map measureGroup="13" dimension="10"/>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olca" refreshedDate="45201.386289351853" backgroundQuery="1" createdVersion="5" refreshedVersion="8" minRefreshableVersion="3" recordCount="0" supportSubquery="1" supportAdvancedDrill="1" xr:uid="{ADB160A0-74EB-41B4-BEAC-78A1A8CEEE0A}">
  <cacheSource type="external" connectionId="8"/>
  <cacheFields count="5">
    <cacheField name="[truckzone].[MATERIAL / ACCESORIO].[MATERIAL / ACCESORIO]" caption="MATERIAL / ACCESORIO" numFmtId="0" hierarchy="92" level="1">
      <sharedItems count="27">
        <s v="ABS 2 EJES"/>
        <s v="ABS 3 EJES"/>
        <s v="BASE PARA PATIN"/>
        <s v="CARGADORES"/>
        <s v="CARGADORES DE 4&quot;"/>
        <s v="CINTA REFLEJANTE"/>
        <s v="DONA"/>
        <s v="EJES"/>
        <s v="EJES AMPRO"/>
        <s v="EJES FLEET MASTER,"/>
        <s v="GATA DE MATRACA"/>
        <s v="KIT DE ABS Y CONEXIONES"/>
        <s v="KIT DE ABS, CONEXIONES Y MANGUERAS"/>
        <s v="LODERAS"/>
        <s v="MATRACAS"/>
        <s v="MATRACAS/WINCHES"/>
        <s v="PAR DE PATINES AMPRO"/>
        <s v="PATIN HJ"/>
        <s v="PERNO REY"/>
        <s v="PERNO REY HOLLAND"/>
        <s v="QUINTA HOLLAND"/>
        <s v="ROTULACION"/>
        <s v="SUSPENSION AMPRO"/>
        <s v="SUSPENSIÓN COMPLETA"/>
        <s v="SUSPENSION FLEET MASTER,"/>
        <s v="SUSPENSION HENDRRICKSON"/>
        <s v="TANQUE DE AIRE"/>
      </sharedItems>
    </cacheField>
    <cacheField name="[truckzone].[CLASE].[CLASE]" caption="CLASE" numFmtId="0" hierarchy="97" level="1">
      <sharedItems containsSemiMixedTypes="0" containsNonDate="0" containsString="0"/>
    </cacheField>
    <cacheField name="[Measures].[Suma de IMP POR POYECTO 6]" caption="Suma de IMP POR POYECTO 6" numFmtId="0" hierarchy="118" level="32767"/>
    <cacheField name="[Measures].[Suma de PZAS 5]" caption="Suma de PZAS 5" numFmtId="0" hierarchy="122" level="32767"/>
    <cacheField name="[Tabla24].[NOMBRE].[NOMBRE]" caption="NOMBRE" numFmtId="0" hierarchy="71" level="1">
      <sharedItems containsSemiMixedTypes="0" containsNonDate="0" containsString="0"/>
    </cacheField>
  </cacheFields>
  <cacheHierarchies count="130">
    <cacheHierarchy uniqueName="[ACERO 1].[PZAS]" caption="PZAS" attribute="1" defaultMemberUniqueName="[ACERO 1].[PZAS].[All]" allUniqueName="[ACERO 1].[PZAS].[All]" dimensionUniqueName="[ACERO 1]" displayFolder="" count="0" memberValueDatatype="5" unbalanced="0"/>
    <cacheHierarchy uniqueName="[ACERO 1].[TIPO]" caption="TIPO" attribute="1" defaultMemberUniqueName="[ACERO 1].[TIPO].[All]" allUniqueName="[ACERO 1].[TIPO].[All]" dimensionUniqueName="[ACERO 1]" displayFolder="" count="0" memberValueDatatype="130" unbalanced="0"/>
    <cacheHierarchy uniqueName="[ACERO 1].[NOMBRE]" caption="NOMBRE" attribute="1" defaultMemberUniqueName="[ACERO 1].[NOMBRE].[All]" allUniqueName="[ACERO 1].[NOMBRE].[All]" dimensionUniqueName="[ACERO 1]" displayFolder="" count="0" memberValueDatatype="130" unbalanced="0"/>
    <cacheHierarchy uniqueName="[ACERO 1].[MATERIAL / ACCESORIO]" caption="MATERIAL / ACCESORIO" attribute="1" defaultMemberUniqueName="[ACERO 1].[MATERIAL / ACCESORIO].[All]" allUniqueName="[ACERO 1].[MATERIAL / ACCESORIO].[All]" dimensionUniqueName="[ACERO 1]" displayFolder="" count="0" memberValueDatatype="130" unbalanced="0"/>
    <cacheHierarchy uniqueName="[ACERO 1].[PRECIO $ C/U]" caption="PRECIO $ C/U" attribute="1" defaultMemberUniqueName="[ACERO 1].[PRECIO $ C/U].[All]" allUniqueName="[ACERO 1].[PRECIO $ C/U].[All]" dimensionUniqueName="[ACERO 1]" displayFolder="" count="0" memberValueDatatype="5" unbalanced="0"/>
    <cacheHierarchy uniqueName="[ACERO 1].[IMP POR POYECTO]" caption="IMP POR POYECTO" attribute="1" defaultMemberUniqueName="[ACERO 1].[IMP POR POYECTO].[All]" allUniqueName="[ACERO 1].[IMP POR POYECTO].[All]" dimensionUniqueName="[ACERO 1]" displayFolder="" count="0" memberValueDatatype="5" unbalanced="0"/>
    <cacheHierarchy uniqueName="[ACERO 1].[NUM. DE EJES]" caption="NUM. DE EJES" attribute="1" defaultMemberUniqueName="[ACERO 1].[NUM. DE EJES].[All]" allUniqueName="[ACERO 1].[NUM. DE EJES].[All]" dimensionUniqueName="[ACERO 1]" displayFolder="" count="0" memberValueDatatype="20" unbalanced="0"/>
    <cacheHierarchy uniqueName="[ACERO 1].[LARGO]" caption="LARGO" attribute="1" defaultMemberUniqueName="[ACERO 1].[LARGO].[All]" allUniqueName="[ACERO 1].[LARGO].[All]" dimensionUniqueName="[ACERO 1]" displayFolder="" count="0" memberValueDatatype="130" unbalanced="0"/>
    <cacheHierarchy uniqueName="[ACERO 1].[CLASE]" caption="CLASE" attribute="1" defaultMemberUniqueName="[ACERO 1].[CLASE].[All]" allUniqueName="[ACERO 1].[CLASE].[All]" dimensionUniqueName="[ACERO 1]" displayFolder="" count="0" memberValueDatatype="130" unbalanced="0"/>
    <cacheHierarchy uniqueName="[ACERO 1].[OBSERVACION]" caption="OBSERVACION" attribute="1" defaultMemberUniqueName="[ACERO 1].[OBSERVACION].[All]" allUniqueName="[ACERO 1].[OBSERVACION].[All]" dimensionUniqueName="[ACERO 1]" displayFolder="" count="0" memberValueDatatype="130" unbalanced="0"/>
    <cacheHierarchy uniqueName="[CHASIS].[CLIENTE]" caption="CLIENTE" attribute="1" defaultMemberUniqueName="[CHASIS].[CLIENTE].[All]" allUniqueName="[CHASIS].[CLIENTE].[All]" dimensionUniqueName="[CHASIS]" displayFolder="" count="0" memberValueDatatype="130" unbalanced="0"/>
    <cacheHierarchy uniqueName="[CHASIS].[CHASIS]" caption="CHASIS" attribute="1" defaultMemberUniqueName="[CHASIS].[CHASIS].[All]" allUniqueName="[CHASIS].[CHASIS].[All]" dimensionUniqueName="[CHASIS]" displayFolder="" count="0" memberValueDatatype="130" unbalanced="0"/>
    <cacheHierarchy uniqueName="[CHASIS].[AÑO MODELO]" caption="AÑO MODELO" attribute="1" defaultMemberUniqueName="[CHASIS].[AÑO MODELO].[All]" allUniqueName="[CHASIS].[AÑO MODELO].[All]" dimensionUniqueName="[CHASIS]" displayFolder="" count="0" memberValueDatatype="20" unbalanced="0"/>
    <cacheHierarchy uniqueName="[CHASIS].[P/U]" caption="P/U" attribute="1" defaultMemberUniqueName="[CHASIS].[P/U].[All]" allUniqueName="[CHASIS].[P/U].[All]" dimensionUniqueName="[CHASIS]" displayFolder="" count="0" memberValueDatatype="20" unbalanced="0"/>
    <cacheHierarchy uniqueName="[CHASIS].[PAGO]" caption="PAGO" attribute="1" defaultMemberUniqueName="[CHASIS].[PAGO].[All]" allUniqueName="[CHASIS].[PAGO].[All]" dimensionUniqueName="[CHASIS]" displayFolder="" count="0" memberValueDatatype="20" unbalanced="0"/>
    <cacheHierarchy uniqueName="[CHASIS].[ADEUDO]" caption="ADEUDO" attribute="1" defaultMemberUniqueName="[CHASIS].[ADEUDO].[All]" allUniqueName="[CHASIS].[ADEUDO].[All]" dimensionUniqueName="[CHASIS]" displayFolder="" count="0" memberValueDatatype="20" unbalanced="0"/>
    <cacheHierarchy uniqueName="[CHASIS].[FACTURA]" caption="FACTURA" attribute="1" defaultMemberUniqueName="[CHASIS].[FACTURA].[All]" allUniqueName="[CHASIS].[FACTURA].[All]" dimensionUniqueName="[CHASIS]" displayFolder="" count="0" memberValueDatatype="130" unbalanced="0"/>
    <cacheHierarchy uniqueName="[CHASIS].[FECHE/ENTRGA]" caption="FECHE/ENTRGA" attribute="1" time="1" defaultMemberUniqueName="[CHASIS].[FECHE/ENTRGA].[All]" allUniqueName="[CHASIS].[FECHE/ENTRGA].[All]" dimensionUniqueName="[CHASIS]" displayFolder="" count="0" memberValueDatatype="7" unbalanced="0"/>
    <cacheHierarchy uniqueName="[CHASIS].[PAGADO]" caption="PAGADO" attribute="1" defaultMemberUniqueName="[CHASIS].[PAGADO].[All]" allUniqueName="[CHASIS].[PAGADO].[All]" dimensionUniqueName="[CHASIS]" displayFolder="" count="0" memberValueDatatype="130" unbalanced="0"/>
    <cacheHierarchy uniqueName="[CHASIS].[EQUI. ENTREGADOS]" caption="EQUI. ENTREGADOS" attribute="1" defaultMemberUniqueName="[CHASIS].[EQUI. ENTREGADOS].[All]" allUniqueName="[CHASIS].[EQUI. ENTREGADOS].[All]" dimensionUniqueName="[CHASIS]" displayFolder="" count="0" memberValueDatatype="130" unbalanced="0"/>
    <cacheHierarchy uniqueName="[CHASIS].[FECHE/ENTRGA (mes)]" caption="FECHE/ENTRGA (mes)" attribute="1" defaultMemberUniqueName="[CHASIS].[FECHE/ENTRGA (mes)].[All]" allUniqueName="[CHASIS].[FECHE/ENTRGA (mes)].[All]" dimensionUniqueName="[CHASIS]" displayFolder="" count="0" memberValueDatatype="130" unbalanced="0"/>
    <cacheHierarchy uniqueName="[clientes].[CLIENTE]" caption="CLIENTE" attribute="1" defaultMemberUniqueName="[clientes].[CLIENTE].[All]" allUniqueName="[clientes].[CLIENTE].[All]" dimensionUniqueName="[clientes]" displayFolder="" count="0" memberValueDatatype="130" unbalanced="0"/>
    <cacheHierarchy uniqueName="[clientes].[R. F. C.]" caption="R. F. C." attribute="1" defaultMemberUniqueName="[clientes].[R. F. C.].[All]" allUniqueName="[clientes].[R. F. C.].[All]" dimensionUniqueName="[clientes]" displayFolder="" count="0" memberValueDatatype="130" unbalanced="0"/>
    <cacheHierarchy uniqueName="[clientes].[EMPRESA]" caption="EMPRESA" attribute="1" defaultMemberUniqueName="[clientes].[EMPRESA].[All]" allUniqueName="[clientes].[EMPRESA].[All]" dimensionUniqueName="[clientes]" displayFolder="" count="0" memberValueDatatype="130" unbalanced="0"/>
    <cacheHierarchy uniqueName="[clientes].[CALLE, No., COLONIA]" caption="CALLE, No., COLONIA" attribute="1" defaultMemberUniqueName="[clientes].[CALLE, No., COLONIA].[All]" allUniqueName="[clientes].[CALLE, No., COLONIA].[All]" dimensionUniqueName="[clientes]" displayFolder="" count="0" memberValueDatatype="130" unbalanced="0"/>
    <cacheHierarchy uniqueName="[clientes].[MUNICIPIO, ESTADO, PAIS.]" caption="MUNICIPIO, ESTADO, PAIS." attribute="1" defaultMemberUniqueName="[clientes].[MUNICIPIO, ESTADO, PAIS.].[All]" allUniqueName="[clientes].[MUNICIPIO, ESTADO, PAIS.].[All]" dimensionUniqueName="[clientes]" displayFolder="" count="0" memberValueDatatype="130" unbalanced="0"/>
    <cacheHierarchy uniqueName="[clientes].[C.P.]" caption="C.P." attribute="1" defaultMemberUniqueName="[clientes].[C.P.].[All]" allUniqueName="[clientes].[C.P.].[All]" dimensionUniqueName="[clientes]" displayFolder="" count="0" memberValueDatatype="130" unbalanced="0"/>
    <cacheHierarchy uniqueName="[clientes].[TEL/CEL]" caption="TEL/CEL" attribute="1" defaultMemberUniqueName="[clientes].[TEL/CEL].[All]" allUniqueName="[clientes].[TEL/CEL].[All]" dimensionUniqueName="[clientes]" displayFolder="" count="0" memberValueDatatype="130" unbalanced="0"/>
    <cacheHierarchy uniqueName="[clientes].[CORREO]" caption="CORREO" attribute="1" defaultMemberUniqueName="[clientes].[CORREO].[All]" allUniqueName="[clientes].[CORREO].[All]" dimensionUniqueName="[clientes]" displayFolder="" count="0" memberValueDatatype="130" unbalanced="0"/>
    <cacheHierarchy uniqueName="[extras].[PZAS]" caption="PZAS" attribute="1" defaultMemberUniqueName="[extras].[PZAS].[All]" allUniqueName="[extras].[PZAS].[All]" dimensionUniqueName="[extras]" displayFolder="" count="0" memberValueDatatype="20" unbalanced="0"/>
    <cacheHierarchy uniqueName="[extras].[TIPO]" caption="TIPO" attribute="1" defaultMemberUniqueName="[extras].[TIPO].[All]" allUniqueName="[extras].[TIPO].[All]" dimensionUniqueName="[extras]" displayFolder="" count="0" memberValueDatatype="130" unbalanced="0"/>
    <cacheHierarchy uniqueName="[extras].[NOMBRE]" caption="NOMBRE" attribute="1" defaultMemberUniqueName="[extras].[NOMBRE].[All]" allUniqueName="[extras].[NOMBRE].[All]" dimensionUniqueName="[extras]" displayFolder="" count="0" memberValueDatatype="130" unbalanced="0"/>
    <cacheHierarchy uniqueName="[extras].[MATERIAL / ACCESORIO]" caption="MATERIAL / ACCESORIO" attribute="1" defaultMemberUniqueName="[extras].[MATERIAL / ACCESORIO].[All]" allUniqueName="[extras].[MATERIAL / ACCESORIO].[All]" dimensionUniqueName="[extras]" displayFolder="" count="0" memberValueDatatype="130" unbalanced="0"/>
    <cacheHierarchy uniqueName="[extras].[CLASE]" caption="CLASE" attribute="1" defaultMemberUniqueName="[extras].[CLASE].[All]" allUniqueName="[extras].[CLASE].[All]" dimensionUniqueName="[extras]" displayFolder="" count="0" memberValueDatatype="130" unbalanced="0"/>
    <cacheHierarchy uniqueName="[extras].[PRECIO $ C/U]" caption="PRECIO $ C/U" attribute="1" defaultMemberUniqueName="[extras].[PRECIO $ C/U].[All]" allUniqueName="[extras].[PRECIO $ C/U].[All]" dimensionUniqueName="[extras]" displayFolder="" count="0" memberValueDatatype="20" unbalanced="0"/>
    <cacheHierarchy uniqueName="[extras].[IMP POR POYECTO]" caption="IMP POR POYECTO" attribute="1" defaultMemberUniqueName="[extras].[IMP POR POYECTO].[All]" allUniqueName="[extras].[IMP POR POYECTO].[All]" dimensionUniqueName="[extras]" displayFolder="" count="0" memberValueDatatype="20" unbalanced="0"/>
    <cacheHierarchy uniqueName="[extras].[NUM. DE EJES]" caption="NUM. DE EJES" attribute="1" defaultMemberUniqueName="[extras].[NUM. DE EJES].[All]" allUniqueName="[extras].[NUM. DE EJES].[All]" dimensionUniqueName="[extras]" displayFolder="" count="0" memberValueDatatype="20" unbalanced="0"/>
    <cacheHierarchy uniqueName="[extras].[LARGO]" caption="LARGO" attribute="1" defaultMemberUniqueName="[extras].[LARGO].[All]" allUniqueName="[extras].[LARGO].[All]" dimensionUniqueName="[extras]" displayFolder="" count="0" memberValueDatatype="130" unbalanced="0"/>
    <cacheHierarchy uniqueName="[extras].[OBSERVACION]" caption="OBSERVACION" attribute="1" defaultMemberUniqueName="[extras].[OBSERVACION].[All]" allUniqueName="[extras].[OBSERVACION].[All]" dimensionUniqueName="[extras]" displayFolder="" count="0" memberValueDatatype="130" unbalanced="0"/>
    <cacheHierarchy uniqueName="[otros].[PZAS]" caption="PZAS" attribute="1" defaultMemberUniqueName="[otros].[PZAS].[All]" allUniqueName="[otros].[PZAS].[All]" dimensionUniqueName="[otros]" displayFolder="" count="0" memberValueDatatype="5" unbalanced="0"/>
    <cacheHierarchy uniqueName="[otros].[TIPO]" caption="TIPO" attribute="1" defaultMemberUniqueName="[otros].[TIPO].[All]" allUniqueName="[otros].[TIPO].[All]" dimensionUniqueName="[otros]" displayFolder="" count="0" memberValueDatatype="130" unbalanced="0"/>
    <cacheHierarchy uniqueName="[otros].[NOMBRE]" caption="NOMBRE" attribute="1" defaultMemberUniqueName="[otros].[NOMBRE].[All]" allUniqueName="[otros].[NOMBRE].[All]" dimensionUniqueName="[otros]" displayFolder="" count="0" memberValueDatatype="130" unbalanced="0"/>
    <cacheHierarchy uniqueName="[otros].[MATERIAL / ACCESORIO]" caption="MATERIAL / ACCESORIO" attribute="1" defaultMemberUniqueName="[otros].[MATERIAL / ACCESORIO].[All]" allUniqueName="[otros].[MATERIAL / ACCESORIO].[All]" dimensionUniqueName="[otros]" displayFolder="" count="0" memberValueDatatype="130" unbalanced="0"/>
    <cacheHierarchy uniqueName="[otros].[PRECIO $ C/U]" caption="PRECIO $ C/U" attribute="1" defaultMemberUniqueName="[otros].[PRECIO $ C/U].[All]" allUniqueName="[otros].[PRECIO $ C/U].[All]" dimensionUniqueName="[otros]" displayFolder="" count="0" memberValueDatatype="20" unbalanced="0"/>
    <cacheHierarchy uniqueName="[otros].[IMP POR POYECTO]" caption="IMP POR POYECTO" attribute="1" defaultMemberUniqueName="[otros].[IMP POR POYECTO].[All]" allUniqueName="[otros].[IMP POR POYECTO].[All]" dimensionUniqueName="[otros]" displayFolder="" count="0" memberValueDatatype="5" unbalanced="0"/>
    <cacheHierarchy uniqueName="[otros].[NUM. DE EJES]" caption="NUM. DE EJES" attribute="1" defaultMemberUniqueName="[otros].[NUM. DE EJES].[All]" allUniqueName="[otros].[NUM. DE EJES].[All]" dimensionUniqueName="[otros]" displayFolder="" count="0" memberValueDatatype="20" unbalanced="0"/>
    <cacheHierarchy uniqueName="[otros].[LARGO]" caption="LARGO" attribute="1" defaultMemberUniqueName="[otros].[LARGO].[All]" allUniqueName="[otros].[LARGO].[All]" dimensionUniqueName="[otros]" displayFolder="" count="0" memberValueDatatype="130" unbalanced="0"/>
    <cacheHierarchy uniqueName="[otros].[CLASE]" caption="CLASE" attribute="1" defaultMemberUniqueName="[otros].[CLASE].[All]" allUniqueName="[otros].[CLASE].[All]" dimensionUniqueName="[otros]" displayFolder="" count="0" memberValueDatatype="130" unbalanced="0"/>
    <cacheHierarchy uniqueName="[otros].[OBSERVACION]" caption="OBSERVACION" attribute="1" defaultMemberUniqueName="[otros].[OBSERVACION].[All]" allUniqueName="[otros].[OBSERVACION].[All]" dimensionUniqueName="[otros]" displayFolder="" count="0" memberValueDatatype="130" unbalanced="0"/>
    <cacheHierarchy uniqueName="[Page001].[Column1]" caption="Column1" attribute="1" defaultMemberUniqueName="[Page001].[Column1].[All]" allUniqueName="[Page001].[Column1].[All]" dimensionUniqueName="[Page001]" displayFolder="" count="0" memberValueDatatype="130" unbalanced="0"/>
    <cacheHierarchy uniqueName="[Page001].[Column2]" caption="Column2" attribute="1" defaultMemberUniqueName="[Page001].[Column2].[All]" allUniqueName="[Page001].[Column2].[All]" dimensionUniqueName="[Page001]" displayFolder="" count="0" memberValueDatatype="130" unbalanced="0"/>
    <cacheHierarchy uniqueName="[Page001].[Column3]" caption="Column3" attribute="1" defaultMemberUniqueName="[Page001].[Column3].[All]" allUniqueName="[Page001].[Column3].[All]" dimensionUniqueName="[Page001]" displayFolder="" count="0" memberValueDatatype="130" unbalanced="0"/>
    <cacheHierarchy uniqueName="[Page001].[Column4]" caption="Column4" attribute="1" defaultMemberUniqueName="[Page001].[Column4].[All]" allUniqueName="[Page001].[Column4].[All]" dimensionUniqueName="[Page001]" displayFolder="" count="0" memberValueDatatype="130" unbalanced="0"/>
    <cacheHierarchy uniqueName="[Page001].[Column5]" caption="Column5" attribute="1" defaultMemberUniqueName="[Page001].[Column5].[All]" allUniqueName="[Page001].[Column5].[All]" dimensionUniqueName="[Page001]" displayFolder="" count="0" memberValueDatatype="130" unbalanced="0"/>
    <cacheHierarchy uniqueName="[Page002].[Column1]" caption="Column1" attribute="1" defaultMemberUniqueName="[Page002].[Column1].[All]" allUniqueName="[Page002].[Column1].[All]" dimensionUniqueName="[Page002]" displayFolder="" count="0" memberValueDatatype="130" unbalanced="0"/>
    <cacheHierarchy uniqueName="[Page002].[Column2]" caption="Column2" attribute="1" defaultMemberUniqueName="[Page002].[Column2].[All]" allUniqueName="[Page002].[Column2].[All]" dimensionUniqueName="[Page002]" displayFolder="" count="0" memberValueDatatype="130" unbalanced="0"/>
    <cacheHierarchy uniqueName="[Page003].[Column1]" caption="Column1" attribute="1" defaultMemberUniqueName="[Page003].[Column1].[All]" allUniqueName="[Page003].[Column1].[All]" dimensionUniqueName="[Page003]" displayFolder="" count="0" memberValueDatatype="130" unbalanced="0"/>
    <cacheHierarchy uniqueName="[Page003].[Column2]" caption="Column2" attribute="1" defaultMemberUniqueName="[Page003].[Column2].[All]" allUniqueName="[Page003].[Column2].[All]" dimensionUniqueName="[Page003]" displayFolder="" count="0" memberValueDatatype="130" unbalanced="0"/>
    <cacheHierarchy uniqueName="[Page003].[Column3]" caption="Column3" attribute="1" defaultMemberUniqueName="[Page003].[Column3].[All]" allUniqueName="[Page003].[Column3].[All]" dimensionUniqueName="[Page003]" displayFolder="" count="0" memberValueDatatype="130" unbalanced="0"/>
    <cacheHierarchy uniqueName="[Page003].[Column4]" caption="Column4" attribute="1" defaultMemberUniqueName="[Page003].[Column4].[All]" allUniqueName="[Page003].[Column4].[All]" dimensionUniqueName="[Page003]" displayFolder="" count="0" memberValueDatatype="130" unbalanced="0"/>
    <cacheHierarchy uniqueName="[Page003].[Column5]" caption="Column5" attribute="1" defaultMemberUniqueName="[Page003].[Column5].[All]" allUniqueName="[Page003].[Column5].[All]" dimensionUniqueName="[Page003]" displayFolder="" count="0" memberValueDatatype="130" unbalanced="0"/>
    <cacheHierarchy uniqueName="[piramide].[PZAS]" caption="PZAS" attribute="1" defaultMemberUniqueName="[piramide].[PZAS].[All]" allUniqueName="[piramide].[PZAS].[All]" dimensionUniqueName="[piramide]" displayFolder="" count="0" memberValueDatatype="5" unbalanced="0"/>
    <cacheHierarchy uniqueName="[piramide].[TIPO]" caption="TIPO" attribute="1" defaultMemberUniqueName="[piramide].[TIPO].[All]" allUniqueName="[piramide].[TIPO].[All]" dimensionUniqueName="[piramide]" displayFolder="" count="0" memberValueDatatype="130" unbalanced="0"/>
    <cacheHierarchy uniqueName="[piramide].[NOMBRE]" caption="NOMBRE" attribute="1" defaultMemberUniqueName="[piramide].[NOMBRE].[All]" allUniqueName="[piramide].[NOMBRE].[All]" dimensionUniqueName="[piramide]" displayFolder="" count="0" memberValueDatatype="130" unbalanced="0"/>
    <cacheHierarchy uniqueName="[piramide].[MATERIAL / ACCESORIO]" caption="MATERIAL / ACCESORIO" attribute="1" defaultMemberUniqueName="[piramide].[MATERIAL / ACCESORIO].[All]" allUniqueName="[piramide].[MATERIAL / ACCESORIO].[All]" dimensionUniqueName="[piramide]" displayFolder="" count="0" memberValueDatatype="130" unbalanced="0"/>
    <cacheHierarchy uniqueName="[piramide].[PRECIO $ C/U]" caption="PRECIO $ C/U" attribute="1" defaultMemberUniqueName="[piramide].[PRECIO $ C/U].[All]" allUniqueName="[piramide].[PRECIO $ C/U].[All]" dimensionUniqueName="[piramide]" displayFolder="" count="0" memberValueDatatype="5" unbalanced="0"/>
    <cacheHierarchy uniqueName="[piramide].[IMP POR POYECTO]" caption="IMP POR POYECTO" attribute="1" defaultMemberUniqueName="[piramide].[IMP POR POYECTO].[All]" allUniqueName="[piramide].[IMP POR POYECTO].[All]" dimensionUniqueName="[piramide]" displayFolder="" count="0" memberValueDatatype="5" unbalanced="0"/>
    <cacheHierarchy uniqueName="[piramide].[NUM. DE EJES]" caption="NUM. DE EJES" attribute="1" defaultMemberUniqueName="[piramide].[NUM. DE EJES].[All]" allUniqueName="[piramide].[NUM. DE EJES].[All]" dimensionUniqueName="[piramide]" displayFolder="" count="0" memberValueDatatype="20" unbalanced="0"/>
    <cacheHierarchy uniqueName="[piramide].[LARGO]" caption="LARGO" attribute="1" defaultMemberUniqueName="[piramide].[LARGO].[All]" allUniqueName="[piramide].[LARGO].[All]" dimensionUniqueName="[piramide]" displayFolder="" count="0" memberValueDatatype="130" unbalanced="0"/>
    <cacheHierarchy uniqueName="[piramide].[CLASE]" caption="CLASE" attribute="1" defaultMemberUniqueName="[piramide].[CLASE].[All]" allUniqueName="[piramide].[CLASE].[All]" dimensionUniqueName="[piramide]" displayFolder="" count="0" memberValueDatatype="130" unbalanced="0"/>
    <cacheHierarchy uniqueName="[piramide].[OBSERVACION]" caption="OBSERVACION" attribute="1" defaultMemberUniqueName="[piramide].[OBSERVACION].[All]" allUniqueName="[piramide].[OBSERVACION].[All]" dimensionUniqueName="[piramide]" displayFolder="" count="0" memberValueDatatype="130" unbalanced="0"/>
    <cacheHierarchy uniqueName="[Tabla24].[NOMBRE]" caption="NOMBRE" attribute="1" defaultMemberUniqueName="[Tabla24].[NOMBRE].[All]" allUniqueName="[Tabla24].[NOMBRE].[All]" dimensionUniqueName="[Tabla24]" displayFolder="" count="2" memberValueDatatype="130" unbalanced="0">
      <fieldsUsage count="2">
        <fieldUsage x="-1"/>
        <fieldUsage x="4"/>
      </fieldsUsage>
    </cacheHierarchy>
    <cacheHierarchy uniqueName="[Tabla24].[TIPO]" caption="TIPO" attribute="1" defaultMemberUniqueName="[Tabla24].[TIPO].[All]" allUniqueName="[Tabla24].[TIPO].[All]" dimensionUniqueName="[Tabla24]" displayFolder="" count="0" memberValueDatatype="130" unbalanced="0"/>
    <cacheHierarchy uniqueName="[Tabla24].[NUM. DE EJES]" caption="NUM. DE EJES" attribute="1" defaultMemberUniqueName="[Tabla24].[NUM. DE EJES].[All]" allUniqueName="[Tabla24].[NUM. DE EJES].[All]" dimensionUniqueName="[Tabla24]" displayFolder="" count="0" memberValueDatatype="20" unbalanced="0"/>
    <cacheHierarchy uniqueName="[Tabla24].[LARGO]" caption="LARGO" attribute="1" defaultMemberUniqueName="[Tabla24].[LARGO].[All]" allUniqueName="[Tabla24].[LARGO].[All]" dimensionUniqueName="[Tabla24]" displayFolder="" count="0" memberValueDatatype="130" unbalanced="0"/>
    <cacheHierarchy uniqueName="[Tabla24].[CONCAT]" caption="CONCAT" attribute="1" defaultMemberUniqueName="[Tabla24].[CONCAT].[All]" allUniqueName="[Tabla24].[CONCAT].[All]" dimensionUniqueName="[Tabla24]" displayFolder="" count="0" memberValueDatatype="130" unbalanced="0"/>
    <cacheHierarchy uniqueName="[Tabla24].[Peso Vehicular]" caption="Peso Vehicular" attribute="1" defaultMemberUniqueName="[Tabla24].[Peso Vehicular].[All]" allUniqueName="[Tabla24].[Peso Vehicular].[All]" dimensionUniqueName="[Tabla24]" displayFolder="" count="0" memberValueDatatype="20" unbalanced="0"/>
    <cacheHierarchy uniqueName="[Tabla24].[PBVD:]" caption="PBVD:" attribute="1" defaultMemberUniqueName="[Tabla24].[PBVD:].[All]" allUniqueName="[Tabla24].[PBVD:].[All]" dimensionUniqueName="[Tabla24]" displayFolder="" count="0" memberValueDatatype="20" unbalanced="0"/>
    <cacheHierarchy uniqueName="[Tabla24].[Modelo ABS:]" caption="Modelo ABS:" attribute="1" defaultMemberUniqueName="[Tabla24].[Modelo ABS:].[All]" allUniqueName="[Tabla24].[Modelo ABS:].[All]" dimensionUniqueName="[Tabla24]" displayFolder="" count="0" memberValueDatatype="130" unbalanced="0"/>
    <cacheHierarchy uniqueName="[Tabla24].[CDE ejes traseros:]" caption="CDE ejes traseros:" attribute="1" defaultMemberUniqueName="[Tabla24].[CDE ejes traseros:].[All]" allUniqueName="[Tabla24].[CDE ejes traseros:].[All]" dimensionUniqueName="[Tabla24]" displayFolder="" count="0" memberValueDatatype="20" unbalanced="0"/>
    <cacheHierarchy uniqueName="[Tabla24].[Número de llantas:]" caption="Número de llantas:" attribute="1" defaultMemberUniqueName="[Tabla24].[Número de llantas:].[All]" allUniqueName="[Tabla24].[Número de llantas:].[All]" dimensionUniqueName="[Tabla24]" displayFolder="" count="0" memberValueDatatype="20" unbalanced="0"/>
    <cacheHierarchy uniqueName="[Tabla24].[Capacidad de eje en posición de montaje:]" caption="Capacidad de eje en posición de montaje:" attribute="1" defaultMemberUniqueName="[Tabla24].[Capacidad de eje en posición de montaje:].[All]" allUniqueName="[Tabla24].[Capacidad de eje en posición de montaje:].[All]" dimensionUniqueName="[Tabla24]" displayFolder="" count="0" memberValueDatatype="20" unbalanced="0"/>
    <cacheHierarchy uniqueName="[Tabla24].[Capacidad de espigas de eje:]" caption="Capacidad de espigas de eje:" attribute="1" defaultMemberUniqueName="[Tabla24].[Capacidad de espigas de eje:].[All]" allUniqueName="[Tabla24].[Capacidad de espigas de eje:].[All]" dimensionUniqueName="[Tabla24]" displayFolder="" count="0" memberValueDatatype="20" unbalanced="0"/>
    <cacheHierarchy uniqueName="[Tabla24].[Longitud]" caption="Longitud" attribute="1" defaultMemberUniqueName="[Tabla24].[Longitud].[All]" allUniqueName="[Tabla24].[Longitud].[All]" dimensionUniqueName="[Tabla24]" displayFolder="" count="0" memberValueDatatype="5" unbalanced="0"/>
    <cacheHierarchy uniqueName="[Table001  Page 1].[Column1]" caption="Column1" attribute="1" defaultMemberUniqueName="[Table001  Page 1].[Column1].[All]" allUniqueName="[Table001  Page 1].[Column1].[All]" dimensionUniqueName="[Table001  Page 1]" displayFolder="" count="0" memberValueDatatype="130" unbalanced="0"/>
    <cacheHierarchy uniqueName="[Table002  Page 3].[Column1]" caption="Column1" attribute="1" defaultMemberUniqueName="[Table002  Page 3].[Column1].[All]" allUniqueName="[Table002  Page 3].[Column1].[All]" dimensionUniqueName="[Table002  Page 3]" displayFolder="" count="0" memberValueDatatype="130" unbalanced="0"/>
    <cacheHierarchy uniqueName="[Table002  Page 3].[Column2]" caption="Column2" attribute="1" defaultMemberUniqueName="[Table002  Page 3].[Column2].[All]" allUniqueName="[Table002  Page 3].[Column2].[All]" dimensionUniqueName="[Table002  Page 3]" displayFolder="" count="0" memberValueDatatype="130" unbalanced="0"/>
    <cacheHierarchy uniqueName="[Table004  Page 3].[Column1]" caption="Column1" attribute="1" defaultMemberUniqueName="[Table004  Page 3].[Column1].[All]" allUniqueName="[Table004  Page 3].[Column1].[All]" dimensionUniqueName="[Table004  Page 3]" displayFolder="" count="0" memberValueDatatype="130" unbalanced="0"/>
    <cacheHierarchy uniqueName="[Table004  Page 3].[Column2]" caption="Column2" attribute="1" defaultMemberUniqueName="[Table004  Page 3].[Column2].[All]" allUniqueName="[Table004  Page 3].[Column2].[All]" dimensionUniqueName="[Table004  Page 3]" displayFolder="" count="0" memberValueDatatype="130" unbalanced="0"/>
    <cacheHierarchy uniqueName="[truckzone].[PZAS]" caption="PZAS" attribute="1" defaultMemberUniqueName="[truckzone].[PZAS].[All]" allUniqueName="[truckzone].[PZAS].[All]" dimensionUniqueName="[truckzone]" displayFolder="" count="0" memberValueDatatype="5" unbalanced="0"/>
    <cacheHierarchy uniqueName="[truckzone].[TIPO]" caption="TIPO" attribute="1" defaultMemberUniqueName="[truckzone].[TIPO].[All]" allUniqueName="[truckzone].[TIPO].[All]" dimensionUniqueName="[truckzone]" displayFolder="" count="0" memberValueDatatype="130" unbalanced="0"/>
    <cacheHierarchy uniqueName="[truckzone].[NOMBRE]" caption="NOMBRE" attribute="1" defaultMemberUniqueName="[truckzone].[NOMBRE].[All]" allUniqueName="[truckzone].[NOMBRE].[All]" dimensionUniqueName="[truckzone]" displayFolder="" count="0" memberValueDatatype="130" unbalanced="0"/>
    <cacheHierarchy uniqueName="[truckzone].[MATERIAL / ACCESORIO]" caption="MATERIAL / ACCESORIO" attribute="1" defaultMemberUniqueName="[truckzone].[MATERIAL / ACCESORIO].[All]" allUniqueName="[truckzone].[MATERIAL / ACCESORIO].[All]" dimensionUniqueName="[truckzone]" displayFolder="" count="2" memberValueDatatype="130" unbalanced="0">
      <fieldsUsage count="2">
        <fieldUsage x="-1"/>
        <fieldUsage x="0"/>
      </fieldsUsage>
    </cacheHierarchy>
    <cacheHierarchy uniqueName="[truckzone].[PRECIO $ C/U]" caption="PRECIO $ C/U" attribute="1" defaultMemberUniqueName="[truckzone].[PRECIO $ C/U].[All]" allUniqueName="[truckzone].[PRECIO $ C/U].[All]" dimensionUniqueName="[truckzone]" displayFolder="" count="0" memberValueDatatype="5" unbalanced="0"/>
    <cacheHierarchy uniqueName="[truckzone].[IMP POR POYECTO]" caption="IMP POR POYECTO" attribute="1" defaultMemberUniqueName="[truckzone].[IMP POR POYECTO].[All]" allUniqueName="[truckzone].[IMP POR POYECTO].[All]" dimensionUniqueName="[truckzone]" displayFolder="" count="0" memberValueDatatype="5" unbalanced="0"/>
    <cacheHierarchy uniqueName="[truckzone].[NUM. DE EJES]" caption="NUM. DE EJES" attribute="1" defaultMemberUniqueName="[truckzone].[NUM. DE EJES].[All]" allUniqueName="[truckzone].[NUM. DE EJES].[All]" dimensionUniqueName="[truckzone]" displayFolder="" count="0" memberValueDatatype="20" unbalanced="0"/>
    <cacheHierarchy uniqueName="[truckzone].[LARGO]" caption="LARGO" attribute="1" defaultMemberUniqueName="[truckzone].[LARGO].[All]" allUniqueName="[truckzone].[LARGO].[All]" dimensionUniqueName="[truckzone]" displayFolder="" count="0" memberValueDatatype="130" unbalanced="0"/>
    <cacheHierarchy uniqueName="[truckzone].[CLASE]" caption="CLASE" attribute="1" defaultMemberUniqueName="[truckzone].[CLASE].[All]" allUniqueName="[truckzone].[CLASE].[All]" dimensionUniqueName="[truckzone]" displayFolder="" count="2" memberValueDatatype="130" unbalanced="0">
      <fieldsUsage count="2">
        <fieldUsage x="-1"/>
        <fieldUsage x="1"/>
      </fieldsUsage>
    </cacheHierarchy>
    <cacheHierarchy uniqueName="[truckzone].[OBSERVACION]" caption="OBSERVACION" attribute="1" defaultMemberUniqueName="[truckzone].[OBSERVACION].[All]" allUniqueName="[truckzone].[OBSERVACION].[All]" dimensionUniqueName="[truckzone]" displayFolder="" count="0" memberValueDatatype="130" unbalanced="0"/>
    <cacheHierarchy uniqueName="[CHASIS].[FECHE/ENTRGA (índice de meses)]" caption="FECHE/ENTRGA (índice de meses)" attribute="1" defaultMemberUniqueName="[CHASIS].[FECHE/ENTRGA (índice de meses)].[All]" allUniqueName="[CHASIS].[FECHE/ENTRGA (índice de meses)].[All]" dimensionUniqueName="[CHASIS]" displayFolder="" count="0" memberValueDatatype="20" unbalanced="0" hidden="1"/>
    <cacheHierarchy uniqueName="[Measures].[__XL_Count extras]" caption="__XL_Count extras" measure="1" displayFolder="" measureGroup="extras" count="0" hidden="1"/>
    <cacheHierarchy uniqueName="[Measures].[__XL_Count otros]" caption="__XL_Count otros" measure="1" displayFolder="" measureGroup="otros" count="0" hidden="1"/>
    <cacheHierarchy uniqueName="[Measures].[__XL_Count piramide]" caption="__XL_Count piramide" measure="1" displayFolder="" measureGroup="piramide" count="0" hidden="1"/>
    <cacheHierarchy uniqueName="[Measures].[__XL_Count truckzone]" caption="__XL_Count truckzone" measure="1" displayFolder="" measureGroup="truckzone" count="0" hidden="1"/>
    <cacheHierarchy uniqueName="[Measures].[__XL_Count Tabla24]" caption="__XL_Count Tabla24" measure="1" displayFolder="" measureGroup="Tabla24" count="0" hidden="1"/>
    <cacheHierarchy uniqueName="[Measures].[__XL_Count ACERO 1]" caption="__XL_Count ACERO 1" measure="1" displayFolder="" measureGroup="ACERO 1" count="0" hidden="1"/>
    <cacheHierarchy uniqueName="[Measures].[__XL_Count Table001  Page 1]" caption="__XL_Count Table001  Page 1" measure="1" displayFolder="" measureGroup="Table001  Page 1" count="0" hidden="1"/>
    <cacheHierarchy uniqueName="[Measures].[__XL_Count Table002  Page 3]" caption="__XL_Count Table002  Page 3" measure="1" displayFolder="" measureGroup="Table002  Page 3" count="0" hidden="1"/>
    <cacheHierarchy uniqueName="[Measures].[__XL_Count Table004  Page 3]" caption="__XL_Count Table004  Page 3" measure="1" displayFolder="" measureGroup="Table004  Page 3" count="0" hidden="1"/>
    <cacheHierarchy uniqueName="[Measures].[__XL_Count Page001]" caption="__XL_Count Page001" measure="1" displayFolder="" measureGroup="Page001" count="0" hidden="1"/>
    <cacheHierarchy uniqueName="[Measures].[__XL_Count Page003]" caption="__XL_Count Page003" measure="1" displayFolder="" measureGroup="Page003" count="0" hidden="1"/>
    <cacheHierarchy uniqueName="[Measures].[__XL_Count Page002]" caption="__XL_Count Page002" measure="1" displayFolder="" measureGroup="Page002" count="0" hidden="1"/>
    <cacheHierarchy uniqueName="[Measures].[__XL_Count CHASIS]" caption="__XL_Count CHASIS" measure="1" displayFolder="" measureGroup="CHASIS" count="0" hidden="1"/>
    <cacheHierarchy uniqueName="[Measures].[__XL_Count clientes]" caption="__XL_Count clientes" measure="1" displayFolder="" measureGroup="clientes" count="0" hidden="1"/>
    <cacheHierarchy uniqueName="[Measures].[__No measures defined]" caption="__No measures defined" measure="1" displayFolder="" count="0" hidden="1"/>
    <cacheHierarchy uniqueName="[Measures].[Suma de IMP POR POYECTO 3]" caption="Suma de IMP POR POYECTO 3" measure="1" displayFolder="" measureGroup="otros" count="0" hidden="1">
      <extLst>
        <ext xmlns:x15="http://schemas.microsoft.com/office/spreadsheetml/2010/11/main" uri="{B97F6D7D-B522-45F9-BDA1-12C45D357490}">
          <x15:cacheHierarchy aggregatedColumn="44"/>
        </ext>
      </extLst>
    </cacheHierarchy>
    <cacheHierarchy uniqueName="[Measures].[Suma de IMP POR POYECTO 4]" caption="Suma de IMP POR POYECTO 4" measure="1" displayFolder="" measureGroup="piramide" count="0" hidden="1">
      <extLst>
        <ext xmlns:x15="http://schemas.microsoft.com/office/spreadsheetml/2010/11/main" uri="{B97F6D7D-B522-45F9-BDA1-12C45D357490}">
          <x15:cacheHierarchy aggregatedColumn="66"/>
        </ext>
      </extLst>
    </cacheHierarchy>
    <cacheHierarchy uniqueName="[Measures].[Suma de IMP POR POYECTO 5]" caption="Suma de IMP POR POYECTO 5" measure="1" displayFolder="" measureGroup="extras" count="0" hidden="1">
      <extLst>
        <ext xmlns:x15="http://schemas.microsoft.com/office/spreadsheetml/2010/11/main" uri="{B97F6D7D-B522-45F9-BDA1-12C45D357490}">
          <x15:cacheHierarchy aggregatedColumn="35"/>
        </ext>
      </extLst>
    </cacheHierarchy>
    <cacheHierarchy uniqueName="[Measures].[Suma de IMP POR POYECTO 6]" caption="Suma de IMP POR POYECTO 6" measure="1" displayFolder="" measureGroup="truckzone" count="0" oneField="1" hidden="1">
      <fieldsUsage count="1">
        <fieldUsage x="2"/>
      </fieldsUsage>
      <extLst>
        <ext xmlns:x15="http://schemas.microsoft.com/office/spreadsheetml/2010/11/main" uri="{B97F6D7D-B522-45F9-BDA1-12C45D357490}">
          <x15:cacheHierarchy aggregatedColumn="94"/>
        </ext>
      </extLst>
    </cacheHierarchy>
    <cacheHierarchy uniqueName="[Measures].[Suma de PZAS 2]" caption="Suma de PZAS 2" measure="1" displayFolder="" measureGroup="otros" count="0" hidden="1">
      <extLst>
        <ext xmlns:x15="http://schemas.microsoft.com/office/spreadsheetml/2010/11/main" uri="{B97F6D7D-B522-45F9-BDA1-12C45D357490}">
          <x15:cacheHierarchy aggregatedColumn="39"/>
        </ext>
      </extLst>
    </cacheHierarchy>
    <cacheHierarchy uniqueName="[Measures].[Suma de PZAS 3]" caption="Suma de PZAS 3" measure="1" displayFolder="" measureGroup="extras" count="0" hidden="1">
      <extLst>
        <ext xmlns:x15="http://schemas.microsoft.com/office/spreadsheetml/2010/11/main" uri="{B97F6D7D-B522-45F9-BDA1-12C45D357490}">
          <x15:cacheHierarchy aggregatedColumn="29"/>
        </ext>
      </extLst>
    </cacheHierarchy>
    <cacheHierarchy uniqueName="[Measures].[Suma de PZAS 4]" caption="Suma de PZAS 4" measure="1" displayFolder="" measureGroup="piramide" count="0" hidden="1">
      <extLst>
        <ext xmlns:x15="http://schemas.microsoft.com/office/spreadsheetml/2010/11/main" uri="{B97F6D7D-B522-45F9-BDA1-12C45D357490}">
          <x15:cacheHierarchy aggregatedColumn="61"/>
        </ext>
      </extLst>
    </cacheHierarchy>
    <cacheHierarchy uniqueName="[Measures].[Suma de PZAS 5]" caption="Suma de PZAS 5" measure="1" displayFolder="" measureGroup="truckzone" count="0" oneField="1" hidden="1">
      <fieldsUsage count="1">
        <fieldUsage x="3"/>
      </fieldsUsage>
      <extLst>
        <ext xmlns:x15="http://schemas.microsoft.com/office/spreadsheetml/2010/11/main" uri="{B97F6D7D-B522-45F9-BDA1-12C45D357490}">
          <x15:cacheHierarchy aggregatedColumn="89"/>
        </ext>
      </extLst>
    </cacheHierarchy>
    <cacheHierarchy uniqueName="[Measures].[Suma de IMP POR POYECTO]" caption="Suma de IMP POR POYECTO" measure="1" displayFolder="" measureGroup="ACERO 1" count="0" hidden="1">
      <extLst>
        <ext xmlns:x15="http://schemas.microsoft.com/office/spreadsheetml/2010/11/main" uri="{B97F6D7D-B522-45F9-BDA1-12C45D357490}">
          <x15:cacheHierarchy aggregatedColumn="5"/>
        </ext>
      </extLst>
    </cacheHierarchy>
    <cacheHierarchy uniqueName="[Measures].[Suma de PZAS 6]" caption="Suma de PZAS 6" measure="1" displayFolder="" measureGroup="ACERO 1" count="0" hidden="1">
      <extLst>
        <ext xmlns:x15="http://schemas.microsoft.com/office/spreadsheetml/2010/11/main" uri="{B97F6D7D-B522-45F9-BDA1-12C45D357490}">
          <x15:cacheHierarchy aggregatedColumn="0"/>
        </ext>
      </extLst>
    </cacheHierarchy>
    <cacheHierarchy uniqueName="[Measures].[Recuento de MATERIAL / ACCESORIO]" caption="Recuento de MATERIAL / ACCESORIO" measure="1" displayFolder="" measureGroup="extras" count="0" hidden="1">
      <extLst>
        <ext xmlns:x15="http://schemas.microsoft.com/office/spreadsheetml/2010/11/main" uri="{B97F6D7D-B522-45F9-BDA1-12C45D357490}">
          <x15:cacheHierarchy aggregatedColumn="32"/>
        </ext>
      </extLst>
    </cacheHierarchy>
    <cacheHierarchy uniqueName="[Measures].[Recuento de TIPO]" caption="Recuento de TIPO" measure="1" displayFolder="" measureGroup="extras" count="0" hidden="1">
      <extLst>
        <ext xmlns:x15="http://schemas.microsoft.com/office/spreadsheetml/2010/11/main" uri="{B97F6D7D-B522-45F9-BDA1-12C45D357490}">
          <x15:cacheHierarchy aggregatedColumn="30"/>
        </ext>
      </extLst>
    </cacheHierarchy>
    <cacheHierarchy uniqueName="[Measures].[Suma de PAGO]" caption="Suma de PAGO" measure="1" displayFolder="" measureGroup="CHASIS" count="0" hidden="1">
      <extLst>
        <ext xmlns:x15="http://schemas.microsoft.com/office/spreadsheetml/2010/11/main" uri="{B97F6D7D-B522-45F9-BDA1-12C45D357490}">
          <x15:cacheHierarchy aggregatedColumn="14"/>
        </ext>
      </extLst>
    </cacheHierarchy>
    <cacheHierarchy uniqueName="[Measures].[Suma de P/U]" caption="Suma de P/U" measure="1" displayFolder="" measureGroup="CHASIS" count="0" hidden="1">
      <extLst>
        <ext xmlns:x15="http://schemas.microsoft.com/office/spreadsheetml/2010/11/main" uri="{B97F6D7D-B522-45F9-BDA1-12C45D357490}">
          <x15:cacheHierarchy aggregatedColumn="13"/>
        </ext>
      </extLst>
    </cacheHierarchy>
    <cacheHierarchy uniqueName="[Measures].[Suma de ADEUDO]" caption="Suma de ADEUDO" measure="1" displayFolder="" measureGroup="CHASIS" count="0" hidden="1">
      <extLst>
        <ext xmlns:x15="http://schemas.microsoft.com/office/spreadsheetml/2010/11/main" uri="{B97F6D7D-B522-45F9-BDA1-12C45D357490}">
          <x15:cacheHierarchy aggregatedColumn="15"/>
        </ext>
      </extLst>
    </cacheHierarchy>
  </cacheHierarchies>
  <kpis count="0"/>
  <dimensions count="15">
    <dimension name="ACERO 1" uniqueName="[ACERO 1]" caption="ACERO 1"/>
    <dimension name="CHASIS" uniqueName="[CHASIS]" caption="CHASIS"/>
    <dimension name="clientes" uniqueName="[clientes]" caption="clientes"/>
    <dimension name="extras" uniqueName="[extras]" caption="extras"/>
    <dimension measure="1" name="Measures" uniqueName="[Measures]" caption="Measures"/>
    <dimension name="otros" uniqueName="[otros]" caption="otros"/>
    <dimension name="Page001" uniqueName="[Page001]" caption="Page001"/>
    <dimension name="Page002" uniqueName="[Page002]" caption="Page002"/>
    <dimension name="Page003" uniqueName="[Page003]" caption="Page003"/>
    <dimension name="piramide" uniqueName="[piramide]" caption="piramide"/>
    <dimension name="Tabla24" uniqueName="[Tabla24]" caption="Tabla24"/>
    <dimension name="Table001  Page 1" uniqueName="[Table001  Page 1]" caption="Table001  Page 1"/>
    <dimension name="Table002  Page 3" uniqueName="[Table002  Page 3]" caption="Table002  Page 3"/>
    <dimension name="Table004  Page 3" uniqueName="[Table004  Page 3]" caption="Table004  Page 3"/>
    <dimension name="truckzone" uniqueName="[truckzone]" caption="truckzone"/>
  </dimensions>
  <measureGroups count="14">
    <measureGroup name="ACERO 1" caption="ACERO 1"/>
    <measureGroup name="CHASIS" caption="CHASIS"/>
    <measureGroup name="clientes" caption="clientes"/>
    <measureGroup name="extras" caption="extras"/>
    <measureGroup name="otros" caption="otros"/>
    <measureGroup name="Page001" caption="Page001"/>
    <measureGroup name="Page002" caption="Page002"/>
    <measureGroup name="Page003" caption="Page003"/>
    <measureGroup name="piramide" caption="piramide"/>
    <measureGroup name="Tabla24" caption="Tabla24"/>
    <measureGroup name="Table001  Page 1" caption="Table001  Page 1"/>
    <measureGroup name="Table002  Page 3" caption="Table002  Page 3"/>
    <measureGroup name="Table004  Page 3" caption="Table004  Page 3"/>
    <measureGroup name="truckzone" caption="truckzone"/>
  </measureGroups>
  <maps count="19">
    <map measureGroup="0" dimension="0"/>
    <map measureGroup="0" dimension="10"/>
    <map measureGroup="1" dimension="1"/>
    <map measureGroup="2" dimension="2"/>
    <map measureGroup="3" dimension="3"/>
    <map measureGroup="3" dimension="10"/>
    <map measureGroup="4" dimension="5"/>
    <map measureGroup="4" dimension="10"/>
    <map measureGroup="5" dimension="6"/>
    <map measureGroup="6" dimension="7"/>
    <map measureGroup="7" dimension="8"/>
    <map measureGroup="8" dimension="9"/>
    <map measureGroup="8" dimension="10"/>
    <map measureGroup="9" dimension="10"/>
    <map measureGroup="10" dimension="11"/>
    <map measureGroup="11" dimension="12"/>
    <map measureGroup="12" dimension="13"/>
    <map measureGroup="13" dimension="10"/>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olca" refreshedDate="45201.386394675923" backgroundQuery="1" createdVersion="5" refreshedVersion="8" minRefreshableVersion="3" recordCount="0" supportSubquery="1" supportAdvancedDrill="1" xr:uid="{A083D3CD-3D5A-4CF5-A978-922B26BE23D2}">
  <cacheSource type="external" connectionId="8"/>
  <cacheFields count="2">
    <cacheField name="[Tabla24].[NOMBRE].[NOMBRE]" caption="NOMBRE" numFmtId="0" hierarchy="71" level="1">
      <sharedItems containsSemiMixedTypes="0" containsNonDate="0" containsString="0"/>
    </cacheField>
    <cacheField name="[Tabla24].[TIPO].[TIPO]" caption="TIPO" numFmtId="0" hierarchy="72" level="1">
      <sharedItems containsSemiMixedTypes="0" containsNonDate="0" containsString="0"/>
    </cacheField>
  </cacheFields>
  <cacheHierarchies count="130">
    <cacheHierarchy uniqueName="[ACERO 1].[PZAS]" caption="PZAS" attribute="1" defaultMemberUniqueName="[ACERO 1].[PZAS].[All]" allUniqueName="[ACERO 1].[PZAS].[All]" dimensionUniqueName="[ACERO 1]" displayFolder="" count="0" memberValueDatatype="5" unbalanced="0"/>
    <cacheHierarchy uniqueName="[ACERO 1].[TIPO]" caption="TIPO" attribute="1" defaultMemberUniqueName="[ACERO 1].[TIPO].[All]" allUniqueName="[ACERO 1].[TIPO].[All]" dimensionUniqueName="[ACERO 1]" displayFolder="" count="0" memberValueDatatype="130" unbalanced="0"/>
    <cacheHierarchy uniqueName="[ACERO 1].[NOMBRE]" caption="NOMBRE" attribute="1" defaultMemberUniqueName="[ACERO 1].[NOMBRE].[All]" allUniqueName="[ACERO 1].[NOMBRE].[All]" dimensionUniqueName="[ACERO 1]" displayFolder="" count="0" memberValueDatatype="130" unbalanced="0"/>
    <cacheHierarchy uniqueName="[ACERO 1].[MATERIAL / ACCESORIO]" caption="MATERIAL / ACCESORIO" attribute="1" defaultMemberUniqueName="[ACERO 1].[MATERIAL / ACCESORIO].[All]" allUniqueName="[ACERO 1].[MATERIAL / ACCESORIO].[All]" dimensionUniqueName="[ACERO 1]" displayFolder="" count="0" memberValueDatatype="130" unbalanced="0"/>
    <cacheHierarchy uniqueName="[ACERO 1].[PRECIO $ C/U]" caption="PRECIO $ C/U" attribute="1" defaultMemberUniqueName="[ACERO 1].[PRECIO $ C/U].[All]" allUniqueName="[ACERO 1].[PRECIO $ C/U].[All]" dimensionUniqueName="[ACERO 1]" displayFolder="" count="0" memberValueDatatype="5" unbalanced="0"/>
    <cacheHierarchy uniqueName="[ACERO 1].[IMP POR POYECTO]" caption="IMP POR POYECTO" attribute="1" defaultMemberUniqueName="[ACERO 1].[IMP POR POYECTO].[All]" allUniqueName="[ACERO 1].[IMP POR POYECTO].[All]" dimensionUniqueName="[ACERO 1]" displayFolder="" count="0" memberValueDatatype="5" unbalanced="0"/>
    <cacheHierarchy uniqueName="[ACERO 1].[NUM. DE EJES]" caption="NUM. DE EJES" attribute="1" defaultMemberUniqueName="[ACERO 1].[NUM. DE EJES].[All]" allUniqueName="[ACERO 1].[NUM. DE EJES].[All]" dimensionUniqueName="[ACERO 1]" displayFolder="" count="0" memberValueDatatype="20" unbalanced="0"/>
    <cacheHierarchy uniqueName="[ACERO 1].[LARGO]" caption="LARGO" attribute="1" defaultMemberUniqueName="[ACERO 1].[LARGO].[All]" allUniqueName="[ACERO 1].[LARGO].[All]" dimensionUniqueName="[ACERO 1]" displayFolder="" count="0" memberValueDatatype="130" unbalanced="0"/>
    <cacheHierarchy uniqueName="[ACERO 1].[CLASE]" caption="CLASE" attribute="1" defaultMemberUniqueName="[ACERO 1].[CLASE].[All]" allUniqueName="[ACERO 1].[CLASE].[All]" dimensionUniqueName="[ACERO 1]" displayFolder="" count="0" memberValueDatatype="130" unbalanced="0"/>
    <cacheHierarchy uniqueName="[ACERO 1].[OBSERVACION]" caption="OBSERVACION" attribute="1" defaultMemberUniqueName="[ACERO 1].[OBSERVACION].[All]" allUniqueName="[ACERO 1].[OBSERVACION].[All]" dimensionUniqueName="[ACERO 1]" displayFolder="" count="0" memberValueDatatype="130" unbalanced="0"/>
    <cacheHierarchy uniqueName="[CHASIS].[CLIENTE]" caption="CLIENTE" attribute="1" defaultMemberUniqueName="[CHASIS].[CLIENTE].[All]" allUniqueName="[CHASIS].[CLIENTE].[All]" dimensionUniqueName="[CHASIS]" displayFolder="" count="0" memberValueDatatype="130" unbalanced="0"/>
    <cacheHierarchy uniqueName="[CHASIS].[CHASIS]" caption="CHASIS" attribute="1" defaultMemberUniqueName="[CHASIS].[CHASIS].[All]" allUniqueName="[CHASIS].[CHASIS].[All]" dimensionUniqueName="[CHASIS]" displayFolder="" count="0" memberValueDatatype="130" unbalanced="0"/>
    <cacheHierarchy uniqueName="[CHASIS].[AÑO MODELO]" caption="AÑO MODELO" attribute="1" defaultMemberUniqueName="[CHASIS].[AÑO MODELO].[All]" allUniqueName="[CHASIS].[AÑO MODELO].[All]" dimensionUniqueName="[CHASIS]" displayFolder="" count="0" memberValueDatatype="20" unbalanced="0"/>
    <cacheHierarchy uniqueName="[CHASIS].[P/U]" caption="P/U" attribute="1" defaultMemberUniqueName="[CHASIS].[P/U].[All]" allUniqueName="[CHASIS].[P/U].[All]" dimensionUniqueName="[CHASIS]" displayFolder="" count="0" memberValueDatatype="20" unbalanced="0"/>
    <cacheHierarchy uniqueName="[CHASIS].[PAGO]" caption="PAGO" attribute="1" defaultMemberUniqueName="[CHASIS].[PAGO].[All]" allUniqueName="[CHASIS].[PAGO].[All]" dimensionUniqueName="[CHASIS]" displayFolder="" count="0" memberValueDatatype="20" unbalanced="0"/>
    <cacheHierarchy uniqueName="[CHASIS].[ADEUDO]" caption="ADEUDO" attribute="1" defaultMemberUniqueName="[CHASIS].[ADEUDO].[All]" allUniqueName="[CHASIS].[ADEUDO].[All]" dimensionUniqueName="[CHASIS]" displayFolder="" count="0" memberValueDatatype="20" unbalanced="0"/>
    <cacheHierarchy uniqueName="[CHASIS].[FACTURA]" caption="FACTURA" attribute="1" defaultMemberUniqueName="[CHASIS].[FACTURA].[All]" allUniqueName="[CHASIS].[FACTURA].[All]" dimensionUniqueName="[CHASIS]" displayFolder="" count="0" memberValueDatatype="130" unbalanced="0"/>
    <cacheHierarchy uniqueName="[CHASIS].[FECHE/ENTRGA]" caption="FECHE/ENTRGA" attribute="1" time="1" defaultMemberUniqueName="[CHASIS].[FECHE/ENTRGA].[All]" allUniqueName="[CHASIS].[FECHE/ENTRGA].[All]" dimensionUniqueName="[CHASIS]" displayFolder="" count="0" memberValueDatatype="7" unbalanced="0"/>
    <cacheHierarchy uniqueName="[CHASIS].[PAGADO]" caption="PAGADO" attribute="1" defaultMemberUniqueName="[CHASIS].[PAGADO].[All]" allUniqueName="[CHASIS].[PAGADO].[All]" dimensionUniqueName="[CHASIS]" displayFolder="" count="0" memberValueDatatype="130" unbalanced="0"/>
    <cacheHierarchy uniqueName="[CHASIS].[EQUI. ENTREGADOS]" caption="EQUI. ENTREGADOS" attribute="1" defaultMemberUniqueName="[CHASIS].[EQUI. ENTREGADOS].[All]" allUniqueName="[CHASIS].[EQUI. ENTREGADOS].[All]" dimensionUniqueName="[CHASIS]" displayFolder="" count="0" memberValueDatatype="130" unbalanced="0"/>
    <cacheHierarchy uniqueName="[CHASIS].[FECHE/ENTRGA (mes)]" caption="FECHE/ENTRGA (mes)" attribute="1" defaultMemberUniqueName="[CHASIS].[FECHE/ENTRGA (mes)].[All]" allUniqueName="[CHASIS].[FECHE/ENTRGA (mes)].[All]" dimensionUniqueName="[CHASIS]" displayFolder="" count="0" memberValueDatatype="130" unbalanced="0"/>
    <cacheHierarchy uniqueName="[clientes].[CLIENTE]" caption="CLIENTE" attribute="1" defaultMemberUniqueName="[clientes].[CLIENTE].[All]" allUniqueName="[clientes].[CLIENTE].[All]" dimensionUniqueName="[clientes]" displayFolder="" count="0" memberValueDatatype="130" unbalanced="0"/>
    <cacheHierarchy uniqueName="[clientes].[R. F. C.]" caption="R. F. C." attribute="1" defaultMemberUniqueName="[clientes].[R. F. C.].[All]" allUniqueName="[clientes].[R. F. C.].[All]" dimensionUniqueName="[clientes]" displayFolder="" count="0" memberValueDatatype="130" unbalanced="0"/>
    <cacheHierarchy uniqueName="[clientes].[EMPRESA]" caption="EMPRESA" attribute="1" defaultMemberUniqueName="[clientes].[EMPRESA].[All]" allUniqueName="[clientes].[EMPRESA].[All]" dimensionUniqueName="[clientes]" displayFolder="" count="0" memberValueDatatype="130" unbalanced="0"/>
    <cacheHierarchy uniqueName="[clientes].[CALLE, No., COLONIA]" caption="CALLE, No., COLONIA" attribute="1" defaultMemberUniqueName="[clientes].[CALLE, No., COLONIA].[All]" allUniqueName="[clientes].[CALLE, No., COLONIA].[All]" dimensionUniqueName="[clientes]" displayFolder="" count="0" memberValueDatatype="130" unbalanced="0"/>
    <cacheHierarchy uniqueName="[clientes].[MUNICIPIO, ESTADO, PAIS.]" caption="MUNICIPIO, ESTADO, PAIS." attribute="1" defaultMemberUniqueName="[clientes].[MUNICIPIO, ESTADO, PAIS.].[All]" allUniqueName="[clientes].[MUNICIPIO, ESTADO, PAIS.].[All]" dimensionUniqueName="[clientes]" displayFolder="" count="0" memberValueDatatype="130" unbalanced="0"/>
    <cacheHierarchy uniqueName="[clientes].[C.P.]" caption="C.P." attribute="1" defaultMemberUniqueName="[clientes].[C.P.].[All]" allUniqueName="[clientes].[C.P.].[All]" dimensionUniqueName="[clientes]" displayFolder="" count="0" memberValueDatatype="130" unbalanced="0"/>
    <cacheHierarchy uniqueName="[clientes].[TEL/CEL]" caption="TEL/CEL" attribute="1" defaultMemberUniqueName="[clientes].[TEL/CEL].[All]" allUniqueName="[clientes].[TEL/CEL].[All]" dimensionUniqueName="[clientes]" displayFolder="" count="0" memberValueDatatype="130" unbalanced="0"/>
    <cacheHierarchy uniqueName="[clientes].[CORREO]" caption="CORREO" attribute="1" defaultMemberUniqueName="[clientes].[CORREO].[All]" allUniqueName="[clientes].[CORREO].[All]" dimensionUniqueName="[clientes]" displayFolder="" count="0" memberValueDatatype="130" unbalanced="0"/>
    <cacheHierarchy uniqueName="[extras].[PZAS]" caption="PZAS" attribute="1" defaultMemberUniqueName="[extras].[PZAS].[All]" allUniqueName="[extras].[PZAS].[All]" dimensionUniqueName="[extras]" displayFolder="" count="0" memberValueDatatype="20" unbalanced="0"/>
    <cacheHierarchy uniqueName="[extras].[TIPO]" caption="TIPO" attribute="1" defaultMemberUniqueName="[extras].[TIPO].[All]" allUniqueName="[extras].[TIPO].[All]" dimensionUniqueName="[extras]" displayFolder="" count="0" memberValueDatatype="130" unbalanced="0"/>
    <cacheHierarchy uniqueName="[extras].[NOMBRE]" caption="NOMBRE" attribute="1" defaultMemberUniqueName="[extras].[NOMBRE].[All]" allUniqueName="[extras].[NOMBRE].[All]" dimensionUniqueName="[extras]" displayFolder="" count="0" memberValueDatatype="130" unbalanced="0"/>
    <cacheHierarchy uniqueName="[extras].[MATERIAL / ACCESORIO]" caption="MATERIAL / ACCESORIO" attribute="1" defaultMemberUniqueName="[extras].[MATERIAL / ACCESORIO].[All]" allUniqueName="[extras].[MATERIAL / ACCESORIO].[All]" dimensionUniqueName="[extras]" displayFolder="" count="0" memberValueDatatype="130" unbalanced="0"/>
    <cacheHierarchy uniqueName="[extras].[CLASE]" caption="CLASE" attribute="1" defaultMemberUniqueName="[extras].[CLASE].[All]" allUniqueName="[extras].[CLASE].[All]" dimensionUniqueName="[extras]" displayFolder="" count="0" memberValueDatatype="130" unbalanced="0"/>
    <cacheHierarchy uniqueName="[extras].[PRECIO $ C/U]" caption="PRECIO $ C/U" attribute="1" defaultMemberUniqueName="[extras].[PRECIO $ C/U].[All]" allUniqueName="[extras].[PRECIO $ C/U].[All]" dimensionUniqueName="[extras]" displayFolder="" count="0" memberValueDatatype="20" unbalanced="0"/>
    <cacheHierarchy uniqueName="[extras].[IMP POR POYECTO]" caption="IMP POR POYECTO" attribute="1" defaultMemberUniqueName="[extras].[IMP POR POYECTO].[All]" allUniqueName="[extras].[IMP POR POYECTO].[All]" dimensionUniqueName="[extras]" displayFolder="" count="0" memberValueDatatype="20" unbalanced="0"/>
    <cacheHierarchy uniqueName="[extras].[NUM. DE EJES]" caption="NUM. DE EJES" attribute="1" defaultMemberUniqueName="[extras].[NUM. DE EJES].[All]" allUniqueName="[extras].[NUM. DE EJES].[All]" dimensionUniqueName="[extras]" displayFolder="" count="0" memberValueDatatype="20" unbalanced="0"/>
    <cacheHierarchy uniqueName="[extras].[LARGO]" caption="LARGO" attribute="1" defaultMemberUniqueName="[extras].[LARGO].[All]" allUniqueName="[extras].[LARGO].[All]" dimensionUniqueName="[extras]" displayFolder="" count="0" memberValueDatatype="130" unbalanced="0"/>
    <cacheHierarchy uniqueName="[extras].[OBSERVACION]" caption="OBSERVACION" attribute="1" defaultMemberUniqueName="[extras].[OBSERVACION].[All]" allUniqueName="[extras].[OBSERVACION].[All]" dimensionUniqueName="[extras]" displayFolder="" count="0" memberValueDatatype="130" unbalanced="0"/>
    <cacheHierarchy uniqueName="[otros].[PZAS]" caption="PZAS" attribute="1" defaultMemberUniqueName="[otros].[PZAS].[All]" allUniqueName="[otros].[PZAS].[All]" dimensionUniqueName="[otros]" displayFolder="" count="0" memberValueDatatype="5" unbalanced="0"/>
    <cacheHierarchy uniqueName="[otros].[TIPO]" caption="TIPO" attribute="1" defaultMemberUniqueName="[otros].[TIPO].[All]" allUniqueName="[otros].[TIPO].[All]" dimensionUniqueName="[otros]" displayFolder="" count="0" memberValueDatatype="130" unbalanced="0"/>
    <cacheHierarchy uniqueName="[otros].[NOMBRE]" caption="NOMBRE" attribute="1" defaultMemberUniqueName="[otros].[NOMBRE].[All]" allUniqueName="[otros].[NOMBRE].[All]" dimensionUniqueName="[otros]" displayFolder="" count="0" memberValueDatatype="130" unbalanced="0"/>
    <cacheHierarchy uniqueName="[otros].[MATERIAL / ACCESORIO]" caption="MATERIAL / ACCESORIO" attribute="1" defaultMemberUniqueName="[otros].[MATERIAL / ACCESORIO].[All]" allUniqueName="[otros].[MATERIAL / ACCESORIO].[All]" dimensionUniqueName="[otros]" displayFolder="" count="0" memberValueDatatype="130" unbalanced="0"/>
    <cacheHierarchy uniqueName="[otros].[PRECIO $ C/U]" caption="PRECIO $ C/U" attribute="1" defaultMemberUniqueName="[otros].[PRECIO $ C/U].[All]" allUniqueName="[otros].[PRECIO $ C/U].[All]" dimensionUniqueName="[otros]" displayFolder="" count="0" memberValueDatatype="20" unbalanced="0"/>
    <cacheHierarchy uniqueName="[otros].[IMP POR POYECTO]" caption="IMP POR POYECTO" attribute="1" defaultMemberUniqueName="[otros].[IMP POR POYECTO].[All]" allUniqueName="[otros].[IMP POR POYECTO].[All]" dimensionUniqueName="[otros]" displayFolder="" count="0" memberValueDatatype="5" unbalanced="0"/>
    <cacheHierarchy uniqueName="[otros].[NUM. DE EJES]" caption="NUM. DE EJES" attribute="1" defaultMemberUniqueName="[otros].[NUM. DE EJES].[All]" allUniqueName="[otros].[NUM. DE EJES].[All]" dimensionUniqueName="[otros]" displayFolder="" count="0" memberValueDatatype="20" unbalanced="0"/>
    <cacheHierarchy uniqueName="[otros].[LARGO]" caption="LARGO" attribute="1" defaultMemberUniqueName="[otros].[LARGO].[All]" allUniqueName="[otros].[LARGO].[All]" dimensionUniqueName="[otros]" displayFolder="" count="0" memberValueDatatype="130" unbalanced="0"/>
    <cacheHierarchy uniqueName="[otros].[CLASE]" caption="CLASE" attribute="1" defaultMemberUniqueName="[otros].[CLASE].[All]" allUniqueName="[otros].[CLASE].[All]" dimensionUniqueName="[otros]" displayFolder="" count="0" memberValueDatatype="130" unbalanced="0"/>
    <cacheHierarchy uniqueName="[otros].[OBSERVACION]" caption="OBSERVACION" attribute="1" defaultMemberUniqueName="[otros].[OBSERVACION].[All]" allUniqueName="[otros].[OBSERVACION].[All]" dimensionUniqueName="[otros]" displayFolder="" count="0" memberValueDatatype="130" unbalanced="0"/>
    <cacheHierarchy uniqueName="[Page001].[Column1]" caption="Column1" attribute="1" defaultMemberUniqueName="[Page001].[Column1].[All]" allUniqueName="[Page001].[Column1].[All]" dimensionUniqueName="[Page001]" displayFolder="" count="0" memberValueDatatype="130" unbalanced="0"/>
    <cacheHierarchy uniqueName="[Page001].[Column2]" caption="Column2" attribute="1" defaultMemberUniqueName="[Page001].[Column2].[All]" allUniqueName="[Page001].[Column2].[All]" dimensionUniqueName="[Page001]" displayFolder="" count="0" memberValueDatatype="130" unbalanced="0"/>
    <cacheHierarchy uniqueName="[Page001].[Column3]" caption="Column3" attribute="1" defaultMemberUniqueName="[Page001].[Column3].[All]" allUniqueName="[Page001].[Column3].[All]" dimensionUniqueName="[Page001]" displayFolder="" count="0" memberValueDatatype="130" unbalanced="0"/>
    <cacheHierarchy uniqueName="[Page001].[Column4]" caption="Column4" attribute="1" defaultMemberUniqueName="[Page001].[Column4].[All]" allUniqueName="[Page001].[Column4].[All]" dimensionUniqueName="[Page001]" displayFolder="" count="0" memberValueDatatype="130" unbalanced="0"/>
    <cacheHierarchy uniqueName="[Page001].[Column5]" caption="Column5" attribute="1" defaultMemberUniqueName="[Page001].[Column5].[All]" allUniqueName="[Page001].[Column5].[All]" dimensionUniqueName="[Page001]" displayFolder="" count="0" memberValueDatatype="130" unbalanced="0"/>
    <cacheHierarchy uniqueName="[Page002].[Column1]" caption="Column1" attribute="1" defaultMemberUniqueName="[Page002].[Column1].[All]" allUniqueName="[Page002].[Column1].[All]" dimensionUniqueName="[Page002]" displayFolder="" count="0" memberValueDatatype="130" unbalanced="0"/>
    <cacheHierarchy uniqueName="[Page002].[Column2]" caption="Column2" attribute="1" defaultMemberUniqueName="[Page002].[Column2].[All]" allUniqueName="[Page002].[Column2].[All]" dimensionUniqueName="[Page002]" displayFolder="" count="0" memberValueDatatype="130" unbalanced="0"/>
    <cacheHierarchy uniqueName="[Page003].[Column1]" caption="Column1" attribute="1" defaultMemberUniqueName="[Page003].[Column1].[All]" allUniqueName="[Page003].[Column1].[All]" dimensionUniqueName="[Page003]" displayFolder="" count="0" memberValueDatatype="130" unbalanced="0"/>
    <cacheHierarchy uniqueName="[Page003].[Column2]" caption="Column2" attribute="1" defaultMemberUniqueName="[Page003].[Column2].[All]" allUniqueName="[Page003].[Column2].[All]" dimensionUniqueName="[Page003]" displayFolder="" count="0" memberValueDatatype="130" unbalanced="0"/>
    <cacheHierarchy uniqueName="[Page003].[Column3]" caption="Column3" attribute="1" defaultMemberUniqueName="[Page003].[Column3].[All]" allUniqueName="[Page003].[Column3].[All]" dimensionUniqueName="[Page003]" displayFolder="" count="0" memberValueDatatype="130" unbalanced="0"/>
    <cacheHierarchy uniqueName="[Page003].[Column4]" caption="Column4" attribute="1" defaultMemberUniqueName="[Page003].[Column4].[All]" allUniqueName="[Page003].[Column4].[All]" dimensionUniqueName="[Page003]" displayFolder="" count="0" memberValueDatatype="130" unbalanced="0"/>
    <cacheHierarchy uniqueName="[Page003].[Column5]" caption="Column5" attribute="1" defaultMemberUniqueName="[Page003].[Column5].[All]" allUniqueName="[Page003].[Column5].[All]" dimensionUniqueName="[Page003]" displayFolder="" count="0" memberValueDatatype="130" unbalanced="0"/>
    <cacheHierarchy uniqueName="[piramide].[PZAS]" caption="PZAS" attribute="1" defaultMemberUniqueName="[piramide].[PZAS].[All]" allUniqueName="[piramide].[PZAS].[All]" dimensionUniqueName="[piramide]" displayFolder="" count="0" memberValueDatatype="5" unbalanced="0"/>
    <cacheHierarchy uniqueName="[piramide].[TIPO]" caption="TIPO" attribute="1" defaultMemberUniqueName="[piramide].[TIPO].[All]" allUniqueName="[piramide].[TIPO].[All]" dimensionUniqueName="[piramide]" displayFolder="" count="0" memberValueDatatype="130" unbalanced="0"/>
    <cacheHierarchy uniqueName="[piramide].[NOMBRE]" caption="NOMBRE" attribute="1" defaultMemberUniqueName="[piramide].[NOMBRE].[All]" allUniqueName="[piramide].[NOMBRE].[All]" dimensionUniqueName="[piramide]" displayFolder="" count="0" memberValueDatatype="130" unbalanced="0"/>
    <cacheHierarchy uniqueName="[piramide].[MATERIAL / ACCESORIO]" caption="MATERIAL / ACCESORIO" attribute="1" defaultMemberUniqueName="[piramide].[MATERIAL / ACCESORIO].[All]" allUniqueName="[piramide].[MATERIAL / ACCESORIO].[All]" dimensionUniqueName="[piramide]" displayFolder="" count="0" memberValueDatatype="130" unbalanced="0"/>
    <cacheHierarchy uniqueName="[piramide].[PRECIO $ C/U]" caption="PRECIO $ C/U" attribute="1" defaultMemberUniqueName="[piramide].[PRECIO $ C/U].[All]" allUniqueName="[piramide].[PRECIO $ C/U].[All]" dimensionUniqueName="[piramide]" displayFolder="" count="0" memberValueDatatype="5" unbalanced="0"/>
    <cacheHierarchy uniqueName="[piramide].[IMP POR POYECTO]" caption="IMP POR POYECTO" attribute="1" defaultMemberUniqueName="[piramide].[IMP POR POYECTO].[All]" allUniqueName="[piramide].[IMP POR POYECTO].[All]" dimensionUniqueName="[piramide]" displayFolder="" count="0" memberValueDatatype="5" unbalanced="0"/>
    <cacheHierarchy uniqueName="[piramide].[NUM. DE EJES]" caption="NUM. DE EJES" attribute="1" defaultMemberUniqueName="[piramide].[NUM. DE EJES].[All]" allUniqueName="[piramide].[NUM. DE EJES].[All]" dimensionUniqueName="[piramide]" displayFolder="" count="0" memberValueDatatype="20" unbalanced="0"/>
    <cacheHierarchy uniqueName="[piramide].[LARGO]" caption="LARGO" attribute="1" defaultMemberUniqueName="[piramide].[LARGO].[All]" allUniqueName="[piramide].[LARGO].[All]" dimensionUniqueName="[piramide]" displayFolder="" count="0" memberValueDatatype="130" unbalanced="0"/>
    <cacheHierarchy uniqueName="[piramide].[CLASE]" caption="CLASE" attribute="1" defaultMemberUniqueName="[piramide].[CLASE].[All]" allUniqueName="[piramide].[CLASE].[All]" dimensionUniqueName="[piramide]" displayFolder="" count="0" memberValueDatatype="130" unbalanced="0"/>
    <cacheHierarchy uniqueName="[piramide].[OBSERVACION]" caption="OBSERVACION" attribute="1" defaultMemberUniqueName="[piramide].[OBSERVACION].[All]" allUniqueName="[piramide].[OBSERVACION].[All]" dimensionUniqueName="[piramide]" displayFolder="" count="0" memberValueDatatype="130" unbalanced="0"/>
    <cacheHierarchy uniqueName="[Tabla24].[NOMBRE]" caption="NOMBRE" attribute="1" defaultMemberUniqueName="[Tabla24].[NOMBRE].[All]" allUniqueName="[Tabla24].[NOMBRE].[All]" dimensionUniqueName="[Tabla24]" displayFolder="" count="2" memberValueDatatype="130" unbalanced="0">
      <fieldsUsage count="2">
        <fieldUsage x="-1"/>
        <fieldUsage x="0"/>
      </fieldsUsage>
    </cacheHierarchy>
    <cacheHierarchy uniqueName="[Tabla24].[TIPO]" caption="TIPO" attribute="1" defaultMemberUniqueName="[Tabla24].[TIPO].[All]" allUniqueName="[Tabla24].[TIPO].[All]" dimensionUniqueName="[Tabla24]" displayFolder="" count="2" memberValueDatatype="130" unbalanced="0">
      <fieldsUsage count="2">
        <fieldUsage x="-1"/>
        <fieldUsage x="1"/>
      </fieldsUsage>
    </cacheHierarchy>
    <cacheHierarchy uniqueName="[Tabla24].[NUM. DE EJES]" caption="NUM. DE EJES" attribute="1" defaultMemberUniqueName="[Tabla24].[NUM. DE EJES].[All]" allUniqueName="[Tabla24].[NUM. DE EJES].[All]" dimensionUniqueName="[Tabla24]" displayFolder="" count="0" memberValueDatatype="20" unbalanced="0"/>
    <cacheHierarchy uniqueName="[Tabla24].[LARGO]" caption="LARGO" attribute="1" defaultMemberUniqueName="[Tabla24].[LARGO].[All]" allUniqueName="[Tabla24].[LARGO].[All]" dimensionUniqueName="[Tabla24]" displayFolder="" count="0" memberValueDatatype="130" unbalanced="0"/>
    <cacheHierarchy uniqueName="[Tabla24].[CONCAT]" caption="CONCAT" attribute="1" defaultMemberUniqueName="[Tabla24].[CONCAT].[All]" allUniqueName="[Tabla24].[CONCAT].[All]" dimensionUniqueName="[Tabla24]" displayFolder="" count="0" memberValueDatatype="130" unbalanced="0"/>
    <cacheHierarchy uniqueName="[Tabla24].[Peso Vehicular]" caption="Peso Vehicular" attribute="1" defaultMemberUniqueName="[Tabla24].[Peso Vehicular].[All]" allUniqueName="[Tabla24].[Peso Vehicular].[All]" dimensionUniqueName="[Tabla24]" displayFolder="" count="0" memberValueDatatype="20" unbalanced="0"/>
    <cacheHierarchy uniqueName="[Tabla24].[PBVD:]" caption="PBVD:" attribute="1" defaultMemberUniqueName="[Tabla24].[PBVD:].[All]" allUniqueName="[Tabla24].[PBVD:].[All]" dimensionUniqueName="[Tabla24]" displayFolder="" count="0" memberValueDatatype="20" unbalanced="0"/>
    <cacheHierarchy uniqueName="[Tabla24].[Modelo ABS:]" caption="Modelo ABS:" attribute="1" defaultMemberUniqueName="[Tabla24].[Modelo ABS:].[All]" allUniqueName="[Tabla24].[Modelo ABS:].[All]" dimensionUniqueName="[Tabla24]" displayFolder="" count="0" memberValueDatatype="130" unbalanced="0"/>
    <cacheHierarchy uniqueName="[Tabla24].[CDE ejes traseros:]" caption="CDE ejes traseros:" attribute="1" defaultMemberUniqueName="[Tabla24].[CDE ejes traseros:].[All]" allUniqueName="[Tabla24].[CDE ejes traseros:].[All]" dimensionUniqueName="[Tabla24]" displayFolder="" count="0" memberValueDatatype="20" unbalanced="0"/>
    <cacheHierarchy uniqueName="[Tabla24].[Número de llantas:]" caption="Número de llantas:" attribute="1" defaultMemberUniqueName="[Tabla24].[Número de llantas:].[All]" allUniqueName="[Tabla24].[Número de llantas:].[All]" dimensionUniqueName="[Tabla24]" displayFolder="" count="0" memberValueDatatype="20" unbalanced="0"/>
    <cacheHierarchy uniqueName="[Tabla24].[Capacidad de eje en posición de montaje:]" caption="Capacidad de eje en posición de montaje:" attribute="1" defaultMemberUniqueName="[Tabla24].[Capacidad de eje en posición de montaje:].[All]" allUniqueName="[Tabla24].[Capacidad de eje en posición de montaje:].[All]" dimensionUniqueName="[Tabla24]" displayFolder="" count="0" memberValueDatatype="20" unbalanced="0"/>
    <cacheHierarchy uniqueName="[Tabla24].[Capacidad de espigas de eje:]" caption="Capacidad de espigas de eje:" attribute="1" defaultMemberUniqueName="[Tabla24].[Capacidad de espigas de eje:].[All]" allUniqueName="[Tabla24].[Capacidad de espigas de eje:].[All]" dimensionUniqueName="[Tabla24]" displayFolder="" count="0" memberValueDatatype="20" unbalanced="0"/>
    <cacheHierarchy uniqueName="[Tabla24].[Longitud]" caption="Longitud" attribute="1" defaultMemberUniqueName="[Tabla24].[Longitud].[All]" allUniqueName="[Tabla24].[Longitud].[All]" dimensionUniqueName="[Tabla24]" displayFolder="" count="0" memberValueDatatype="5" unbalanced="0"/>
    <cacheHierarchy uniqueName="[Table001  Page 1].[Column1]" caption="Column1" attribute="1" defaultMemberUniqueName="[Table001  Page 1].[Column1].[All]" allUniqueName="[Table001  Page 1].[Column1].[All]" dimensionUniqueName="[Table001  Page 1]" displayFolder="" count="0" memberValueDatatype="130" unbalanced="0"/>
    <cacheHierarchy uniqueName="[Table002  Page 3].[Column1]" caption="Column1" attribute="1" defaultMemberUniqueName="[Table002  Page 3].[Column1].[All]" allUniqueName="[Table002  Page 3].[Column1].[All]" dimensionUniqueName="[Table002  Page 3]" displayFolder="" count="0" memberValueDatatype="130" unbalanced="0"/>
    <cacheHierarchy uniqueName="[Table002  Page 3].[Column2]" caption="Column2" attribute="1" defaultMemberUniqueName="[Table002  Page 3].[Column2].[All]" allUniqueName="[Table002  Page 3].[Column2].[All]" dimensionUniqueName="[Table002  Page 3]" displayFolder="" count="0" memberValueDatatype="130" unbalanced="0"/>
    <cacheHierarchy uniqueName="[Table004  Page 3].[Column1]" caption="Column1" attribute="1" defaultMemberUniqueName="[Table004  Page 3].[Column1].[All]" allUniqueName="[Table004  Page 3].[Column1].[All]" dimensionUniqueName="[Table004  Page 3]" displayFolder="" count="0" memberValueDatatype="130" unbalanced="0"/>
    <cacheHierarchy uniqueName="[Table004  Page 3].[Column2]" caption="Column2" attribute="1" defaultMemberUniqueName="[Table004  Page 3].[Column2].[All]" allUniqueName="[Table004  Page 3].[Column2].[All]" dimensionUniqueName="[Table004  Page 3]" displayFolder="" count="0" memberValueDatatype="130" unbalanced="0"/>
    <cacheHierarchy uniqueName="[truckzone].[PZAS]" caption="PZAS" attribute="1" defaultMemberUniqueName="[truckzone].[PZAS].[All]" allUniqueName="[truckzone].[PZAS].[All]" dimensionUniqueName="[truckzone]" displayFolder="" count="0" memberValueDatatype="5" unbalanced="0"/>
    <cacheHierarchy uniqueName="[truckzone].[TIPO]" caption="TIPO" attribute="1" defaultMemberUniqueName="[truckzone].[TIPO].[All]" allUniqueName="[truckzone].[TIPO].[All]" dimensionUniqueName="[truckzone]" displayFolder="" count="0" memberValueDatatype="130" unbalanced="0"/>
    <cacheHierarchy uniqueName="[truckzone].[NOMBRE]" caption="NOMBRE" attribute="1" defaultMemberUniqueName="[truckzone].[NOMBRE].[All]" allUniqueName="[truckzone].[NOMBRE].[All]" dimensionUniqueName="[truckzone]" displayFolder="" count="0" memberValueDatatype="130" unbalanced="0"/>
    <cacheHierarchy uniqueName="[truckzone].[MATERIAL / ACCESORIO]" caption="MATERIAL / ACCESORIO" attribute="1" defaultMemberUniqueName="[truckzone].[MATERIAL / ACCESORIO].[All]" allUniqueName="[truckzone].[MATERIAL / ACCESORIO].[All]" dimensionUniqueName="[truckzone]" displayFolder="" count="0" memberValueDatatype="130" unbalanced="0"/>
    <cacheHierarchy uniqueName="[truckzone].[PRECIO $ C/U]" caption="PRECIO $ C/U" attribute="1" defaultMemberUniqueName="[truckzone].[PRECIO $ C/U].[All]" allUniqueName="[truckzone].[PRECIO $ C/U].[All]" dimensionUniqueName="[truckzone]" displayFolder="" count="0" memberValueDatatype="5" unbalanced="0"/>
    <cacheHierarchy uniqueName="[truckzone].[IMP POR POYECTO]" caption="IMP POR POYECTO" attribute="1" defaultMemberUniqueName="[truckzone].[IMP POR POYECTO].[All]" allUniqueName="[truckzone].[IMP POR POYECTO].[All]" dimensionUniqueName="[truckzone]" displayFolder="" count="0" memberValueDatatype="5" unbalanced="0"/>
    <cacheHierarchy uniqueName="[truckzone].[NUM. DE EJES]" caption="NUM. DE EJES" attribute="1" defaultMemberUniqueName="[truckzone].[NUM. DE EJES].[All]" allUniqueName="[truckzone].[NUM. DE EJES].[All]" dimensionUniqueName="[truckzone]" displayFolder="" count="0" memberValueDatatype="20" unbalanced="0"/>
    <cacheHierarchy uniqueName="[truckzone].[LARGO]" caption="LARGO" attribute="1" defaultMemberUniqueName="[truckzone].[LARGO].[All]" allUniqueName="[truckzone].[LARGO].[All]" dimensionUniqueName="[truckzone]" displayFolder="" count="0" memberValueDatatype="130" unbalanced="0"/>
    <cacheHierarchy uniqueName="[truckzone].[CLASE]" caption="CLASE" attribute="1" defaultMemberUniqueName="[truckzone].[CLASE].[All]" allUniqueName="[truckzone].[CLASE].[All]" dimensionUniqueName="[truckzone]" displayFolder="" count="0" memberValueDatatype="130" unbalanced="0"/>
    <cacheHierarchy uniqueName="[truckzone].[OBSERVACION]" caption="OBSERVACION" attribute="1" defaultMemberUniqueName="[truckzone].[OBSERVACION].[All]" allUniqueName="[truckzone].[OBSERVACION].[All]" dimensionUniqueName="[truckzone]" displayFolder="" count="0" memberValueDatatype="130" unbalanced="0"/>
    <cacheHierarchy uniqueName="[CHASIS].[FECHE/ENTRGA (índice de meses)]" caption="FECHE/ENTRGA (índice de meses)" attribute="1" defaultMemberUniqueName="[CHASIS].[FECHE/ENTRGA (índice de meses)].[All]" allUniqueName="[CHASIS].[FECHE/ENTRGA (índice de meses)].[All]" dimensionUniqueName="[CHASIS]" displayFolder="" count="0" memberValueDatatype="20" unbalanced="0" hidden="1"/>
    <cacheHierarchy uniqueName="[Measures].[__XL_Count extras]" caption="__XL_Count extras" measure="1" displayFolder="" measureGroup="extras" count="0" hidden="1"/>
    <cacheHierarchy uniqueName="[Measures].[__XL_Count otros]" caption="__XL_Count otros" measure="1" displayFolder="" measureGroup="otros" count="0" hidden="1"/>
    <cacheHierarchy uniqueName="[Measures].[__XL_Count piramide]" caption="__XL_Count piramide" measure="1" displayFolder="" measureGroup="piramide" count="0" hidden="1"/>
    <cacheHierarchy uniqueName="[Measures].[__XL_Count truckzone]" caption="__XL_Count truckzone" measure="1" displayFolder="" measureGroup="truckzone" count="0" hidden="1"/>
    <cacheHierarchy uniqueName="[Measures].[__XL_Count Tabla24]" caption="__XL_Count Tabla24" measure="1" displayFolder="" measureGroup="Tabla24" count="0" hidden="1"/>
    <cacheHierarchy uniqueName="[Measures].[__XL_Count ACERO 1]" caption="__XL_Count ACERO 1" measure="1" displayFolder="" measureGroup="ACERO 1" count="0" hidden="1"/>
    <cacheHierarchy uniqueName="[Measures].[__XL_Count Table001  Page 1]" caption="__XL_Count Table001  Page 1" measure="1" displayFolder="" measureGroup="Table001  Page 1" count="0" hidden="1"/>
    <cacheHierarchy uniqueName="[Measures].[__XL_Count Table002  Page 3]" caption="__XL_Count Table002  Page 3" measure="1" displayFolder="" measureGroup="Table002  Page 3" count="0" hidden="1"/>
    <cacheHierarchy uniqueName="[Measures].[__XL_Count Table004  Page 3]" caption="__XL_Count Table004  Page 3" measure="1" displayFolder="" measureGroup="Table004  Page 3" count="0" hidden="1"/>
    <cacheHierarchy uniqueName="[Measures].[__XL_Count Page001]" caption="__XL_Count Page001" measure="1" displayFolder="" measureGroup="Page001" count="0" hidden="1"/>
    <cacheHierarchy uniqueName="[Measures].[__XL_Count Page003]" caption="__XL_Count Page003" measure="1" displayFolder="" measureGroup="Page003" count="0" hidden="1"/>
    <cacheHierarchy uniqueName="[Measures].[__XL_Count Page002]" caption="__XL_Count Page002" measure="1" displayFolder="" measureGroup="Page002" count="0" hidden="1"/>
    <cacheHierarchy uniqueName="[Measures].[__XL_Count CHASIS]" caption="__XL_Count CHASIS" measure="1" displayFolder="" measureGroup="CHASIS" count="0" hidden="1"/>
    <cacheHierarchy uniqueName="[Measures].[__XL_Count clientes]" caption="__XL_Count clientes" measure="1" displayFolder="" measureGroup="clientes" count="0" hidden="1"/>
    <cacheHierarchy uniqueName="[Measures].[__No measures defined]" caption="__No measures defined" measure="1" displayFolder="" count="0" hidden="1"/>
    <cacheHierarchy uniqueName="[Measures].[Suma de IMP POR POYECTO 3]" caption="Suma de IMP POR POYECTO 3" measure="1" displayFolder="" measureGroup="otros" count="0" hidden="1">
      <extLst>
        <ext xmlns:x15="http://schemas.microsoft.com/office/spreadsheetml/2010/11/main" uri="{B97F6D7D-B522-45F9-BDA1-12C45D357490}">
          <x15:cacheHierarchy aggregatedColumn="44"/>
        </ext>
      </extLst>
    </cacheHierarchy>
    <cacheHierarchy uniqueName="[Measures].[Suma de IMP POR POYECTO 4]" caption="Suma de IMP POR POYECTO 4" measure="1" displayFolder="" measureGroup="piramide" count="0" hidden="1">
      <extLst>
        <ext xmlns:x15="http://schemas.microsoft.com/office/spreadsheetml/2010/11/main" uri="{B97F6D7D-B522-45F9-BDA1-12C45D357490}">
          <x15:cacheHierarchy aggregatedColumn="66"/>
        </ext>
      </extLst>
    </cacheHierarchy>
    <cacheHierarchy uniqueName="[Measures].[Suma de IMP POR POYECTO 5]" caption="Suma de IMP POR POYECTO 5" measure="1" displayFolder="" measureGroup="extras" count="0" hidden="1">
      <extLst>
        <ext xmlns:x15="http://schemas.microsoft.com/office/spreadsheetml/2010/11/main" uri="{B97F6D7D-B522-45F9-BDA1-12C45D357490}">
          <x15:cacheHierarchy aggregatedColumn="35"/>
        </ext>
      </extLst>
    </cacheHierarchy>
    <cacheHierarchy uniqueName="[Measures].[Suma de IMP POR POYECTO 6]" caption="Suma de IMP POR POYECTO 6" measure="1" displayFolder="" measureGroup="truckzone" count="0" hidden="1">
      <extLst>
        <ext xmlns:x15="http://schemas.microsoft.com/office/spreadsheetml/2010/11/main" uri="{B97F6D7D-B522-45F9-BDA1-12C45D357490}">
          <x15:cacheHierarchy aggregatedColumn="94"/>
        </ext>
      </extLst>
    </cacheHierarchy>
    <cacheHierarchy uniqueName="[Measures].[Suma de PZAS 2]" caption="Suma de PZAS 2" measure="1" displayFolder="" measureGroup="otros" count="0" hidden="1">
      <extLst>
        <ext xmlns:x15="http://schemas.microsoft.com/office/spreadsheetml/2010/11/main" uri="{B97F6D7D-B522-45F9-BDA1-12C45D357490}">
          <x15:cacheHierarchy aggregatedColumn="39"/>
        </ext>
      </extLst>
    </cacheHierarchy>
    <cacheHierarchy uniqueName="[Measures].[Suma de PZAS 3]" caption="Suma de PZAS 3" measure="1" displayFolder="" measureGroup="extras" count="0" hidden="1">
      <extLst>
        <ext xmlns:x15="http://schemas.microsoft.com/office/spreadsheetml/2010/11/main" uri="{B97F6D7D-B522-45F9-BDA1-12C45D357490}">
          <x15:cacheHierarchy aggregatedColumn="29"/>
        </ext>
      </extLst>
    </cacheHierarchy>
    <cacheHierarchy uniqueName="[Measures].[Suma de PZAS 4]" caption="Suma de PZAS 4" measure="1" displayFolder="" measureGroup="piramide" count="0" hidden="1">
      <extLst>
        <ext xmlns:x15="http://schemas.microsoft.com/office/spreadsheetml/2010/11/main" uri="{B97F6D7D-B522-45F9-BDA1-12C45D357490}">
          <x15:cacheHierarchy aggregatedColumn="61"/>
        </ext>
      </extLst>
    </cacheHierarchy>
    <cacheHierarchy uniqueName="[Measures].[Suma de PZAS 5]" caption="Suma de PZAS 5" measure="1" displayFolder="" measureGroup="truckzone" count="0" hidden="1">
      <extLst>
        <ext xmlns:x15="http://schemas.microsoft.com/office/spreadsheetml/2010/11/main" uri="{B97F6D7D-B522-45F9-BDA1-12C45D357490}">
          <x15:cacheHierarchy aggregatedColumn="89"/>
        </ext>
      </extLst>
    </cacheHierarchy>
    <cacheHierarchy uniqueName="[Measures].[Suma de IMP POR POYECTO]" caption="Suma de IMP POR POYECTO" measure="1" displayFolder="" measureGroup="ACERO 1" count="0" hidden="1">
      <extLst>
        <ext xmlns:x15="http://schemas.microsoft.com/office/spreadsheetml/2010/11/main" uri="{B97F6D7D-B522-45F9-BDA1-12C45D357490}">
          <x15:cacheHierarchy aggregatedColumn="5"/>
        </ext>
      </extLst>
    </cacheHierarchy>
    <cacheHierarchy uniqueName="[Measures].[Suma de PZAS 6]" caption="Suma de PZAS 6" measure="1" displayFolder="" measureGroup="ACERO 1" count="0" hidden="1">
      <extLst>
        <ext xmlns:x15="http://schemas.microsoft.com/office/spreadsheetml/2010/11/main" uri="{B97F6D7D-B522-45F9-BDA1-12C45D357490}">
          <x15:cacheHierarchy aggregatedColumn="0"/>
        </ext>
      </extLst>
    </cacheHierarchy>
    <cacheHierarchy uniqueName="[Measures].[Recuento de MATERIAL / ACCESORIO]" caption="Recuento de MATERIAL / ACCESORIO" measure="1" displayFolder="" measureGroup="extras" count="0" hidden="1">
      <extLst>
        <ext xmlns:x15="http://schemas.microsoft.com/office/spreadsheetml/2010/11/main" uri="{B97F6D7D-B522-45F9-BDA1-12C45D357490}">
          <x15:cacheHierarchy aggregatedColumn="32"/>
        </ext>
      </extLst>
    </cacheHierarchy>
    <cacheHierarchy uniqueName="[Measures].[Recuento de TIPO]" caption="Recuento de TIPO" measure="1" displayFolder="" measureGroup="extras" count="0" hidden="1">
      <extLst>
        <ext xmlns:x15="http://schemas.microsoft.com/office/spreadsheetml/2010/11/main" uri="{B97F6D7D-B522-45F9-BDA1-12C45D357490}">
          <x15:cacheHierarchy aggregatedColumn="30"/>
        </ext>
      </extLst>
    </cacheHierarchy>
    <cacheHierarchy uniqueName="[Measures].[Suma de PAGO]" caption="Suma de PAGO" measure="1" displayFolder="" measureGroup="CHASIS" count="0" hidden="1">
      <extLst>
        <ext xmlns:x15="http://schemas.microsoft.com/office/spreadsheetml/2010/11/main" uri="{B97F6D7D-B522-45F9-BDA1-12C45D357490}">
          <x15:cacheHierarchy aggregatedColumn="14"/>
        </ext>
      </extLst>
    </cacheHierarchy>
    <cacheHierarchy uniqueName="[Measures].[Suma de P/U]" caption="Suma de P/U" measure="1" displayFolder="" measureGroup="CHASIS" count="0" hidden="1">
      <extLst>
        <ext xmlns:x15="http://schemas.microsoft.com/office/spreadsheetml/2010/11/main" uri="{B97F6D7D-B522-45F9-BDA1-12C45D357490}">
          <x15:cacheHierarchy aggregatedColumn="13"/>
        </ext>
      </extLst>
    </cacheHierarchy>
    <cacheHierarchy uniqueName="[Measures].[Suma de ADEUDO]" caption="Suma de ADEUDO" measure="1" displayFolder="" measureGroup="CHASIS" count="0" hidden="1">
      <extLst>
        <ext xmlns:x15="http://schemas.microsoft.com/office/spreadsheetml/2010/11/main" uri="{B97F6D7D-B522-45F9-BDA1-12C45D357490}">
          <x15:cacheHierarchy aggregatedColumn="15"/>
        </ext>
      </extLst>
    </cacheHierarchy>
  </cacheHierarchies>
  <kpis count="0"/>
  <dimensions count="15">
    <dimension name="ACERO 1" uniqueName="[ACERO 1]" caption="ACERO 1"/>
    <dimension name="CHASIS" uniqueName="[CHASIS]" caption="CHASIS"/>
    <dimension name="clientes" uniqueName="[clientes]" caption="clientes"/>
    <dimension name="extras" uniqueName="[extras]" caption="extras"/>
    <dimension measure="1" name="Measures" uniqueName="[Measures]" caption="Measures"/>
    <dimension name="otros" uniqueName="[otros]" caption="otros"/>
    <dimension name="Page001" uniqueName="[Page001]" caption="Page001"/>
    <dimension name="Page002" uniqueName="[Page002]" caption="Page002"/>
    <dimension name="Page003" uniqueName="[Page003]" caption="Page003"/>
    <dimension name="piramide" uniqueName="[piramide]" caption="piramide"/>
    <dimension name="Tabla24" uniqueName="[Tabla24]" caption="Tabla24"/>
    <dimension name="Table001  Page 1" uniqueName="[Table001  Page 1]" caption="Table001  Page 1"/>
    <dimension name="Table002  Page 3" uniqueName="[Table002  Page 3]" caption="Table002  Page 3"/>
    <dimension name="Table004  Page 3" uniqueName="[Table004  Page 3]" caption="Table004  Page 3"/>
    <dimension name="truckzone" uniqueName="[truckzone]" caption="truckzone"/>
  </dimensions>
  <measureGroups count="14">
    <measureGroup name="ACERO 1" caption="ACERO 1"/>
    <measureGroup name="CHASIS" caption="CHASIS"/>
    <measureGroup name="clientes" caption="clientes"/>
    <measureGroup name="extras" caption="extras"/>
    <measureGroup name="otros" caption="otros"/>
    <measureGroup name="Page001" caption="Page001"/>
    <measureGroup name="Page002" caption="Page002"/>
    <measureGroup name="Page003" caption="Page003"/>
    <measureGroup name="piramide" caption="piramide"/>
    <measureGroup name="Tabla24" caption="Tabla24"/>
    <measureGroup name="Table001  Page 1" caption="Table001  Page 1"/>
    <measureGroup name="Table002  Page 3" caption="Table002  Page 3"/>
    <measureGroup name="Table004  Page 3" caption="Table004  Page 3"/>
    <measureGroup name="truckzone" caption="truckzone"/>
  </measureGroups>
  <maps count="19">
    <map measureGroup="0" dimension="0"/>
    <map measureGroup="0" dimension="10"/>
    <map measureGroup="1" dimension="1"/>
    <map measureGroup="2" dimension="2"/>
    <map measureGroup="3" dimension="3"/>
    <map measureGroup="3" dimension="10"/>
    <map measureGroup="4" dimension="5"/>
    <map measureGroup="4" dimension="10"/>
    <map measureGroup="5" dimension="6"/>
    <map measureGroup="6" dimension="7"/>
    <map measureGroup="7" dimension="8"/>
    <map measureGroup="8" dimension="9"/>
    <map measureGroup="8" dimension="10"/>
    <map measureGroup="9" dimension="10"/>
    <map measureGroup="10" dimension="11"/>
    <map measureGroup="11" dimension="12"/>
    <map measureGroup="12" dimension="13"/>
    <map measureGroup="13" dimension="10"/>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olca" refreshedDate="45201.386393055553" backgroundQuery="1" createdVersion="5" refreshedVersion="8" minRefreshableVersion="3" recordCount="0" supportSubquery="1" supportAdvancedDrill="1" xr:uid="{EB92625F-4710-4D72-8CBF-C5AF9818452B}">
  <cacheSource type="external" connectionId="8"/>
  <cacheFields count="6">
    <cacheField name="[otros].[MATERIAL / ACCESORIO].[MATERIAL / ACCESORIO]" caption="MATERIAL / ACCESORIO" numFmtId="0" hierarchy="42" level="1">
      <sharedItems count="36">
        <s v="ARNES Y MANO DE OBRA"/>
        <s v="BANDEROLAS"/>
        <s v="BUJES CONICOS PARA LANZA"/>
        <s v="CABLEADO"/>
        <s v="CARDA DE COPA TRENZADA"/>
        <s v="CO2"/>
        <s v="CONSUMIBLE"/>
        <s v="DIESEL"/>
        <s v="DISCO DE CORTADORA"/>
        <s v="DISCOS DE DESBASTE #9"/>
        <s v="DISCOS LAMINADOS #7"/>
        <s v="GAS"/>
        <s v="HOJAS DE LIJA"/>
        <s v="JUEGO DE BISAGRAS"/>
        <s v="KIT PLAFONES"/>
        <s v="LODERAS"/>
        <s v="LUCES"/>
        <s v="LUZ"/>
        <s v="MANO DE OBRA DE AIRE"/>
        <s v="MANO DE OBRA GENERAL"/>
        <s v="MANO DE OBRA LUZ"/>
        <s v="MANO DE OBRA PINTURA"/>
        <s v="MANO DE OBRA PISO"/>
        <s v="MANO OBRA AIRE"/>
        <s v="MATERIAL COMPLEMENTARIO"/>
        <s v="MICROTUBULAR"/>
        <s v="MONTADA DE LLANTAS"/>
        <s v="NIV"/>
        <s v="PAPELERIA Y PLACA"/>
        <s v="PIJAS/BROCAS"/>
        <s v="PINTURA Y MANO DE OBRA"/>
        <s v="PLAFONES DE 4&quot;"/>
        <s v="REFLEJANTE Y ROTULACION"/>
        <s v="TOPES HULE 3 BARRENOS"/>
        <s v="TORN PERNO"/>
        <s v="TORNILLOS"/>
      </sharedItems>
    </cacheField>
    <cacheField name="[Measures].[Suma de IMP POR POYECTO 3]" caption="Suma de IMP POR POYECTO 3" numFmtId="0" hierarchy="115" level="32767"/>
    <cacheField name="[otros].[CLASE].[CLASE]" caption="CLASE" numFmtId="0" hierarchy="47" level="1">
      <sharedItems containsSemiMixedTypes="0" containsNonDate="0" containsString="0"/>
    </cacheField>
    <cacheField name="[Measures].[Suma de PZAS 2]" caption="Suma de PZAS 2" numFmtId="0" hierarchy="119" level="32767"/>
    <cacheField name="[ACERO 1].[NUM. DE EJES].[NUM. DE EJES]" caption="NUM. DE EJES" numFmtId="0" hierarchy="6" level="1">
      <sharedItems containsSemiMixedTypes="0" containsNonDate="0" containsString="0"/>
    </cacheField>
    <cacheField name="[Tabla24].[NOMBRE].[NOMBRE]" caption="NOMBRE" numFmtId="0" hierarchy="71" level="1">
      <sharedItems containsSemiMixedTypes="0" containsNonDate="0" containsString="0"/>
    </cacheField>
  </cacheFields>
  <cacheHierarchies count="130">
    <cacheHierarchy uniqueName="[ACERO 1].[PZAS]" caption="PZAS" attribute="1" defaultMemberUniqueName="[ACERO 1].[PZAS].[All]" allUniqueName="[ACERO 1].[PZAS].[All]" dimensionUniqueName="[ACERO 1]" displayFolder="" count="0" memberValueDatatype="5" unbalanced="0"/>
    <cacheHierarchy uniqueName="[ACERO 1].[TIPO]" caption="TIPO" attribute="1" defaultMemberUniqueName="[ACERO 1].[TIPO].[All]" allUniqueName="[ACERO 1].[TIPO].[All]" dimensionUniqueName="[ACERO 1]" displayFolder="" count="0" memberValueDatatype="130" unbalanced="0"/>
    <cacheHierarchy uniqueName="[ACERO 1].[NOMBRE]" caption="NOMBRE" attribute="1" defaultMemberUniqueName="[ACERO 1].[NOMBRE].[All]" allUniqueName="[ACERO 1].[NOMBRE].[All]" dimensionUniqueName="[ACERO 1]" displayFolder="" count="0" memberValueDatatype="130" unbalanced="0"/>
    <cacheHierarchy uniqueName="[ACERO 1].[MATERIAL / ACCESORIO]" caption="MATERIAL / ACCESORIO" attribute="1" defaultMemberUniqueName="[ACERO 1].[MATERIAL / ACCESORIO].[All]" allUniqueName="[ACERO 1].[MATERIAL / ACCESORIO].[All]" dimensionUniqueName="[ACERO 1]" displayFolder="" count="0" memberValueDatatype="130" unbalanced="0"/>
    <cacheHierarchy uniqueName="[ACERO 1].[PRECIO $ C/U]" caption="PRECIO $ C/U" attribute="1" defaultMemberUniqueName="[ACERO 1].[PRECIO $ C/U].[All]" allUniqueName="[ACERO 1].[PRECIO $ C/U].[All]" dimensionUniqueName="[ACERO 1]" displayFolder="" count="0" memberValueDatatype="5" unbalanced="0"/>
    <cacheHierarchy uniqueName="[ACERO 1].[IMP POR POYECTO]" caption="IMP POR POYECTO" attribute="1" defaultMemberUniqueName="[ACERO 1].[IMP POR POYECTO].[All]" allUniqueName="[ACERO 1].[IMP POR POYECTO].[All]" dimensionUniqueName="[ACERO 1]" displayFolder="" count="0" memberValueDatatype="5" unbalanced="0"/>
    <cacheHierarchy uniqueName="[ACERO 1].[NUM. DE EJES]" caption="NUM. DE EJES" attribute="1" defaultMemberUniqueName="[ACERO 1].[NUM. DE EJES].[All]" allUniqueName="[ACERO 1].[NUM. DE EJES].[All]" dimensionUniqueName="[ACERO 1]" displayFolder="" count="2" memberValueDatatype="20" unbalanced="0">
      <fieldsUsage count="2">
        <fieldUsage x="-1"/>
        <fieldUsage x="4"/>
      </fieldsUsage>
    </cacheHierarchy>
    <cacheHierarchy uniqueName="[ACERO 1].[LARGO]" caption="LARGO" attribute="1" defaultMemberUniqueName="[ACERO 1].[LARGO].[All]" allUniqueName="[ACERO 1].[LARGO].[All]" dimensionUniqueName="[ACERO 1]" displayFolder="" count="0" memberValueDatatype="130" unbalanced="0"/>
    <cacheHierarchy uniqueName="[ACERO 1].[CLASE]" caption="CLASE" attribute="1" defaultMemberUniqueName="[ACERO 1].[CLASE].[All]" allUniqueName="[ACERO 1].[CLASE].[All]" dimensionUniqueName="[ACERO 1]" displayFolder="" count="0" memberValueDatatype="130" unbalanced="0"/>
    <cacheHierarchy uniqueName="[ACERO 1].[OBSERVACION]" caption="OBSERVACION" attribute="1" defaultMemberUniqueName="[ACERO 1].[OBSERVACION].[All]" allUniqueName="[ACERO 1].[OBSERVACION].[All]" dimensionUniqueName="[ACERO 1]" displayFolder="" count="0" memberValueDatatype="130" unbalanced="0"/>
    <cacheHierarchy uniqueName="[CHASIS].[CLIENTE]" caption="CLIENTE" attribute="1" defaultMemberUniqueName="[CHASIS].[CLIENTE].[All]" allUniqueName="[CHASIS].[CLIENTE].[All]" dimensionUniqueName="[CHASIS]" displayFolder="" count="0" memberValueDatatype="130" unbalanced="0"/>
    <cacheHierarchy uniqueName="[CHASIS].[CHASIS]" caption="CHASIS" attribute="1" defaultMemberUniqueName="[CHASIS].[CHASIS].[All]" allUniqueName="[CHASIS].[CHASIS].[All]" dimensionUniqueName="[CHASIS]" displayFolder="" count="0" memberValueDatatype="130" unbalanced="0"/>
    <cacheHierarchy uniqueName="[CHASIS].[AÑO MODELO]" caption="AÑO MODELO" attribute="1" defaultMemberUniqueName="[CHASIS].[AÑO MODELO].[All]" allUniqueName="[CHASIS].[AÑO MODELO].[All]" dimensionUniqueName="[CHASIS]" displayFolder="" count="0" memberValueDatatype="20" unbalanced="0"/>
    <cacheHierarchy uniqueName="[CHASIS].[P/U]" caption="P/U" attribute="1" defaultMemberUniqueName="[CHASIS].[P/U].[All]" allUniqueName="[CHASIS].[P/U].[All]" dimensionUniqueName="[CHASIS]" displayFolder="" count="0" memberValueDatatype="20" unbalanced="0"/>
    <cacheHierarchy uniqueName="[CHASIS].[PAGO]" caption="PAGO" attribute="1" defaultMemberUniqueName="[CHASIS].[PAGO].[All]" allUniqueName="[CHASIS].[PAGO].[All]" dimensionUniqueName="[CHASIS]" displayFolder="" count="0" memberValueDatatype="20" unbalanced="0"/>
    <cacheHierarchy uniqueName="[CHASIS].[ADEUDO]" caption="ADEUDO" attribute="1" defaultMemberUniqueName="[CHASIS].[ADEUDO].[All]" allUniqueName="[CHASIS].[ADEUDO].[All]" dimensionUniqueName="[CHASIS]" displayFolder="" count="0" memberValueDatatype="20" unbalanced="0"/>
    <cacheHierarchy uniqueName="[CHASIS].[FACTURA]" caption="FACTURA" attribute="1" defaultMemberUniqueName="[CHASIS].[FACTURA].[All]" allUniqueName="[CHASIS].[FACTURA].[All]" dimensionUniqueName="[CHASIS]" displayFolder="" count="0" memberValueDatatype="130" unbalanced="0"/>
    <cacheHierarchy uniqueName="[CHASIS].[FECHE/ENTRGA]" caption="FECHE/ENTRGA" attribute="1" time="1" defaultMemberUniqueName="[CHASIS].[FECHE/ENTRGA].[All]" allUniqueName="[CHASIS].[FECHE/ENTRGA].[All]" dimensionUniqueName="[CHASIS]" displayFolder="" count="0" memberValueDatatype="7" unbalanced="0"/>
    <cacheHierarchy uniqueName="[CHASIS].[PAGADO]" caption="PAGADO" attribute="1" defaultMemberUniqueName="[CHASIS].[PAGADO].[All]" allUniqueName="[CHASIS].[PAGADO].[All]" dimensionUniqueName="[CHASIS]" displayFolder="" count="0" memberValueDatatype="130" unbalanced="0"/>
    <cacheHierarchy uniqueName="[CHASIS].[EQUI. ENTREGADOS]" caption="EQUI. ENTREGADOS" attribute="1" defaultMemberUniqueName="[CHASIS].[EQUI. ENTREGADOS].[All]" allUniqueName="[CHASIS].[EQUI. ENTREGADOS].[All]" dimensionUniqueName="[CHASIS]" displayFolder="" count="0" memberValueDatatype="130" unbalanced="0"/>
    <cacheHierarchy uniqueName="[CHASIS].[FECHE/ENTRGA (mes)]" caption="FECHE/ENTRGA (mes)" attribute="1" defaultMemberUniqueName="[CHASIS].[FECHE/ENTRGA (mes)].[All]" allUniqueName="[CHASIS].[FECHE/ENTRGA (mes)].[All]" dimensionUniqueName="[CHASIS]" displayFolder="" count="0" memberValueDatatype="130" unbalanced="0"/>
    <cacheHierarchy uniqueName="[clientes].[CLIENTE]" caption="CLIENTE" attribute="1" defaultMemberUniqueName="[clientes].[CLIENTE].[All]" allUniqueName="[clientes].[CLIENTE].[All]" dimensionUniqueName="[clientes]" displayFolder="" count="0" memberValueDatatype="130" unbalanced="0"/>
    <cacheHierarchy uniqueName="[clientes].[R. F. C.]" caption="R. F. C." attribute="1" defaultMemberUniqueName="[clientes].[R. F. C.].[All]" allUniqueName="[clientes].[R. F. C.].[All]" dimensionUniqueName="[clientes]" displayFolder="" count="0" memberValueDatatype="130" unbalanced="0"/>
    <cacheHierarchy uniqueName="[clientes].[EMPRESA]" caption="EMPRESA" attribute="1" defaultMemberUniqueName="[clientes].[EMPRESA].[All]" allUniqueName="[clientes].[EMPRESA].[All]" dimensionUniqueName="[clientes]" displayFolder="" count="0" memberValueDatatype="130" unbalanced="0"/>
    <cacheHierarchy uniqueName="[clientes].[CALLE, No., COLONIA]" caption="CALLE, No., COLONIA" attribute="1" defaultMemberUniqueName="[clientes].[CALLE, No., COLONIA].[All]" allUniqueName="[clientes].[CALLE, No., COLONIA].[All]" dimensionUniqueName="[clientes]" displayFolder="" count="0" memberValueDatatype="130" unbalanced="0"/>
    <cacheHierarchy uniqueName="[clientes].[MUNICIPIO, ESTADO, PAIS.]" caption="MUNICIPIO, ESTADO, PAIS." attribute="1" defaultMemberUniqueName="[clientes].[MUNICIPIO, ESTADO, PAIS.].[All]" allUniqueName="[clientes].[MUNICIPIO, ESTADO, PAIS.].[All]" dimensionUniqueName="[clientes]" displayFolder="" count="0" memberValueDatatype="130" unbalanced="0"/>
    <cacheHierarchy uniqueName="[clientes].[C.P.]" caption="C.P." attribute="1" defaultMemberUniqueName="[clientes].[C.P.].[All]" allUniqueName="[clientes].[C.P.].[All]" dimensionUniqueName="[clientes]" displayFolder="" count="0" memberValueDatatype="130" unbalanced="0"/>
    <cacheHierarchy uniqueName="[clientes].[TEL/CEL]" caption="TEL/CEL" attribute="1" defaultMemberUniqueName="[clientes].[TEL/CEL].[All]" allUniqueName="[clientes].[TEL/CEL].[All]" dimensionUniqueName="[clientes]" displayFolder="" count="0" memberValueDatatype="130" unbalanced="0"/>
    <cacheHierarchy uniqueName="[clientes].[CORREO]" caption="CORREO" attribute="1" defaultMemberUniqueName="[clientes].[CORREO].[All]" allUniqueName="[clientes].[CORREO].[All]" dimensionUniqueName="[clientes]" displayFolder="" count="0" memberValueDatatype="130" unbalanced="0"/>
    <cacheHierarchy uniqueName="[extras].[PZAS]" caption="PZAS" attribute="1" defaultMemberUniqueName="[extras].[PZAS].[All]" allUniqueName="[extras].[PZAS].[All]" dimensionUniqueName="[extras]" displayFolder="" count="0" memberValueDatatype="20" unbalanced="0"/>
    <cacheHierarchy uniqueName="[extras].[TIPO]" caption="TIPO" attribute="1" defaultMemberUniqueName="[extras].[TIPO].[All]" allUniqueName="[extras].[TIPO].[All]" dimensionUniqueName="[extras]" displayFolder="" count="0" memberValueDatatype="130" unbalanced="0"/>
    <cacheHierarchy uniqueName="[extras].[NOMBRE]" caption="NOMBRE" attribute="1" defaultMemberUniqueName="[extras].[NOMBRE].[All]" allUniqueName="[extras].[NOMBRE].[All]" dimensionUniqueName="[extras]" displayFolder="" count="0" memberValueDatatype="130" unbalanced="0"/>
    <cacheHierarchy uniqueName="[extras].[MATERIAL / ACCESORIO]" caption="MATERIAL / ACCESORIO" attribute="1" defaultMemberUniqueName="[extras].[MATERIAL / ACCESORIO].[All]" allUniqueName="[extras].[MATERIAL / ACCESORIO].[All]" dimensionUniqueName="[extras]" displayFolder="" count="0" memberValueDatatype="130" unbalanced="0"/>
    <cacheHierarchy uniqueName="[extras].[CLASE]" caption="CLASE" attribute="1" defaultMemberUniqueName="[extras].[CLASE].[All]" allUniqueName="[extras].[CLASE].[All]" dimensionUniqueName="[extras]" displayFolder="" count="0" memberValueDatatype="130" unbalanced="0"/>
    <cacheHierarchy uniqueName="[extras].[PRECIO $ C/U]" caption="PRECIO $ C/U" attribute="1" defaultMemberUniqueName="[extras].[PRECIO $ C/U].[All]" allUniqueName="[extras].[PRECIO $ C/U].[All]" dimensionUniqueName="[extras]" displayFolder="" count="0" memberValueDatatype="20" unbalanced="0"/>
    <cacheHierarchy uniqueName="[extras].[IMP POR POYECTO]" caption="IMP POR POYECTO" attribute="1" defaultMemberUniqueName="[extras].[IMP POR POYECTO].[All]" allUniqueName="[extras].[IMP POR POYECTO].[All]" dimensionUniqueName="[extras]" displayFolder="" count="0" memberValueDatatype="20" unbalanced="0"/>
    <cacheHierarchy uniqueName="[extras].[NUM. DE EJES]" caption="NUM. DE EJES" attribute="1" defaultMemberUniqueName="[extras].[NUM. DE EJES].[All]" allUniqueName="[extras].[NUM. DE EJES].[All]" dimensionUniqueName="[extras]" displayFolder="" count="0" memberValueDatatype="20" unbalanced="0"/>
    <cacheHierarchy uniqueName="[extras].[LARGO]" caption="LARGO" attribute="1" defaultMemberUniqueName="[extras].[LARGO].[All]" allUniqueName="[extras].[LARGO].[All]" dimensionUniqueName="[extras]" displayFolder="" count="0" memberValueDatatype="130" unbalanced="0"/>
    <cacheHierarchy uniqueName="[extras].[OBSERVACION]" caption="OBSERVACION" attribute="1" defaultMemberUniqueName="[extras].[OBSERVACION].[All]" allUniqueName="[extras].[OBSERVACION].[All]" dimensionUniqueName="[extras]" displayFolder="" count="0" memberValueDatatype="130" unbalanced="0"/>
    <cacheHierarchy uniqueName="[otros].[PZAS]" caption="PZAS" attribute="1" defaultMemberUniqueName="[otros].[PZAS].[All]" allUniqueName="[otros].[PZAS].[All]" dimensionUniqueName="[otros]" displayFolder="" count="0" memberValueDatatype="5" unbalanced="0"/>
    <cacheHierarchy uniqueName="[otros].[TIPO]" caption="TIPO" attribute="1" defaultMemberUniqueName="[otros].[TIPO].[All]" allUniqueName="[otros].[TIPO].[All]" dimensionUniqueName="[otros]" displayFolder="" count="0" memberValueDatatype="130" unbalanced="0"/>
    <cacheHierarchy uniqueName="[otros].[NOMBRE]" caption="NOMBRE" attribute="1" defaultMemberUniqueName="[otros].[NOMBRE].[All]" allUniqueName="[otros].[NOMBRE].[All]" dimensionUniqueName="[otros]" displayFolder="" count="0" memberValueDatatype="130" unbalanced="0"/>
    <cacheHierarchy uniqueName="[otros].[MATERIAL / ACCESORIO]" caption="MATERIAL / ACCESORIO" attribute="1" defaultMemberUniqueName="[otros].[MATERIAL / ACCESORIO].[All]" allUniqueName="[otros].[MATERIAL / ACCESORIO].[All]" dimensionUniqueName="[otros]" displayFolder="" count="2" memberValueDatatype="130" unbalanced="0">
      <fieldsUsage count="2">
        <fieldUsage x="-1"/>
        <fieldUsage x="0"/>
      </fieldsUsage>
    </cacheHierarchy>
    <cacheHierarchy uniqueName="[otros].[PRECIO $ C/U]" caption="PRECIO $ C/U" attribute="1" defaultMemberUniqueName="[otros].[PRECIO $ C/U].[All]" allUniqueName="[otros].[PRECIO $ C/U].[All]" dimensionUniqueName="[otros]" displayFolder="" count="0" memberValueDatatype="20" unbalanced="0"/>
    <cacheHierarchy uniqueName="[otros].[IMP POR POYECTO]" caption="IMP POR POYECTO" attribute="1" defaultMemberUniqueName="[otros].[IMP POR POYECTO].[All]" allUniqueName="[otros].[IMP POR POYECTO].[All]" dimensionUniqueName="[otros]" displayFolder="" count="0" memberValueDatatype="5" unbalanced="0"/>
    <cacheHierarchy uniqueName="[otros].[NUM. DE EJES]" caption="NUM. DE EJES" attribute="1" defaultMemberUniqueName="[otros].[NUM. DE EJES].[All]" allUniqueName="[otros].[NUM. DE EJES].[All]" dimensionUniqueName="[otros]" displayFolder="" count="0" memberValueDatatype="20" unbalanced="0"/>
    <cacheHierarchy uniqueName="[otros].[LARGO]" caption="LARGO" attribute="1" defaultMemberUniqueName="[otros].[LARGO].[All]" allUniqueName="[otros].[LARGO].[All]" dimensionUniqueName="[otros]" displayFolder="" count="0" memberValueDatatype="130" unbalanced="0"/>
    <cacheHierarchy uniqueName="[otros].[CLASE]" caption="CLASE" attribute="1" defaultMemberUniqueName="[otros].[CLASE].[All]" allUniqueName="[otros].[CLASE].[All]" dimensionUniqueName="[otros]" displayFolder="" count="2" memberValueDatatype="130" unbalanced="0">
      <fieldsUsage count="2">
        <fieldUsage x="-1"/>
        <fieldUsage x="2"/>
      </fieldsUsage>
    </cacheHierarchy>
    <cacheHierarchy uniqueName="[otros].[OBSERVACION]" caption="OBSERVACION" attribute="1" defaultMemberUniqueName="[otros].[OBSERVACION].[All]" allUniqueName="[otros].[OBSERVACION].[All]" dimensionUniqueName="[otros]" displayFolder="" count="0" memberValueDatatype="130" unbalanced="0"/>
    <cacheHierarchy uniqueName="[Page001].[Column1]" caption="Column1" attribute="1" defaultMemberUniqueName="[Page001].[Column1].[All]" allUniqueName="[Page001].[Column1].[All]" dimensionUniqueName="[Page001]" displayFolder="" count="0" memberValueDatatype="130" unbalanced="0"/>
    <cacheHierarchy uniqueName="[Page001].[Column2]" caption="Column2" attribute="1" defaultMemberUniqueName="[Page001].[Column2].[All]" allUniqueName="[Page001].[Column2].[All]" dimensionUniqueName="[Page001]" displayFolder="" count="0" memberValueDatatype="130" unbalanced="0"/>
    <cacheHierarchy uniqueName="[Page001].[Column3]" caption="Column3" attribute="1" defaultMemberUniqueName="[Page001].[Column3].[All]" allUniqueName="[Page001].[Column3].[All]" dimensionUniqueName="[Page001]" displayFolder="" count="0" memberValueDatatype="130" unbalanced="0"/>
    <cacheHierarchy uniqueName="[Page001].[Column4]" caption="Column4" attribute="1" defaultMemberUniqueName="[Page001].[Column4].[All]" allUniqueName="[Page001].[Column4].[All]" dimensionUniqueName="[Page001]" displayFolder="" count="0" memberValueDatatype="130" unbalanced="0"/>
    <cacheHierarchy uniqueName="[Page001].[Column5]" caption="Column5" attribute="1" defaultMemberUniqueName="[Page001].[Column5].[All]" allUniqueName="[Page001].[Column5].[All]" dimensionUniqueName="[Page001]" displayFolder="" count="0" memberValueDatatype="130" unbalanced="0"/>
    <cacheHierarchy uniqueName="[Page002].[Column1]" caption="Column1" attribute="1" defaultMemberUniqueName="[Page002].[Column1].[All]" allUniqueName="[Page002].[Column1].[All]" dimensionUniqueName="[Page002]" displayFolder="" count="0" memberValueDatatype="130" unbalanced="0"/>
    <cacheHierarchy uniqueName="[Page002].[Column2]" caption="Column2" attribute="1" defaultMemberUniqueName="[Page002].[Column2].[All]" allUniqueName="[Page002].[Column2].[All]" dimensionUniqueName="[Page002]" displayFolder="" count="0" memberValueDatatype="130" unbalanced="0"/>
    <cacheHierarchy uniqueName="[Page003].[Column1]" caption="Column1" attribute="1" defaultMemberUniqueName="[Page003].[Column1].[All]" allUniqueName="[Page003].[Column1].[All]" dimensionUniqueName="[Page003]" displayFolder="" count="0" memberValueDatatype="130" unbalanced="0"/>
    <cacheHierarchy uniqueName="[Page003].[Column2]" caption="Column2" attribute="1" defaultMemberUniqueName="[Page003].[Column2].[All]" allUniqueName="[Page003].[Column2].[All]" dimensionUniqueName="[Page003]" displayFolder="" count="0" memberValueDatatype="130" unbalanced="0"/>
    <cacheHierarchy uniqueName="[Page003].[Column3]" caption="Column3" attribute="1" defaultMemberUniqueName="[Page003].[Column3].[All]" allUniqueName="[Page003].[Column3].[All]" dimensionUniqueName="[Page003]" displayFolder="" count="0" memberValueDatatype="130" unbalanced="0"/>
    <cacheHierarchy uniqueName="[Page003].[Column4]" caption="Column4" attribute="1" defaultMemberUniqueName="[Page003].[Column4].[All]" allUniqueName="[Page003].[Column4].[All]" dimensionUniqueName="[Page003]" displayFolder="" count="0" memberValueDatatype="130" unbalanced="0"/>
    <cacheHierarchy uniqueName="[Page003].[Column5]" caption="Column5" attribute="1" defaultMemberUniqueName="[Page003].[Column5].[All]" allUniqueName="[Page003].[Column5].[All]" dimensionUniqueName="[Page003]" displayFolder="" count="0" memberValueDatatype="130" unbalanced="0"/>
    <cacheHierarchy uniqueName="[piramide].[PZAS]" caption="PZAS" attribute="1" defaultMemberUniqueName="[piramide].[PZAS].[All]" allUniqueName="[piramide].[PZAS].[All]" dimensionUniqueName="[piramide]" displayFolder="" count="0" memberValueDatatype="5" unbalanced="0"/>
    <cacheHierarchy uniqueName="[piramide].[TIPO]" caption="TIPO" attribute="1" defaultMemberUniqueName="[piramide].[TIPO].[All]" allUniqueName="[piramide].[TIPO].[All]" dimensionUniqueName="[piramide]" displayFolder="" count="0" memberValueDatatype="130" unbalanced="0"/>
    <cacheHierarchy uniqueName="[piramide].[NOMBRE]" caption="NOMBRE" attribute="1" defaultMemberUniqueName="[piramide].[NOMBRE].[All]" allUniqueName="[piramide].[NOMBRE].[All]" dimensionUniqueName="[piramide]" displayFolder="" count="0" memberValueDatatype="130" unbalanced="0"/>
    <cacheHierarchy uniqueName="[piramide].[MATERIAL / ACCESORIO]" caption="MATERIAL / ACCESORIO" attribute="1" defaultMemberUniqueName="[piramide].[MATERIAL / ACCESORIO].[All]" allUniqueName="[piramide].[MATERIAL / ACCESORIO].[All]" dimensionUniqueName="[piramide]" displayFolder="" count="0" memberValueDatatype="130" unbalanced="0"/>
    <cacheHierarchy uniqueName="[piramide].[PRECIO $ C/U]" caption="PRECIO $ C/U" attribute="1" defaultMemberUniqueName="[piramide].[PRECIO $ C/U].[All]" allUniqueName="[piramide].[PRECIO $ C/U].[All]" dimensionUniqueName="[piramide]" displayFolder="" count="0" memberValueDatatype="5" unbalanced="0"/>
    <cacheHierarchy uniqueName="[piramide].[IMP POR POYECTO]" caption="IMP POR POYECTO" attribute="1" defaultMemberUniqueName="[piramide].[IMP POR POYECTO].[All]" allUniqueName="[piramide].[IMP POR POYECTO].[All]" dimensionUniqueName="[piramide]" displayFolder="" count="0" memberValueDatatype="5" unbalanced="0"/>
    <cacheHierarchy uniqueName="[piramide].[NUM. DE EJES]" caption="NUM. DE EJES" attribute="1" defaultMemberUniqueName="[piramide].[NUM. DE EJES].[All]" allUniqueName="[piramide].[NUM. DE EJES].[All]" dimensionUniqueName="[piramide]" displayFolder="" count="0" memberValueDatatype="20" unbalanced="0"/>
    <cacheHierarchy uniqueName="[piramide].[LARGO]" caption="LARGO" attribute="1" defaultMemberUniqueName="[piramide].[LARGO].[All]" allUniqueName="[piramide].[LARGO].[All]" dimensionUniqueName="[piramide]" displayFolder="" count="0" memberValueDatatype="130" unbalanced="0"/>
    <cacheHierarchy uniqueName="[piramide].[CLASE]" caption="CLASE" attribute="1" defaultMemberUniqueName="[piramide].[CLASE].[All]" allUniqueName="[piramide].[CLASE].[All]" dimensionUniqueName="[piramide]" displayFolder="" count="0" memberValueDatatype="130" unbalanced="0"/>
    <cacheHierarchy uniqueName="[piramide].[OBSERVACION]" caption="OBSERVACION" attribute="1" defaultMemberUniqueName="[piramide].[OBSERVACION].[All]" allUniqueName="[piramide].[OBSERVACION].[All]" dimensionUniqueName="[piramide]" displayFolder="" count="0" memberValueDatatype="130" unbalanced="0"/>
    <cacheHierarchy uniqueName="[Tabla24].[NOMBRE]" caption="NOMBRE" attribute="1" defaultMemberUniqueName="[Tabla24].[NOMBRE].[All]" allUniqueName="[Tabla24].[NOMBRE].[All]" dimensionUniqueName="[Tabla24]" displayFolder="" count="2" memberValueDatatype="130" unbalanced="0">
      <fieldsUsage count="2">
        <fieldUsage x="-1"/>
        <fieldUsage x="5"/>
      </fieldsUsage>
    </cacheHierarchy>
    <cacheHierarchy uniqueName="[Tabla24].[TIPO]" caption="TIPO" attribute="1" defaultMemberUniqueName="[Tabla24].[TIPO].[All]" allUniqueName="[Tabla24].[TIPO].[All]" dimensionUniqueName="[Tabla24]" displayFolder="" count="0" memberValueDatatype="130" unbalanced="0"/>
    <cacheHierarchy uniqueName="[Tabla24].[NUM. DE EJES]" caption="NUM. DE EJES" attribute="1" defaultMemberUniqueName="[Tabla24].[NUM. DE EJES].[All]" allUniqueName="[Tabla24].[NUM. DE EJES].[All]" dimensionUniqueName="[Tabla24]" displayFolder="" count="0" memberValueDatatype="20" unbalanced="0"/>
    <cacheHierarchy uniqueName="[Tabla24].[LARGO]" caption="LARGO" attribute="1" defaultMemberUniqueName="[Tabla24].[LARGO].[All]" allUniqueName="[Tabla24].[LARGO].[All]" dimensionUniqueName="[Tabla24]" displayFolder="" count="0" memberValueDatatype="130" unbalanced="0"/>
    <cacheHierarchy uniqueName="[Tabla24].[CONCAT]" caption="CONCAT" attribute="1" defaultMemberUniqueName="[Tabla24].[CONCAT].[All]" allUniqueName="[Tabla24].[CONCAT].[All]" dimensionUniqueName="[Tabla24]" displayFolder="" count="0" memberValueDatatype="130" unbalanced="0"/>
    <cacheHierarchy uniqueName="[Tabla24].[Peso Vehicular]" caption="Peso Vehicular" attribute="1" defaultMemberUniqueName="[Tabla24].[Peso Vehicular].[All]" allUniqueName="[Tabla24].[Peso Vehicular].[All]" dimensionUniqueName="[Tabla24]" displayFolder="" count="0" memberValueDatatype="20" unbalanced="0"/>
    <cacheHierarchy uniqueName="[Tabla24].[PBVD:]" caption="PBVD:" attribute="1" defaultMemberUniqueName="[Tabla24].[PBVD:].[All]" allUniqueName="[Tabla24].[PBVD:].[All]" dimensionUniqueName="[Tabla24]" displayFolder="" count="0" memberValueDatatype="20" unbalanced="0"/>
    <cacheHierarchy uniqueName="[Tabla24].[Modelo ABS:]" caption="Modelo ABS:" attribute="1" defaultMemberUniqueName="[Tabla24].[Modelo ABS:].[All]" allUniqueName="[Tabla24].[Modelo ABS:].[All]" dimensionUniqueName="[Tabla24]" displayFolder="" count="0" memberValueDatatype="130" unbalanced="0"/>
    <cacheHierarchy uniqueName="[Tabla24].[CDE ejes traseros:]" caption="CDE ejes traseros:" attribute="1" defaultMemberUniqueName="[Tabla24].[CDE ejes traseros:].[All]" allUniqueName="[Tabla24].[CDE ejes traseros:].[All]" dimensionUniqueName="[Tabla24]" displayFolder="" count="0" memberValueDatatype="20" unbalanced="0"/>
    <cacheHierarchy uniqueName="[Tabla24].[Número de llantas:]" caption="Número de llantas:" attribute="1" defaultMemberUniqueName="[Tabla24].[Número de llantas:].[All]" allUniqueName="[Tabla24].[Número de llantas:].[All]" dimensionUniqueName="[Tabla24]" displayFolder="" count="0" memberValueDatatype="20" unbalanced="0"/>
    <cacheHierarchy uniqueName="[Tabla24].[Capacidad de eje en posición de montaje:]" caption="Capacidad de eje en posición de montaje:" attribute="1" defaultMemberUniqueName="[Tabla24].[Capacidad de eje en posición de montaje:].[All]" allUniqueName="[Tabla24].[Capacidad de eje en posición de montaje:].[All]" dimensionUniqueName="[Tabla24]" displayFolder="" count="0" memberValueDatatype="20" unbalanced="0"/>
    <cacheHierarchy uniqueName="[Tabla24].[Capacidad de espigas de eje:]" caption="Capacidad de espigas de eje:" attribute="1" defaultMemberUniqueName="[Tabla24].[Capacidad de espigas de eje:].[All]" allUniqueName="[Tabla24].[Capacidad de espigas de eje:].[All]" dimensionUniqueName="[Tabla24]" displayFolder="" count="0" memberValueDatatype="20" unbalanced="0"/>
    <cacheHierarchy uniqueName="[Tabla24].[Longitud]" caption="Longitud" attribute="1" defaultMemberUniqueName="[Tabla24].[Longitud].[All]" allUniqueName="[Tabla24].[Longitud].[All]" dimensionUniqueName="[Tabla24]" displayFolder="" count="0" memberValueDatatype="5" unbalanced="0"/>
    <cacheHierarchy uniqueName="[Table001  Page 1].[Column1]" caption="Column1" attribute="1" defaultMemberUniqueName="[Table001  Page 1].[Column1].[All]" allUniqueName="[Table001  Page 1].[Column1].[All]" dimensionUniqueName="[Table001  Page 1]" displayFolder="" count="0" memberValueDatatype="130" unbalanced="0"/>
    <cacheHierarchy uniqueName="[Table002  Page 3].[Column1]" caption="Column1" attribute="1" defaultMemberUniqueName="[Table002  Page 3].[Column1].[All]" allUniqueName="[Table002  Page 3].[Column1].[All]" dimensionUniqueName="[Table002  Page 3]" displayFolder="" count="0" memberValueDatatype="130" unbalanced="0"/>
    <cacheHierarchy uniqueName="[Table002  Page 3].[Column2]" caption="Column2" attribute="1" defaultMemberUniqueName="[Table002  Page 3].[Column2].[All]" allUniqueName="[Table002  Page 3].[Column2].[All]" dimensionUniqueName="[Table002  Page 3]" displayFolder="" count="0" memberValueDatatype="130" unbalanced="0"/>
    <cacheHierarchy uniqueName="[Table004  Page 3].[Column1]" caption="Column1" attribute="1" defaultMemberUniqueName="[Table004  Page 3].[Column1].[All]" allUniqueName="[Table004  Page 3].[Column1].[All]" dimensionUniqueName="[Table004  Page 3]" displayFolder="" count="0" memberValueDatatype="130" unbalanced="0"/>
    <cacheHierarchy uniqueName="[Table004  Page 3].[Column2]" caption="Column2" attribute="1" defaultMemberUniqueName="[Table004  Page 3].[Column2].[All]" allUniqueName="[Table004  Page 3].[Column2].[All]" dimensionUniqueName="[Table004  Page 3]" displayFolder="" count="0" memberValueDatatype="130" unbalanced="0"/>
    <cacheHierarchy uniqueName="[truckzone].[PZAS]" caption="PZAS" attribute="1" defaultMemberUniqueName="[truckzone].[PZAS].[All]" allUniqueName="[truckzone].[PZAS].[All]" dimensionUniqueName="[truckzone]" displayFolder="" count="0" memberValueDatatype="5" unbalanced="0"/>
    <cacheHierarchy uniqueName="[truckzone].[TIPO]" caption="TIPO" attribute="1" defaultMemberUniqueName="[truckzone].[TIPO].[All]" allUniqueName="[truckzone].[TIPO].[All]" dimensionUniqueName="[truckzone]" displayFolder="" count="0" memberValueDatatype="130" unbalanced="0"/>
    <cacheHierarchy uniqueName="[truckzone].[NOMBRE]" caption="NOMBRE" attribute="1" defaultMemberUniqueName="[truckzone].[NOMBRE].[All]" allUniqueName="[truckzone].[NOMBRE].[All]" dimensionUniqueName="[truckzone]" displayFolder="" count="0" memberValueDatatype="130" unbalanced="0"/>
    <cacheHierarchy uniqueName="[truckzone].[MATERIAL / ACCESORIO]" caption="MATERIAL / ACCESORIO" attribute="1" defaultMemberUniqueName="[truckzone].[MATERIAL / ACCESORIO].[All]" allUniqueName="[truckzone].[MATERIAL / ACCESORIO].[All]" dimensionUniqueName="[truckzone]" displayFolder="" count="0" memberValueDatatype="130" unbalanced="0"/>
    <cacheHierarchy uniqueName="[truckzone].[PRECIO $ C/U]" caption="PRECIO $ C/U" attribute="1" defaultMemberUniqueName="[truckzone].[PRECIO $ C/U].[All]" allUniqueName="[truckzone].[PRECIO $ C/U].[All]" dimensionUniqueName="[truckzone]" displayFolder="" count="0" memberValueDatatype="5" unbalanced="0"/>
    <cacheHierarchy uniqueName="[truckzone].[IMP POR POYECTO]" caption="IMP POR POYECTO" attribute="1" defaultMemberUniqueName="[truckzone].[IMP POR POYECTO].[All]" allUniqueName="[truckzone].[IMP POR POYECTO].[All]" dimensionUniqueName="[truckzone]" displayFolder="" count="0" memberValueDatatype="5" unbalanced="0"/>
    <cacheHierarchy uniqueName="[truckzone].[NUM. DE EJES]" caption="NUM. DE EJES" attribute="1" defaultMemberUniqueName="[truckzone].[NUM. DE EJES].[All]" allUniqueName="[truckzone].[NUM. DE EJES].[All]" dimensionUniqueName="[truckzone]" displayFolder="" count="0" memberValueDatatype="20" unbalanced="0"/>
    <cacheHierarchy uniqueName="[truckzone].[LARGO]" caption="LARGO" attribute="1" defaultMemberUniqueName="[truckzone].[LARGO].[All]" allUniqueName="[truckzone].[LARGO].[All]" dimensionUniqueName="[truckzone]" displayFolder="" count="0" memberValueDatatype="130" unbalanced="0"/>
    <cacheHierarchy uniqueName="[truckzone].[CLASE]" caption="CLASE" attribute="1" defaultMemberUniqueName="[truckzone].[CLASE].[All]" allUniqueName="[truckzone].[CLASE].[All]" dimensionUniqueName="[truckzone]" displayFolder="" count="0" memberValueDatatype="130" unbalanced="0"/>
    <cacheHierarchy uniqueName="[truckzone].[OBSERVACION]" caption="OBSERVACION" attribute="1" defaultMemberUniqueName="[truckzone].[OBSERVACION].[All]" allUniqueName="[truckzone].[OBSERVACION].[All]" dimensionUniqueName="[truckzone]" displayFolder="" count="0" memberValueDatatype="130" unbalanced="0"/>
    <cacheHierarchy uniqueName="[CHASIS].[FECHE/ENTRGA (índice de meses)]" caption="FECHE/ENTRGA (índice de meses)" attribute="1" defaultMemberUniqueName="[CHASIS].[FECHE/ENTRGA (índice de meses)].[All]" allUniqueName="[CHASIS].[FECHE/ENTRGA (índice de meses)].[All]" dimensionUniqueName="[CHASIS]" displayFolder="" count="0" memberValueDatatype="20" unbalanced="0" hidden="1"/>
    <cacheHierarchy uniqueName="[Measures].[__XL_Count extras]" caption="__XL_Count extras" measure="1" displayFolder="" measureGroup="extras" count="0" hidden="1"/>
    <cacheHierarchy uniqueName="[Measures].[__XL_Count otros]" caption="__XL_Count otros" measure="1" displayFolder="" measureGroup="otros" count="0" hidden="1"/>
    <cacheHierarchy uniqueName="[Measures].[__XL_Count piramide]" caption="__XL_Count piramide" measure="1" displayFolder="" measureGroup="piramide" count="0" hidden="1"/>
    <cacheHierarchy uniqueName="[Measures].[__XL_Count truckzone]" caption="__XL_Count truckzone" measure="1" displayFolder="" measureGroup="truckzone" count="0" hidden="1"/>
    <cacheHierarchy uniqueName="[Measures].[__XL_Count Tabla24]" caption="__XL_Count Tabla24" measure="1" displayFolder="" measureGroup="Tabla24" count="0" hidden="1"/>
    <cacheHierarchy uniqueName="[Measures].[__XL_Count ACERO 1]" caption="__XL_Count ACERO 1" measure="1" displayFolder="" measureGroup="ACERO 1" count="0" hidden="1"/>
    <cacheHierarchy uniqueName="[Measures].[__XL_Count Table001  Page 1]" caption="__XL_Count Table001  Page 1" measure="1" displayFolder="" measureGroup="Table001  Page 1" count="0" hidden="1"/>
    <cacheHierarchy uniqueName="[Measures].[__XL_Count Table002  Page 3]" caption="__XL_Count Table002  Page 3" measure="1" displayFolder="" measureGroup="Table002  Page 3" count="0" hidden="1"/>
    <cacheHierarchy uniqueName="[Measures].[__XL_Count Table004  Page 3]" caption="__XL_Count Table004  Page 3" measure="1" displayFolder="" measureGroup="Table004  Page 3" count="0" hidden="1"/>
    <cacheHierarchy uniqueName="[Measures].[__XL_Count Page001]" caption="__XL_Count Page001" measure="1" displayFolder="" measureGroup="Page001" count="0" hidden="1"/>
    <cacheHierarchy uniqueName="[Measures].[__XL_Count Page003]" caption="__XL_Count Page003" measure="1" displayFolder="" measureGroup="Page003" count="0" hidden="1"/>
    <cacheHierarchy uniqueName="[Measures].[__XL_Count Page002]" caption="__XL_Count Page002" measure="1" displayFolder="" measureGroup="Page002" count="0" hidden="1"/>
    <cacheHierarchy uniqueName="[Measures].[__XL_Count CHASIS]" caption="__XL_Count CHASIS" measure="1" displayFolder="" measureGroup="CHASIS" count="0" hidden="1"/>
    <cacheHierarchy uniqueName="[Measures].[__XL_Count clientes]" caption="__XL_Count clientes" measure="1" displayFolder="" measureGroup="clientes" count="0" hidden="1"/>
    <cacheHierarchy uniqueName="[Measures].[__No measures defined]" caption="__No measures defined" measure="1" displayFolder="" count="0" hidden="1"/>
    <cacheHierarchy uniqueName="[Measures].[Suma de IMP POR POYECTO 3]" caption="Suma de IMP POR POYECTO 3" measure="1" displayFolder="" measureGroup="otros" count="0" oneField="1" hidden="1">
      <fieldsUsage count="1">
        <fieldUsage x="1"/>
      </fieldsUsage>
      <extLst>
        <ext xmlns:x15="http://schemas.microsoft.com/office/spreadsheetml/2010/11/main" uri="{B97F6D7D-B522-45F9-BDA1-12C45D357490}">
          <x15:cacheHierarchy aggregatedColumn="44"/>
        </ext>
      </extLst>
    </cacheHierarchy>
    <cacheHierarchy uniqueName="[Measures].[Suma de IMP POR POYECTO 4]" caption="Suma de IMP POR POYECTO 4" measure="1" displayFolder="" measureGroup="piramide" count="0" hidden="1">
      <extLst>
        <ext xmlns:x15="http://schemas.microsoft.com/office/spreadsheetml/2010/11/main" uri="{B97F6D7D-B522-45F9-BDA1-12C45D357490}">
          <x15:cacheHierarchy aggregatedColumn="66"/>
        </ext>
      </extLst>
    </cacheHierarchy>
    <cacheHierarchy uniqueName="[Measures].[Suma de IMP POR POYECTO 5]" caption="Suma de IMP POR POYECTO 5" measure="1" displayFolder="" measureGroup="extras" count="0" hidden="1">
      <extLst>
        <ext xmlns:x15="http://schemas.microsoft.com/office/spreadsheetml/2010/11/main" uri="{B97F6D7D-B522-45F9-BDA1-12C45D357490}">
          <x15:cacheHierarchy aggregatedColumn="35"/>
        </ext>
      </extLst>
    </cacheHierarchy>
    <cacheHierarchy uniqueName="[Measures].[Suma de IMP POR POYECTO 6]" caption="Suma de IMP POR POYECTO 6" measure="1" displayFolder="" measureGroup="truckzone" count="0" hidden="1">
      <extLst>
        <ext xmlns:x15="http://schemas.microsoft.com/office/spreadsheetml/2010/11/main" uri="{B97F6D7D-B522-45F9-BDA1-12C45D357490}">
          <x15:cacheHierarchy aggregatedColumn="94"/>
        </ext>
      </extLst>
    </cacheHierarchy>
    <cacheHierarchy uniqueName="[Measures].[Suma de PZAS 2]" caption="Suma de PZAS 2" measure="1" displayFolder="" measureGroup="otros" count="0" oneField="1" hidden="1">
      <fieldsUsage count="1">
        <fieldUsage x="3"/>
      </fieldsUsage>
      <extLst>
        <ext xmlns:x15="http://schemas.microsoft.com/office/spreadsheetml/2010/11/main" uri="{B97F6D7D-B522-45F9-BDA1-12C45D357490}">
          <x15:cacheHierarchy aggregatedColumn="39"/>
        </ext>
      </extLst>
    </cacheHierarchy>
    <cacheHierarchy uniqueName="[Measures].[Suma de PZAS 3]" caption="Suma de PZAS 3" measure="1" displayFolder="" measureGroup="extras" count="0" hidden="1">
      <extLst>
        <ext xmlns:x15="http://schemas.microsoft.com/office/spreadsheetml/2010/11/main" uri="{B97F6D7D-B522-45F9-BDA1-12C45D357490}">
          <x15:cacheHierarchy aggregatedColumn="29"/>
        </ext>
      </extLst>
    </cacheHierarchy>
    <cacheHierarchy uniqueName="[Measures].[Suma de PZAS 4]" caption="Suma de PZAS 4" measure="1" displayFolder="" measureGroup="piramide" count="0" hidden="1">
      <extLst>
        <ext xmlns:x15="http://schemas.microsoft.com/office/spreadsheetml/2010/11/main" uri="{B97F6D7D-B522-45F9-BDA1-12C45D357490}">
          <x15:cacheHierarchy aggregatedColumn="61"/>
        </ext>
      </extLst>
    </cacheHierarchy>
    <cacheHierarchy uniqueName="[Measures].[Suma de PZAS 5]" caption="Suma de PZAS 5" measure="1" displayFolder="" measureGroup="truckzone" count="0" hidden="1">
      <extLst>
        <ext xmlns:x15="http://schemas.microsoft.com/office/spreadsheetml/2010/11/main" uri="{B97F6D7D-B522-45F9-BDA1-12C45D357490}">
          <x15:cacheHierarchy aggregatedColumn="89"/>
        </ext>
      </extLst>
    </cacheHierarchy>
    <cacheHierarchy uniqueName="[Measures].[Suma de IMP POR POYECTO]" caption="Suma de IMP POR POYECTO" measure="1" displayFolder="" measureGroup="ACERO 1" count="0" hidden="1">
      <extLst>
        <ext xmlns:x15="http://schemas.microsoft.com/office/spreadsheetml/2010/11/main" uri="{B97F6D7D-B522-45F9-BDA1-12C45D357490}">
          <x15:cacheHierarchy aggregatedColumn="5"/>
        </ext>
      </extLst>
    </cacheHierarchy>
    <cacheHierarchy uniqueName="[Measures].[Suma de PZAS 6]" caption="Suma de PZAS 6" measure="1" displayFolder="" measureGroup="ACERO 1" count="0" hidden="1">
      <extLst>
        <ext xmlns:x15="http://schemas.microsoft.com/office/spreadsheetml/2010/11/main" uri="{B97F6D7D-B522-45F9-BDA1-12C45D357490}">
          <x15:cacheHierarchy aggregatedColumn="0"/>
        </ext>
      </extLst>
    </cacheHierarchy>
    <cacheHierarchy uniqueName="[Measures].[Recuento de MATERIAL / ACCESORIO]" caption="Recuento de MATERIAL / ACCESORIO" measure="1" displayFolder="" measureGroup="extras" count="0" hidden="1">
      <extLst>
        <ext xmlns:x15="http://schemas.microsoft.com/office/spreadsheetml/2010/11/main" uri="{B97F6D7D-B522-45F9-BDA1-12C45D357490}">
          <x15:cacheHierarchy aggregatedColumn="32"/>
        </ext>
      </extLst>
    </cacheHierarchy>
    <cacheHierarchy uniqueName="[Measures].[Recuento de TIPO]" caption="Recuento de TIPO" measure="1" displayFolder="" measureGroup="extras" count="0" hidden="1">
      <extLst>
        <ext xmlns:x15="http://schemas.microsoft.com/office/spreadsheetml/2010/11/main" uri="{B97F6D7D-B522-45F9-BDA1-12C45D357490}">
          <x15:cacheHierarchy aggregatedColumn="30"/>
        </ext>
      </extLst>
    </cacheHierarchy>
    <cacheHierarchy uniqueName="[Measures].[Suma de PAGO]" caption="Suma de PAGO" measure="1" displayFolder="" measureGroup="CHASIS" count="0" hidden="1">
      <extLst>
        <ext xmlns:x15="http://schemas.microsoft.com/office/spreadsheetml/2010/11/main" uri="{B97F6D7D-B522-45F9-BDA1-12C45D357490}">
          <x15:cacheHierarchy aggregatedColumn="14"/>
        </ext>
      </extLst>
    </cacheHierarchy>
    <cacheHierarchy uniqueName="[Measures].[Suma de P/U]" caption="Suma de P/U" measure="1" displayFolder="" measureGroup="CHASIS" count="0" hidden="1">
      <extLst>
        <ext xmlns:x15="http://schemas.microsoft.com/office/spreadsheetml/2010/11/main" uri="{B97F6D7D-B522-45F9-BDA1-12C45D357490}">
          <x15:cacheHierarchy aggregatedColumn="13"/>
        </ext>
      </extLst>
    </cacheHierarchy>
    <cacheHierarchy uniqueName="[Measures].[Suma de ADEUDO]" caption="Suma de ADEUDO" measure="1" displayFolder="" measureGroup="CHASIS" count="0" hidden="1">
      <extLst>
        <ext xmlns:x15="http://schemas.microsoft.com/office/spreadsheetml/2010/11/main" uri="{B97F6D7D-B522-45F9-BDA1-12C45D357490}">
          <x15:cacheHierarchy aggregatedColumn="15"/>
        </ext>
      </extLst>
    </cacheHierarchy>
  </cacheHierarchies>
  <kpis count="0"/>
  <dimensions count="15">
    <dimension name="ACERO 1" uniqueName="[ACERO 1]" caption="ACERO 1"/>
    <dimension name="CHASIS" uniqueName="[CHASIS]" caption="CHASIS"/>
    <dimension name="clientes" uniqueName="[clientes]" caption="clientes"/>
    <dimension name="extras" uniqueName="[extras]" caption="extras"/>
    <dimension measure="1" name="Measures" uniqueName="[Measures]" caption="Measures"/>
    <dimension name="otros" uniqueName="[otros]" caption="otros"/>
    <dimension name="Page001" uniqueName="[Page001]" caption="Page001"/>
    <dimension name="Page002" uniqueName="[Page002]" caption="Page002"/>
    <dimension name="Page003" uniqueName="[Page003]" caption="Page003"/>
    <dimension name="piramide" uniqueName="[piramide]" caption="piramide"/>
    <dimension name="Tabla24" uniqueName="[Tabla24]" caption="Tabla24"/>
    <dimension name="Table001  Page 1" uniqueName="[Table001  Page 1]" caption="Table001  Page 1"/>
    <dimension name="Table002  Page 3" uniqueName="[Table002  Page 3]" caption="Table002  Page 3"/>
    <dimension name="Table004  Page 3" uniqueName="[Table004  Page 3]" caption="Table004  Page 3"/>
    <dimension name="truckzone" uniqueName="[truckzone]" caption="truckzone"/>
  </dimensions>
  <measureGroups count="14">
    <measureGroup name="ACERO 1" caption="ACERO 1"/>
    <measureGroup name="CHASIS" caption="CHASIS"/>
    <measureGroup name="clientes" caption="clientes"/>
    <measureGroup name="extras" caption="extras"/>
    <measureGroup name="otros" caption="otros"/>
    <measureGroup name="Page001" caption="Page001"/>
    <measureGroup name="Page002" caption="Page002"/>
    <measureGroup name="Page003" caption="Page003"/>
    <measureGroup name="piramide" caption="piramide"/>
    <measureGroup name="Tabla24" caption="Tabla24"/>
    <measureGroup name="Table001  Page 1" caption="Table001  Page 1"/>
    <measureGroup name="Table002  Page 3" caption="Table002  Page 3"/>
    <measureGroup name="Table004  Page 3" caption="Table004  Page 3"/>
    <measureGroup name="truckzone" caption="truckzone"/>
  </measureGroups>
  <maps count="19">
    <map measureGroup="0" dimension="0"/>
    <map measureGroup="0" dimension="10"/>
    <map measureGroup="1" dimension="1"/>
    <map measureGroup="2" dimension="2"/>
    <map measureGroup="3" dimension="3"/>
    <map measureGroup="3" dimension="10"/>
    <map measureGroup="4" dimension="5"/>
    <map measureGroup="4" dimension="10"/>
    <map measureGroup="5" dimension="6"/>
    <map measureGroup="6" dimension="7"/>
    <map measureGroup="7" dimension="8"/>
    <map measureGroup="8" dimension="9"/>
    <map measureGroup="8" dimension="10"/>
    <map measureGroup="9" dimension="10"/>
    <map measureGroup="10" dimension="11"/>
    <map measureGroup="11" dimension="12"/>
    <map measureGroup="12" dimension="13"/>
    <map measureGroup="13" dimension="10"/>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olca" refreshedDate="45201.386388194442" backgroundQuery="1" createdVersion="5" refreshedVersion="8" minRefreshableVersion="3" recordCount="0" supportSubquery="1" supportAdvancedDrill="1" xr:uid="{30725A61-310B-457C-8C7C-2CC488BC0E6E}">
  <cacheSource type="external" connectionId="8"/>
  <cacheFields count="3">
    <cacheField name="[Tabla24].[NOMBRE].[NOMBRE]" caption="NOMBRE" numFmtId="0" hierarchy="71" level="1">
      <sharedItems containsSemiMixedTypes="0" containsNonDate="0" containsString="0"/>
    </cacheField>
    <cacheField name="[Tabla24].[NUM. DE EJES].[NUM. DE EJES]" caption="NUM. DE EJES" numFmtId="0" hierarchy="73" level="1">
      <sharedItems containsSemiMixedTypes="0" containsNonDate="0" containsString="0"/>
    </cacheField>
    <cacheField name="[Tabla24].[LARGO].[LARGO]" caption="LARGO" numFmtId="0" hierarchy="74" level="1">
      <sharedItems containsSemiMixedTypes="0" containsNonDate="0" containsString="0"/>
    </cacheField>
  </cacheFields>
  <cacheHierarchies count="130">
    <cacheHierarchy uniqueName="[ACERO 1].[PZAS]" caption="PZAS" attribute="1" defaultMemberUniqueName="[ACERO 1].[PZAS].[All]" allUniqueName="[ACERO 1].[PZAS].[All]" dimensionUniqueName="[ACERO 1]" displayFolder="" count="0" memberValueDatatype="5" unbalanced="0"/>
    <cacheHierarchy uniqueName="[ACERO 1].[TIPO]" caption="TIPO" attribute="1" defaultMemberUniqueName="[ACERO 1].[TIPO].[All]" allUniqueName="[ACERO 1].[TIPO].[All]" dimensionUniqueName="[ACERO 1]" displayFolder="" count="0" memberValueDatatype="130" unbalanced="0"/>
    <cacheHierarchy uniqueName="[ACERO 1].[NOMBRE]" caption="NOMBRE" attribute="1" defaultMemberUniqueName="[ACERO 1].[NOMBRE].[All]" allUniqueName="[ACERO 1].[NOMBRE].[All]" dimensionUniqueName="[ACERO 1]" displayFolder="" count="0" memberValueDatatype="130" unbalanced="0"/>
    <cacheHierarchy uniqueName="[ACERO 1].[MATERIAL / ACCESORIO]" caption="MATERIAL / ACCESORIO" attribute="1" defaultMemberUniqueName="[ACERO 1].[MATERIAL / ACCESORIO].[All]" allUniqueName="[ACERO 1].[MATERIAL / ACCESORIO].[All]" dimensionUniqueName="[ACERO 1]" displayFolder="" count="0" memberValueDatatype="130" unbalanced="0"/>
    <cacheHierarchy uniqueName="[ACERO 1].[PRECIO $ C/U]" caption="PRECIO $ C/U" attribute="1" defaultMemberUniqueName="[ACERO 1].[PRECIO $ C/U].[All]" allUniqueName="[ACERO 1].[PRECIO $ C/U].[All]" dimensionUniqueName="[ACERO 1]" displayFolder="" count="0" memberValueDatatype="5" unbalanced="0"/>
    <cacheHierarchy uniqueName="[ACERO 1].[IMP POR POYECTO]" caption="IMP POR POYECTO" attribute="1" defaultMemberUniqueName="[ACERO 1].[IMP POR POYECTO].[All]" allUniqueName="[ACERO 1].[IMP POR POYECTO].[All]" dimensionUniqueName="[ACERO 1]" displayFolder="" count="0" memberValueDatatype="5" unbalanced="0"/>
    <cacheHierarchy uniqueName="[ACERO 1].[NUM. DE EJES]" caption="NUM. DE EJES" attribute="1" defaultMemberUniqueName="[ACERO 1].[NUM. DE EJES].[All]" allUniqueName="[ACERO 1].[NUM. DE EJES].[All]" dimensionUniqueName="[ACERO 1]" displayFolder="" count="0" memberValueDatatype="20" unbalanced="0"/>
    <cacheHierarchy uniqueName="[ACERO 1].[LARGO]" caption="LARGO" attribute="1" defaultMemberUniqueName="[ACERO 1].[LARGO].[All]" allUniqueName="[ACERO 1].[LARGO].[All]" dimensionUniqueName="[ACERO 1]" displayFolder="" count="0" memberValueDatatype="130" unbalanced="0"/>
    <cacheHierarchy uniqueName="[ACERO 1].[CLASE]" caption="CLASE" attribute="1" defaultMemberUniqueName="[ACERO 1].[CLASE].[All]" allUniqueName="[ACERO 1].[CLASE].[All]" dimensionUniqueName="[ACERO 1]" displayFolder="" count="0" memberValueDatatype="130" unbalanced="0"/>
    <cacheHierarchy uniqueName="[ACERO 1].[OBSERVACION]" caption="OBSERVACION" attribute="1" defaultMemberUniqueName="[ACERO 1].[OBSERVACION].[All]" allUniqueName="[ACERO 1].[OBSERVACION].[All]" dimensionUniqueName="[ACERO 1]" displayFolder="" count="0" memberValueDatatype="130" unbalanced="0"/>
    <cacheHierarchy uniqueName="[CHASIS].[CLIENTE]" caption="CLIENTE" attribute="1" defaultMemberUniqueName="[CHASIS].[CLIENTE].[All]" allUniqueName="[CHASIS].[CLIENTE].[All]" dimensionUniqueName="[CHASIS]" displayFolder="" count="0" memberValueDatatype="130" unbalanced="0"/>
    <cacheHierarchy uniqueName="[CHASIS].[CHASIS]" caption="CHASIS" attribute="1" defaultMemberUniqueName="[CHASIS].[CHASIS].[All]" allUniqueName="[CHASIS].[CHASIS].[All]" dimensionUniqueName="[CHASIS]" displayFolder="" count="0" memberValueDatatype="130" unbalanced="0"/>
    <cacheHierarchy uniqueName="[CHASIS].[AÑO MODELO]" caption="AÑO MODELO" attribute="1" defaultMemberUniqueName="[CHASIS].[AÑO MODELO].[All]" allUniqueName="[CHASIS].[AÑO MODELO].[All]" dimensionUniqueName="[CHASIS]" displayFolder="" count="0" memberValueDatatype="20" unbalanced="0"/>
    <cacheHierarchy uniqueName="[CHASIS].[P/U]" caption="P/U" attribute="1" defaultMemberUniqueName="[CHASIS].[P/U].[All]" allUniqueName="[CHASIS].[P/U].[All]" dimensionUniqueName="[CHASIS]" displayFolder="" count="0" memberValueDatatype="20" unbalanced="0"/>
    <cacheHierarchy uniqueName="[CHASIS].[PAGO]" caption="PAGO" attribute="1" defaultMemberUniqueName="[CHASIS].[PAGO].[All]" allUniqueName="[CHASIS].[PAGO].[All]" dimensionUniqueName="[CHASIS]" displayFolder="" count="0" memberValueDatatype="20" unbalanced="0"/>
    <cacheHierarchy uniqueName="[CHASIS].[ADEUDO]" caption="ADEUDO" attribute="1" defaultMemberUniqueName="[CHASIS].[ADEUDO].[All]" allUniqueName="[CHASIS].[ADEUDO].[All]" dimensionUniqueName="[CHASIS]" displayFolder="" count="0" memberValueDatatype="20" unbalanced="0"/>
    <cacheHierarchy uniqueName="[CHASIS].[FACTURA]" caption="FACTURA" attribute="1" defaultMemberUniqueName="[CHASIS].[FACTURA].[All]" allUniqueName="[CHASIS].[FACTURA].[All]" dimensionUniqueName="[CHASIS]" displayFolder="" count="0" memberValueDatatype="130" unbalanced="0"/>
    <cacheHierarchy uniqueName="[CHASIS].[FECHE/ENTRGA]" caption="FECHE/ENTRGA" attribute="1" time="1" defaultMemberUniqueName="[CHASIS].[FECHE/ENTRGA].[All]" allUniqueName="[CHASIS].[FECHE/ENTRGA].[All]" dimensionUniqueName="[CHASIS]" displayFolder="" count="0" memberValueDatatype="7" unbalanced="0"/>
    <cacheHierarchy uniqueName="[CHASIS].[PAGADO]" caption="PAGADO" attribute="1" defaultMemberUniqueName="[CHASIS].[PAGADO].[All]" allUniqueName="[CHASIS].[PAGADO].[All]" dimensionUniqueName="[CHASIS]" displayFolder="" count="0" memberValueDatatype="130" unbalanced="0"/>
    <cacheHierarchy uniqueName="[CHASIS].[EQUI. ENTREGADOS]" caption="EQUI. ENTREGADOS" attribute="1" defaultMemberUniqueName="[CHASIS].[EQUI. ENTREGADOS].[All]" allUniqueName="[CHASIS].[EQUI. ENTREGADOS].[All]" dimensionUniqueName="[CHASIS]" displayFolder="" count="0" memberValueDatatype="130" unbalanced="0"/>
    <cacheHierarchy uniqueName="[CHASIS].[FECHE/ENTRGA (mes)]" caption="FECHE/ENTRGA (mes)" attribute="1" defaultMemberUniqueName="[CHASIS].[FECHE/ENTRGA (mes)].[All]" allUniqueName="[CHASIS].[FECHE/ENTRGA (mes)].[All]" dimensionUniqueName="[CHASIS]" displayFolder="" count="0" memberValueDatatype="130" unbalanced="0"/>
    <cacheHierarchy uniqueName="[clientes].[CLIENTE]" caption="CLIENTE" attribute="1" defaultMemberUniqueName="[clientes].[CLIENTE].[All]" allUniqueName="[clientes].[CLIENTE].[All]" dimensionUniqueName="[clientes]" displayFolder="" count="0" memberValueDatatype="130" unbalanced="0"/>
    <cacheHierarchy uniqueName="[clientes].[R. F. C.]" caption="R. F. C." attribute="1" defaultMemberUniqueName="[clientes].[R. F. C.].[All]" allUniqueName="[clientes].[R. F. C.].[All]" dimensionUniqueName="[clientes]" displayFolder="" count="0" memberValueDatatype="130" unbalanced="0"/>
    <cacheHierarchy uniqueName="[clientes].[EMPRESA]" caption="EMPRESA" attribute="1" defaultMemberUniqueName="[clientes].[EMPRESA].[All]" allUniqueName="[clientes].[EMPRESA].[All]" dimensionUniqueName="[clientes]" displayFolder="" count="0" memberValueDatatype="130" unbalanced="0"/>
    <cacheHierarchy uniqueName="[clientes].[CALLE, No., COLONIA]" caption="CALLE, No., COLONIA" attribute="1" defaultMemberUniqueName="[clientes].[CALLE, No., COLONIA].[All]" allUniqueName="[clientes].[CALLE, No., COLONIA].[All]" dimensionUniqueName="[clientes]" displayFolder="" count="0" memberValueDatatype="130" unbalanced="0"/>
    <cacheHierarchy uniqueName="[clientes].[MUNICIPIO, ESTADO, PAIS.]" caption="MUNICIPIO, ESTADO, PAIS." attribute="1" defaultMemberUniqueName="[clientes].[MUNICIPIO, ESTADO, PAIS.].[All]" allUniqueName="[clientes].[MUNICIPIO, ESTADO, PAIS.].[All]" dimensionUniqueName="[clientes]" displayFolder="" count="0" memberValueDatatype="130" unbalanced="0"/>
    <cacheHierarchy uniqueName="[clientes].[C.P.]" caption="C.P." attribute="1" defaultMemberUniqueName="[clientes].[C.P.].[All]" allUniqueName="[clientes].[C.P.].[All]" dimensionUniqueName="[clientes]" displayFolder="" count="0" memberValueDatatype="130" unbalanced="0"/>
    <cacheHierarchy uniqueName="[clientes].[TEL/CEL]" caption="TEL/CEL" attribute="1" defaultMemberUniqueName="[clientes].[TEL/CEL].[All]" allUniqueName="[clientes].[TEL/CEL].[All]" dimensionUniqueName="[clientes]" displayFolder="" count="0" memberValueDatatype="130" unbalanced="0"/>
    <cacheHierarchy uniqueName="[clientes].[CORREO]" caption="CORREO" attribute="1" defaultMemberUniqueName="[clientes].[CORREO].[All]" allUniqueName="[clientes].[CORREO].[All]" dimensionUniqueName="[clientes]" displayFolder="" count="0" memberValueDatatype="130" unbalanced="0"/>
    <cacheHierarchy uniqueName="[extras].[PZAS]" caption="PZAS" attribute="1" defaultMemberUniqueName="[extras].[PZAS].[All]" allUniqueName="[extras].[PZAS].[All]" dimensionUniqueName="[extras]" displayFolder="" count="0" memberValueDatatype="20" unbalanced="0"/>
    <cacheHierarchy uniqueName="[extras].[TIPO]" caption="TIPO" attribute="1" defaultMemberUniqueName="[extras].[TIPO].[All]" allUniqueName="[extras].[TIPO].[All]" dimensionUniqueName="[extras]" displayFolder="" count="0" memberValueDatatype="130" unbalanced="0"/>
    <cacheHierarchy uniqueName="[extras].[NOMBRE]" caption="NOMBRE" attribute="1" defaultMemberUniqueName="[extras].[NOMBRE].[All]" allUniqueName="[extras].[NOMBRE].[All]" dimensionUniqueName="[extras]" displayFolder="" count="0" memberValueDatatype="130" unbalanced="0"/>
    <cacheHierarchy uniqueName="[extras].[MATERIAL / ACCESORIO]" caption="MATERIAL / ACCESORIO" attribute="1" defaultMemberUniqueName="[extras].[MATERIAL / ACCESORIO].[All]" allUniqueName="[extras].[MATERIAL / ACCESORIO].[All]" dimensionUniqueName="[extras]" displayFolder="" count="0" memberValueDatatype="130" unbalanced="0"/>
    <cacheHierarchy uniqueName="[extras].[CLASE]" caption="CLASE" attribute="1" defaultMemberUniqueName="[extras].[CLASE].[All]" allUniqueName="[extras].[CLASE].[All]" dimensionUniqueName="[extras]" displayFolder="" count="0" memberValueDatatype="130" unbalanced="0"/>
    <cacheHierarchy uniqueName="[extras].[PRECIO $ C/U]" caption="PRECIO $ C/U" attribute="1" defaultMemberUniqueName="[extras].[PRECIO $ C/U].[All]" allUniqueName="[extras].[PRECIO $ C/U].[All]" dimensionUniqueName="[extras]" displayFolder="" count="0" memberValueDatatype="20" unbalanced="0"/>
    <cacheHierarchy uniqueName="[extras].[IMP POR POYECTO]" caption="IMP POR POYECTO" attribute="1" defaultMemberUniqueName="[extras].[IMP POR POYECTO].[All]" allUniqueName="[extras].[IMP POR POYECTO].[All]" dimensionUniqueName="[extras]" displayFolder="" count="0" memberValueDatatype="20" unbalanced="0"/>
    <cacheHierarchy uniqueName="[extras].[NUM. DE EJES]" caption="NUM. DE EJES" attribute="1" defaultMemberUniqueName="[extras].[NUM. DE EJES].[All]" allUniqueName="[extras].[NUM. DE EJES].[All]" dimensionUniqueName="[extras]" displayFolder="" count="0" memberValueDatatype="20" unbalanced="0"/>
    <cacheHierarchy uniqueName="[extras].[LARGO]" caption="LARGO" attribute="1" defaultMemberUniqueName="[extras].[LARGO].[All]" allUniqueName="[extras].[LARGO].[All]" dimensionUniqueName="[extras]" displayFolder="" count="0" memberValueDatatype="130" unbalanced="0"/>
    <cacheHierarchy uniqueName="[extras].[OBSERVACION]" caption="OBSERVACION" attribute="1" defaultMemberUniqueName="[extras].[OBSERVACION].[All]" allUniqueName="[extras].[OBSERVACION].[All]" dimensionUniqueName="[extras]" displayFolder="" count="0" memberValueDatatype="130" unbalanced="0"/>
    <cacheHierarchy uniqueName="[otros].[PZAS]" caption="PZAS" attribute="1" defaultMemberUniqueName="[otros].[PZAS].[All]" allUniqueName="[otros].[PZAS].[All]" dimensionUniqueName="[otros]" displayFolder="" count="0" memberValueDatatype="5" unbalanced="0"/>
    <cacheHierarchy uniqueName="[otros].[TIPO]" caption="TIPO" attribute="1" defaultMemberUniqueName="[otros].[TIPO].[All]" allUniqueName="[otros].[TIPO].[All]" dimensionUniqueName="[otros]" displayFolder="" count="0" memberValueDatatype="130" unbalanced="0"/>
    <cacheHierarchy uniqueName="[otros].[NOMBRE]" caption="NOMBRE" attribute="1" defaultMemberUniqueName="[otros].[NOMBRE].[All]" allUniqueName="[otros].[NOMBRE].[All]" dimensionUniqueName="[otros]" displayFolder="" count="0" memberValueDatatype="130" unbalanced="0"/>
    <cacheHierarchy uniqueName="[otros].[MATERIAL / ACCESORIO]" caption="MATERIAL / ACCESORIO" attribute="1" defaultMemberUniqueName="[otros].[MATERIAL / ACCESORIO].[All]" allUniqueName="[otros].[MATERIAL / ACCESORIO].[All]" dimensionUniqueName="[otros]" displayFolder="" count="0" memberValueDatatype="130" unbalanced="0"/>
    <cacheHierarchy uniqueName="[otros].[PRECIO $ C/U]" caption="PRECIO $ C/U" attribute="1" defaultMemberUniqueName="[otros].[PRECIO $ C/U].[All]" allUniqueName="[otros].[PRECIO $ C/U].[All]" dimensionUniqueName="[otros]" displayFolder="" count="0" memberValueDatatype="20" unbalanced="0"/>
    <cacheHierarchy uniqueName="[otros].[IMP POR POYECTO]" caption="IMP POR POYECTO" attribute="1" defaultMemberUniqueName="[otros].[IMP POR POYECTO].[All]" allUniqueName="[otros].[IMP POR POYECTO].[All]" dimensionUniqueName="[otros]" displayFolder="" count="0" memberValueDatatype="5" unbalanced="0"/>
    <cacheHierarchy uniqueName="[otros].[NUM. DE EJES]" caption="NUM. DE EJES" attribute="1" defaultMemberUniqueName="[otros].[NUM. DE EJES].[All]" allUniqueName="[otros].[NUM. DE EJES].[All]" dimensionUniqueName="[otros]" displayFolder="" count="0" memberValueDatatype="20" unbalanced="0"/>
    <cacheHierarchy uniqueName="[otros].[LARGO]" caption="LARGO" attribute="1" defaultMemberUniqueName="[otros].[LARGO].[All]" allUniqueName="[otros].[LARGO].[All]" dimensionUniqueName="[otros]" displayFolder="" count="0" memberValueDatatype="130" unbalanced="0"/>
    <cacheHierarchy uniqueName="[otros].[CLASE]" caption="CLASE" attribute="1" defaultMemberUniqueName="[otros].[CLASE].[All]" allUniqueName="[otros].[CLASE].[All]" dimensionUniqueName="[otros]" displayFolder="" count="0" memberValueDatatype="130" unbalanced="0"/>
    <cacheHierarchy uniqueName="[otros].[OBSERVACION]" caption="OBSERVACION" attribute="1" defaultMemberUniqueName="[otros].[OBSERVACION].[All]" allUniqueName="[otros].[OBSERVACION].[All]" dimensionUniqueName="[otros]" displayFolder="" count="0" memberValueDatatype="130" unbalanced="0"/>
    <cacheHierarchy uniqueName="[Page001].[Column1]" caption="Column1" attribute="1" defaultMemberUniqueName="[Page001].[Column1].[All]" allUniqueName="[Page001].[Column1].[All]" dimensionUniqueName="[Page001]" displayFolder="" count="0" memberValueDatatype="130" unbalanced="0"/>
    <cacheHierarchy uniqueName="[Page001].[Column2]" caption="Column2" attribute="1" defaultMemberUniqueName="[Page001].[Column2].[All]" allUniqueName="[Page001].[Column2].[All]" dimensionUniqueName="[Page001]" displayFolder="" count="0" memberValueDatatype="130" unbalanced="0"/>
    <cacheHierarchy uniqueName="[Page001].[Column3]" caption="Column3" attribute="1" defaultMemberUniqueName="[Page001].[Column3].[All]" allUniqueName="[Page001].[Column3].[All]" dimensionUniqueName="[Page001]" displayFolder="" count="0" memberValueDatatype="130" unbalanced="0"/>
    <cacheHierarchy uniqueName="[Page001].[Column4]" caption="Column4" attribute="1" defaultMemberUniqueName="[Page001].[Column4].[All]" allUniqueName="[Page001].[Column4].[All]" dimensionUniqueName="[Page001]" displayFolder="" count="0" memberValueDatatype="130" unbalanced="0"/>
    <cacheHierarchy uniqueName="[Page001].[Column5]" caption="Column5" attribute="1" defaultMemberUniqueName="[Page001].[Column5].[All]" allUniqueName="[Page001].[Column5].[All]" dimensionUniqueName="[Page001]" displayFolder="" count="0" memberValueDatatype="130" unbalanced="0"/>
    <cacheHierarchy uniqueName="[Page002].[Column1]" caption="Column1" attribute="1" defaultMemberUniqueName="[Page002].[Column1].[All]" allUniqueName="[Page002].[Column1].[All]" dimensionUniqueName="[Page002]" displayFolder="" count="0" memberValueDatatype="130" unbalanced="0"/>
    <cacheHierarchy uniqueName="[Page002].[Column2]" caption="Column2" attribute="1" defaultMemberUniqueName="[Page002].[Column2].[All]" allUniqueName="[Page002].[Column2].[All]" dimensionUniqueName="[Page002]" displayFolder="" count="0" memberValueDatatype="130" unbalanced="0"/>
    <cacheHierarchy uniqueName="[Page003].[Column1]" caption="Column1" attribute="1" defaultMemberUniqueName="[Page003].[Column1].[All]" allUniqueName="[Page003].[Column1].[All]" dimensionUniqueName="[Page003]" displayFolder="" count="0" memberValueDatatype="130" unbalanced="0"/>
    <cacheHierarchy uniqueName="[Page003].[Column2]" caption="Column2" attribute="1" defaultMemberUniqueName="[Page003].[Column2].[All]" allUniqueName="[Page003].[Column2].[All]" dimensionUniqueName="[Page003]" displayFolder="" count="0" memberValueDatatype="130" unbalanced="0"/>
    <cacheHierarchy uniqueName="[Page003].[Column3]" caption="Column3" attribute="1" defaultMemberUniqueName="[Page003].[Column3].[All]" allUniqueName="[Page003].[Column3].[All]" dimensionUniqueName="[Page003]" displayFolder="" count="0" memberValueDatatype="130" unbalanced="0"/>
    <cacheHierarchy uniqueName="[Page003].[Column4]" caption="Column4" attribute="1" defaultMemberUniqueName="[Page003].[Column4].[All]" allUniqueName="[Page003].[Column4].[All]" dimensionUniqueName="[Page003]" displayFolder="" count="0" memberValueDatatype="130" unbalanced="0"/>
    <cacheHierarchy uniqueName="[Page003].[Column5]" caption="Column5" attribute="1" defaultMemberUniqueName="[Page003].[Column5].[All]" allUniqueName="[Page003].[Column5].[All]" dimensionUniqueName="[Page003]" displayFolder="" count="0" memberValueDatatype="130" unbalanced="0"/>
    <cacheHierarchy uniqueName="[piramide].[PZAS]" caption="PZAS" attribute="1" defaultMemberUniqueName="[piramide].[PZAS].[All]" allUniqueName="[piramide].[PZAS].[All]" dimensionUniqueName="[piramide]" displayFolder="" count="0" memberValueDatatype="5" unbalanced="0"/>
    <cacheHierarchy uniqueName="[piramide].[TIPO]" caption="TIPO" attribute="1" defaultMemberUniqueName="[piramide].[TIPO].[All]" allUniqueName="[piramide].[TIPO].[All]" dimensionUniqueName="[piramide]" displayFolder="" count="0" memberValueDatatype="130" unbalanced="0"/>
    <cacheHierarchy uniqueName="[piramide].[NOMBRE]" caption="NOMBRE" attribute="1" defaultMemberUniqueName="[piramide].[NOMBRE].[All]" allUniqueName="[piramide].[NOMBRE].[All]" dimensionUniqueName="[piramide]" displayFolder="" count="0" memberValueDatatype="130" unbalanced="0"/>
    <cacheHierarchy uniqueName="[piramide].[MATERIAL / ACCESORIO]" caption="MATERIAL / ACCESORIO" attribute="1" defaultMemberUniqueName="[piramide].[MATERIAL / ACCESORIO].[All]" allUniqueName="[piramide].[MATERIAL / ACCESORIO].[All]" dimensionUniqueName="[piramide]" displayFolder="" count="0" memberValueDatatype="130" unbalanced="0"/>
    <cacheHierarchy uniqueName="[piramide].[PRECIO $ C/U]" caption="PRECIO $ C/U" attribute="1" defaultMemberUniqueName="[piramide].[PRECIO $ C/U].[All]" allUniqueName="[piramide].[PRECIO $ C/U].[All]" dimensionUniqueName="[piramide]" displayFolder="" count="0" memberValueDatatype="5" unbalanced="0"/>
    <cacheHierarchy uniqueName="[piramide].[IMP POR POYECTO]" caption="IMP POR POYECTO" attribute="1" defaultMemberUniqueName="[piramide].[IMP POR POYECTO].[All]" allUniqueName="[piramide].[IMP POR POYECTO].[All]" dimensionUniqueName="[piramide]" displayFolder="" count="0" memberValueDatatype="5" unbalanced="0"/>
    <cacheHierarchy uniqueName="[piramide].[NUM. DE EJES]" caption="NUM. DE EJES" attribute="1" defaultMemberUniqueName="[piramide].[NUM. DE EJES].[All]" allUniqueName="[piramide].[NUM. DE EJES].[All]" dimensionUniqueName="[piramide]" displayFolder="" count="0" memberValueDatatype="20" unbalanced="0"/>
    <cacheHierarchy uniqueName="[piramide].[LARGO]" caption="LARGO" attribute="1" defaultMemberUniqueName="[piramide].[LARGO].[All]" allUniqueName="[piramide].[LARGO].[All]" dimensionUniqueName="[piramide]" displayFolder="" count="0" memberValueDatatype="130" unbalanced="0"/>
    <cacheHierarchy uniqueName="[piramide].[CLASE]" caption="CLASE" attribute="1" defaultMemberUniqueName="[piramide].[CLASE].[All]" allUniqueName="[piramide].[CLASE].[All]" dimensionUniqueName="[piramide]" displayFolder="" count="0" memberValueDatatype="130" unbalanced="0"/>
    <cacheHierarchy uniqueName="[piramide].[OBSERVACION]" caption="OBSERVACION" attribute="1" defaultMemberUniqueName="[piramide].[OBSERVACION].[All]" allUniqueName="[piramide].[OBSERVACION].[All]" dimensionUniqueName="[piramide]" displayFolder="" count="0" memberValueDatatype="130" unbalanced="0"/>
    <cacheHierarchy uniqueName="[Tabla24].[NOMBRE]" caption="NOMBRE" attribute="1" defaultMemberUniqueName="[Tabla24].[NOMBRE].[All]" allUniqueName="[Tabla24].[NOMBRE].[All]" dimensionUniqueName="[Tabla24]" displayFolder="" count="2" memberValueDatatype="130" unbalanced="0">
      <fieldsUsage count="2">
        <fieldUsage x="-1"/>
        <fieldUsage x="0"/>
      </fieldsUsage>
    </cacheHierarchy>
    <cacheHierarchy uniqueName="[Tabla24].[TIPO]" caption="TIPO" attribute="1" defaultMemberUniqueName="[Tabla24].[TIPO].[All]" allUniqueName="[Tabla24].[TIPO].[All]" dimensionUniqueName="[Tabla24]" displayFolder="" count="0" memberValueDatatype="130" unbalanced="0"/>
    <cacheHierarchy uniqueName="[Tabla24].[NUM. DE EJES]" caption="NUM. DE EJES" attribute="1" defaultMemberUniqueName="[Tabla24].[NUM. DE EJES].[All]" allUniqueName="[Tabla24].[NUM. DE EJES].[All]" dimensionUniqueName="[Tabla24]" displayFolder="" count="2" memberValueDatatype="20" unbalanced="0">
      <fieldsUsage count="2">
        <fieldUsage x="-1"/>
        <fieldUsage x="1"/>
      </fieldsUsage>
    </cacheHierarchy>
    <cacheHierarchy uniqueName="[Tabla24].[LARGO]" caption="LARGO" attribute="1" defaultMemberUniqueName="[Tabla24].[LARGO].[All]" allUniqueName="[Tabla24].[LARGO].[All]" dimensionUniqueName="[Tabla24]" displayFolder="" count="2" memberValueDatatype="130" unbalanced="0">
      <fieldsUsage count="2">
        <fieldUsage x="-1"/>
        <fieldUsage x="2"/>
      </fieldsUsage>
    </cacheHierarchy>
    <cacheHierarchy uniqueName="[Tabla24].[CONCAT]" caption="CONCAT" attribute="1" defaultMemberUniqueName="[Tabla24].[CONCAT].[All]" allUniqueName="[Tabla24].[CONCAT].[All]" dimensionUniqueName="[Tabla24]" displayFolder="" count="0" memberValueDatatype="130" unbalanced="0"/>
    <cacheHierarchy uniqueName="[Tabla24].[Peso Vehicular]" caption="Peso Vehicular" attribute="1" defaultMemberUniqueName="[Tabla24].[Peso Vehicular].[All]" allUniqueName="[Tabla24].[Peso Vehicular].[All]" dimensionUniqueName="[Tabla24]" displayFolder="" count="0" memberValueDatatype="20" unbalanced="0"/>
    <cacheHierarchy uniqueName="[Tabla24].[PBVD:]" caption="PBVD:" attribute="1" defaultMemberUniqueName="[Tabla24].[PBVD:].[All]" allUniqueName="[Tabla24].[PBVD:].[All]" dimensionUniqueName="[Tabla24]" displayFolder="" count="0" memberValueDatatype="20" unbalanced="0"/>
    <cacheHierarchy uniqueName="[Tabla24].[Modelo ABS:]" caption="Modelo ABS:" attribute="1" defaultMemberUniqueName="[Tabla24].[Modelo ABS:].[All]" allUniqueName="[Tabla24].[Modelo ABS:].[All]" dimensionUniqueName="[Tabla24]" displayFolder="" count="0" memberValueDatatype="130" unbalanced="0"/>
    <cacheHierarchy uniqueName="[Tabla24].[CDE ejes traseros:]" caption="CDE ejes traseros:" attribute="1" defaultMemberUniqueName="[Tabla24].[CDE ejes traseros:].[All]" allUniqueName="[Tabla24].[CDE ejes traseros:].[All]" dimensionUniqueName="[Tabla24]" displayFolder="" count="0" memberValueDatatype="20" unbalanced="0"/>
    <cacheHierarchy uniqueName="[Tabla24].[Número de llantas:]" caption="Número de llantas:" attribute="1" defaultMemberUniqueName="[Tabla24].[Número de llantas:].[All]" allUniqueName="[Tabla24].[Número de llantas:].[All]" dimensionUniqueName="[Tabla24]" displayFolder="" count="0" memberValueDatatype="20" unbalanced="0"/>
    <cacheHierarchy uniqueName="[Tabla24].[Capacidad de eje en posición de montaje:]" caption="Capacidad de eje en posición de montaje:" attribute="1" defaultMemberUniqueName="[Tabla24].[Capacidad de eje en posición de montaje:].[All]" allUniqueName="[Tabla24].[Capacidad de eje en posición de montaje:].[All]" dimensionUniqueName="[Tabla24]" displayFolder="" count="0" memberValueDatatype="20" unbalanced="0"/>
    <cacheHierarchy uniqueName="[Tabla24].[Capacidad de espigas de eje:]" caption="Capacidad de espigas de eje:" attribute="1" defaultMemberUniqueName="[Tabla24].[Capacidad de espigas de eje:].[All]" allUniqueName="[Tabla24].[Capacidad de espigas de eje:].[All]" dimensionUniqueName="[Tabla24]" displayFolder="" count="0" memberValueDatatype="20" unbalanced="0"/>
    <cacheHierarchy uniqueName="[Tabla24].[Longitud]" caption="Longitud" attribute="1" defaultMemberUniqueName="[Tabla24].[Longitud].[All]" allUniqueName="[Tabla24].[Longitud].[All]" dimensionUniqueName="[Tabla24]" displayFolder="" count="0" memberValueDatatype="5" unbalanced="0"/>
    <cacheHierarchy uniqueName="[Table001  Page 1].[Column1]" caption="Column1" attribute="1" defaultMemberUniqueName="[Table001  Page 1].[Column1].[All]" allUniqueName="[Table001  Page 1].[Column1].[All]" dimensionUniqueName="[Table001  Page 1]" displayFolder="" count="0" memberValueDatatype="130" unbalanced="0"/>
    <cacheHierarchy uniqueName="[Table002  Page 3].[Column1]" caption="Column1" attribute="1" defaultMemberUniqueName="[Table002  Page 3].[Column1].[All]" allUniqueName="[Table002  Page 3].[Column1].[All]" dimensionUniqueName="[Table002  Page 3]" displayFolder="" count="0" memberValueDatatype="130" unbalanced="0"/>
    <cacheHierarchy uniqueName="[Table002  Page 3].[Column2]" caption="Column2" attribute="1" defaultMemberUniqueName="[Table002  Page 3].[Column2].[All]" allUniqueName="[Table002  Page 3].[Column2].[All]" dimensionUniqueName="[Table002  Page 3]" displayFolder="" count="0" memberValueDatatype="130" unbalanced="0"/>
    <cacheHierarchy uniqueName="[Table004  Page 3].[Column1]" caption="Column1" attribute="1" defaultMemberUniqueName="[Table004  Page 3].[Column1].[All]" allUniqueName="[Table004  Page 3].[Column1].[All]" dimensionUniqueName="[Table004  Page 3]" displayFolder="" count="0" memberValueDatatype="130" unbalanced="0"/>
    <cacheHierarchy uniqueName="[Table004  Page 3].[Column2]" caption="Column2" attribute="1" defaultMemberUniqueName="[Table004  Page 3].[Column2].[All]" allUniqueName="[Table004  Page 3].[Column2].[All]" dimensionUniqueName="[Table004  Page 3]" displayFolder="" count="0" memberValueDatatype="130" unbalanced="0"/>
    <cacheHierarchy uniqueName="[truckzone].[PZAS]" caption="PZAS" attribute="1" defaultMemberUniqueName="[truckzone].[PZAS].[All]" allUniqueName="[truckzone].[PZAS].[All]" dimensionUniqueName="[truckzone]" displayFolder="" count="0" memberValueDatatype="5" unbalanced="0"/>
    <cacheHierarchy uniqueName="[truckzone].[TIPO]" caption="TIPO" attribute="1" defaultMemberUniqueName="[truckzone].[TIPO].[All]" allUniqueName="[truckzone].[TIPO].[All]" dimensionUniqueName="[truckzone]" displayFolder="" count="0" memberValueDatatype="130" unbalanced="0"/>
    <cacheHierarchy uniqueName="[truckzone].[NOMBRE]" caption="NOMBRE" attribute="1" defaultMemberUniqueName="[truckzone].[NOMBRE].[All]" allUniqueName="[truckzone].[NOMBRE].[All]" dimensionUniqueName="[truckzone]" displayFolder="" count="0" memberValueDatatype="130" unbalanced="0"/>
    <cacheHierarchy uniqueName="[truckzone].[MATERIAL / ACCESORIO]" caption="MATERIAL / ACCESORIO" attribute="1" defaultMemberUniqueName="[truckzone].[MATERIAL / ACCESORIO].[All]" allUniqueName="[truckzone].[MATERIAL / ACCESORIO].[All]" dimensionUniqueName="[truckzone]" displayFolder="" count="0" memberValueDatatype="130" unbalanced="0"/>
    <cacheHierarchy uniqueName="[truckzone].[PRECIO $ C/U]" caption="PRECIO $ C/U" attribute="1" defaultMemberUniqueName="[truckzone].[PRECIO $ C/U].[All]" allUniqueName="[truckzone].[PRECIO $ C/U].[All]" dimensionUniqueName="[truckzone]" displayFolder="" count="0" memberValueDatatype="5" unbalanced="0"/>
    <cacheHierarchy uniqueName="[truckzone].[IMP POR POYECTO]" caption="IMP POR POYECTO" attribute="1" defaultMemberUniqueName="[truckzone].[IMP POR POYECTO].[All]" allUniqueName="[truckzone].[IMP POR POYECTO].[All]" dimensionUniqueName="[truckzone]" displayFolder="" count="0" memberValueDatatype="5" unbalanced="0"/>
    <cacheHierarchy uniqueName="[truckzone].[NUM. DE EJES]" caption="NUM. DE EJES" attribute="1" defaultMemberUniqueName="[truckzone].[NUM. DE EJES].[All]" allUniqueName="[truckzone].[NUM. DE EJES].[All]" dimensionUniqueName="[truckzone]" displayFolder="" count="0" memberValueDatatype="20" unbalanced="0"/>
    <cacheHierarchy uniqueName="[truckzone].[LARGO]" caption="LARGO" attribute="1" defaultMemberUniqueName="[truckzone].[LARGO].[All]" allUniqueName="[truckzone].[LARGO].[All]" dimensionUniqueName="[truckzone]" displayFolder="" count="0" memberValueDatatype="130" unbalanced="0"/>
    <cacheHierarchy uniqueName="[truckzone].[CLASE]" caption="CLASE" attribute="1" defaultMemberUniqueName="[truckzone].[CLASE].[All]" allUniqueName="[truckzone].[CLASE].[All]" dimensionUniqueName="[truckzone]" displayFolder="" count="0" memberValueDatatype="130" unbalanced="0"/>
    <cacheHierarchy uniqueName="[truckzone].[OBSERVACION]" caption="OBSERVACION" attribute="1" defaultMemberUniqueName="[truckzone].[OBSERVACION].[All]" allUniqueName="[truckzone].[OBSERVACION].[All]" dimensionUniqueName="[truckzone]" displayFolder="" count="0" memberValueDatatype="130" unbalanced="0"/>
    <cacheHierarchy uniqueName="[CHASIS].[FECHE/ENTRGA (índice de meses)]" caption="FECHE/ENTRGA (índice de meses)" attribute="1" defaultMemberUniqueName="[CHASIS].[FECHE/ENTRGA (índice de meses)].[All]" allUniqueName="[CHASIS].[FECHE/ENTRGA (índice de meses)].[All]" dimensionUniqueName="[CHASIS]" displayFolder="" count="0" memberValueDatatype="20" unbalanced="0" hidden="1"/>
    <cacheHierarchy uniqueName="[Measures].[__XL_Count extras]" caption="__XL_Count extras" measure="1" displayFolder="" measureGroup="extras" count="0" hidden="1"/>
    <cacheHierarchy uniqueName="[Measures].[__XL_Count otros]" caption="__XL_Count otros" measure="1" displayFolder="" measureGroup="otros" count="0" hidden="1"/>
    <cacheHierarchy uniqueName="[Measures].[__XL_Count piramide]" caption="__XL_Count piramide" measure="1" displayFolder="" measureGroup="piramide" count="0" hidden="1"/>
    <cacheHierarchy uniqueName="[Measures].[__XL_Count truckzone]" caption="__XL_Count truckzone" measure="1" displayFolder="" measureGroup="truckzone" count="0" hidden="1"/>
    <cacheHierarchy uniqueName="[Measures].[__XL_Count Tabla24]" caption="__XL_Count Tabla24" measure="1" displayFolder="" measureGroup="Tabla24" count="0" hidden="1"/>
    <cacheHierarchy uniqueName="[Measures].[__XL_Count ACERO 1]" caption="__XL_Count ACERO 1" measure="1" displayFolder="" measureGroup="ACERO 1" count="0" hidden="1"/>
    <cacheHierarchy uniqueName="[Measures].[__XL_Count Table001  Page 1]" caption="__XL_Count Table001  Page 1" measure="1" displayFolder="" measureGroup="Table001  Page 1" count="0" hidden="1"/>
    <cacheHierarchy uniqueName="[Measures].[__XL_Count Table002  Page 3]" caption="__XL_Count Table002  Page 3" measure="1" displayFolder="" measureGroup="Table002  Page 3" count="0" hidden="1"/>
    <cacheHierarchy uniqueName="[Measures].[__XL_Count Table004  Page 3]" caption="__XL_Count Table004  Page 3" measure="1" displayFolder="" measureGroup="Table004  Page 3" count="0" hidden="1"/>
    <cacheHierarchy uniqueName="[Measures].[__XL_Count Page001]" caption="__XL_Count Page001" measure="1" displayFolder="" measureGroup="Page001" count="0" hidden="1"/>
    <cacheHierarchy uniqueName="[Measures].[__XL_Count Page003]" caption="__XL_Count Page003" measure="1" displayFolder="" measureGroup="Page003" count="0" hidden="1"/>
    <cacheHierarchy uniqueName="[Measures].[__XL_Count Page002]" caption="__XL_Count Page002" measure="1" displayFolder="" measureGroup="Page002" count="0" hidden="1"/>
    <cacheHierarchy uniqueName="[Measures].[__XL_Count CHASIS]" caption="__XL_Count CHASIS" measure="1" displayFolder="" measureGroup="CHASIS" count="0" hidden="1"/>
    <cacheHierarchy uniqueName="[Measures].[__XL_Count clientes]" caption="__XL_Count clientes" measure="1" displayFolder="" measureGroup="clientes" count="0" hidden="1"/>
    <cacheHierarchy uniqueName="[Measures].[__No measures defined]" caption="__No measures defined" measure="1" displayFolder="" count="0" hidden="1"/>
    <cacheHierarchy uniqueName="[Measures].[Suma de IMP POR POYECTO 3]" caption="Suma de IMP POR POYECTO 3" measure="1" displayFolder="" measureGroup="otros" count="0" hidden="1">
      <extLst>
        <ext xmlns:x15="http://schemas.microsoft.com/office/spreadsheetml/2010/11/main" uri="{B97F6D7D-B522-45F9-BDA1-12C45D357490}">
          <x15:cacheHierarchy aggregatedColumn="44"/>
        </ext>
      </extLst>
    </cacheHierarchy>
    <cacheHierarchy uniqueName="[Measures].[Suma de IMP POR POYECTO 4]" caption="Suma de IMP POR POYECTO 4" measure="1" displayFolder="" measureGroup="piramide" count="0" hidden="1">
      <extLst>
        <ext xmlns:x15="http://schemas.microsoft.com/office/spreadsheetml/2010/11/main" uri="{B97F6D7D-B522-45F9-BDA1-12C45D357490}">
          <x15:cacheHierarchy aggregatedColumn="66"/>
        </ext>
      </extLst>
    </cacheHierarchy>
    <cacheHierarchy uniqueName="[Measures].[Suma de IMP POR POYECTO 5]" caption="Suma de IMP POR POYECTO 5" measure="1" displayFolder="" measureGroup="extras" count="0" hidden="1">
      <extLst>
        <ext xmlns:x15="http://schemas.microsoft.com/office/spreadsheetml/2010/11/main" uri="{B97F6D7D-B522-45F9-BDA1-12C45D357490}">
          <x15:cacheHierarchy aggregatedColumn="35"/>
        </ext>
      </extLst>
    </cacheHierarchy>
    <cacheHierarchy uniqueName="[Measures].[Suma de IMP POR POYECTO 6]" caption="Suma de IMP POR POYECTO 6" measure="1" displayFolder="" measureGroup="truckzone" count="0" hidden="1">
      <extLst>
        <ext xmlns:x15="http://schemas.microsoft.com/office/spreadsheetml/2010/11/main" uri="{B97F6D7D-B522-45F9-BDA1-12C45D357490}">
          <x15:cacheHierarchy aggregatedColumn="94"/>
        </ext>
      </extLst>
    </cacheHierarchy>
    <cacheHierarchy uniqueName="[Measures].[Suma de PZAS 2]" caption="Suma de PZAS 2" measure="1" displayFolder="" measureGroup="otros" count="0" hidden="1">
      <extLst>
        <ext xmlns:x15="http://schemas.microsoft.com/office/spreadsheetml/2010/11/main" uri="{B97F6D7D-B522-45F9-BDA1-12C45D357490}">
          <x15:cacheHierarchy aggregatedColumn="39"/>
        </ext>
      </extLst>
    </cacheHierarchy>
    <cacheHierarchy uniqueName="[Measures].[Suma de PZAS 3]" caption="Suma de PZAS 3" measure="1" displayFolder="" measureGroup="extras" count="0" hidden="1">
      <extLst>
        <ext xmlns:x15="http://schemas.microsoft.com/office/spreadsheetml/2010/11/main" uri="{B97F6D7D-B522-45F9-BDA1-12C45D357490}">
          <x15:cacheHierarchy aggregatedColumn="29"/>
        </ext>
      </extLst>
    </cacheHierarchy>
    <cacheHierarchy uniqueName="[Measures].[Suma de PZAS 4]" caption="Suma de PZAS 4" measure="1" displayFolder="" measureGroup="piramide" count="0" hidden="1">
      <extLst>
        <ext xmlns:x15="http://schemas.microsoft.com/office/spreadsheetml/2010/11/main" uri="{B97F6D7D-B522-45F9-BDA1-12C45D357490}">
          <x15:cacheHierarchy aggregatedColumn="61"/>
        </ext>
      </extLst>
    </cacheHierarchy>
    <cacheHierarchy uniqueName="[Measures].[Suma de PZAS 5]" caption="Suma de PZAS 5" measure="1" displayFolder="" measureGroup="truckzone" count="0" hidden="1">
      <extLst>
        <ext xmlns:x15="http://schemas.microsoft.com/office/spreadsheetml/2010/11/main" uri="{B97F6D7D-B522-45F9-BDA1-12C45D357490}">
          <x15:cacheHierarchy aggregatedColumn="89"/>
        </ext>
      </extLst>
    </cacheHierarchy>
    <cacheHierarchy uniqueName="[Measures].[Suma de IMP POR POYECTO]" caption="Suma de IMP POR POYECTO" measure="1" displayFolder="" measureGroup="ACERO 1" count="0" hidden="1">
      <extLst>
        <ext xmlns:x15="http://schemas.microsoft.com/office/spreadsheetml/2010/11/main" uri="{B97F6D7D-B522-45F9-BDA1-12C45D357490}">
          <x15:cacheHierarchy aggregatedColumn="5"/>
        </ext>
      </extLst>
    </cacheHierarchy>
    <cacheHierarchy uniqueName="[Measures].[Suma de PZAS 6]" caption="Suma de PZAS 6" measure="1" displayFolder="" measureGroup="ACERO 1" count="0" hidden="1">
      <extLst>
        <ext xmlns:x15="http://schemas.microsoft.com/office/spreadsheetml/2010/11/main" uri="{B97F6D7D-B522-45F9-BDA1-12C45D357490}">
          <x15:cacheHierarchy aggregatedColumn="0"/>
        </ext>
      </extLst>
    </cacheHierarchy>
    <cacheHierarchy uniqueName="[Measures].[Recuento de MATERIAL / ACCESORIO]" caption="Recuento de MATERIAL / ACCESORIO" measure="1" displayFolder="" measureGroup="extras" count="0" hidden="1">
      <extLst>
        <ext xmlns:x15="http://schemas.microsoft.com/office/spreadsheetml/2010/11/main" uri="{B97F6D7D-B522-45F9-BDA1-12C45D357490}">
          <x15:cacheHierarchy aggregatedColumn="32"/>
        </ext>
      </extLst>
    </cacheHierarchy>
    <cacheHierarchy uniqueName="[Measures].[Recuento de TIPO]" caption="Recuento de TIPO" measure="1" displayFolder="" measureGroup="extras" count="0" hidden="1">
      <extLst>
        <ext xmlns:x15="http://schemas.microsoft.com/office/spreadsheetml/2010/11/main" uri="{B97F6D7D-B522-45F9-BDA1-12C45D357490}">
          <x15:cacheHierarchy aggregatedColumn="30"/>
        </ext>
      </extLst>
    </cacheHierarchy>
    <cacheHierarchy uniqueName="[Measures].[Suma de PAGO]" caption="Suma de PAGO" measure="1" displayFolder="" measureGroup="CHASIS" count="0" hidden="1">
      <extLst>
        <ext xmlns:x15="http://schemas.microsoft.com/office/spreadsheetml/2010/11/main" uri="{B97F6D7D-B522-45F9-BDA1-12C45D357490}">
          <x15:cacheHierarchy aggregatedColumn="14"/>
        </ext>
      </extLst>
    </cacheHierarchy>
    <cacheHierarchy uniqueName="[Measures].[Suma de P/U]" caption="Suma de P/U" measure="1" displayFolder="" measureGroup="CHASIS" count="0" hidden="1">
      <extLst>
        <ext xmlns:x15="http://schemas.microsoft.com/office/spreadsheetml/2010/11/main" uri="{B97F6D7D-B522-45F9-BDA1-12C45D357490}">
          <x15:cacheHierarchy aggregatedColumn="13"/>
        </ext>
      </extLst>
    </cacheHierarchy>
    <cacheHierarchy uniqueName="[Measures].[Suma de ADEUDO]" caption="Suma de ADEUDO" measure="1" displayFolder="" measureGroup="CHASIS" count="0" hidden="1">
      <extLst>
        <ext xmlns:x15="http://schemas.microsoft.com/office/spreadsheetml/2010/11/main" uri="{B97F6D7D-B522-45F9-BDA1-12C45D357490}">
          <x15:cacheHierarchy aggregatedColumn="15"/>
        </ext>
      </extLst>
    </cacheHierarchy>
  </cacheHierarchies>
  <kpis count="0"/>
  <dimensions count="15">
    <dimension name="ACERO 1" uniqueName="[ACERO 1]" caption="ACERO 1"/>
    <dimension name="CHASIS" uniqueName="[CHASIS]" caption="CHASIS"/>
    <dimension name="clientes" uniqueName="[clientes]" caption="clientes"/>
    <dimension name="extras" uniqueName="[extras]" caption="extras"/>
    <dimension measure="1" name="Measures" uniqueName="[Measures]" caption="Measures"/>
    <dimension name="otros" uniqueName="[otros]" caption="otros"/>
    <dimension name="Page001" uniqueName="[Page001]" caption="Page001"/>
    <dimension name="Page002" uniqueName="[Page002]" caption="Page002"/>
    <dimension name="Page003" uniqueName="[Page003]" caption="Page003"/>
    <dimension name="piramide" uniqueName="[piramide]" caption="piramide"/>
    <dimension name="Tabla24" uniqueName="[Tabla24]" caption="Tabla24"/>
    <dimension name="Table001  Page 1" uniqueName="[Table001  Page 1]" caption="Table001  Page 1"/>
    <dimension name="Table002  Page 3" uniqueName="[Table002  Page 3]" caption="Table002  Page 3"/>
    <dimension name="Table004  Page 3" uniqueName="[Table004  Page 3]" caption="Table004  Page 3"/>
    <dimension name="truckzone" uniqueName="[truckzone]" caption="truckzone"/>
  </dimensions>
  <measureGroups count="14">
    <measureGroup name="ACERO 1" caption="ACERO 1"/>
    <measureGroup name="CHASIS" caption="CHASIS"/>
    <measureGroup name="clientes" caption="clientes"/>
    <measureGroup name="extras" caption="extras"/>
    <measureGroup name="otros" caption="otros"/>
    <measureGroup name="Page001" caption="Page001"/>
    <measureGroup name="Page002" caption="Page002"/>
    <measureGroup name="Page003" caption="Page003"/>
    <measureGroup name="piramide" caption="piramide"/>
    <measureGroup name="Tabla24" caption="Tabla24"/>
    <measureGroup name="Table001  Page 1" caption="Table001  Page 1"/>
    <measureGroup name="Table002  Page 3" caption="Table002  Page 3"/>
    <measureGroup name="Table004  Page 3" caption="Table004  Page 3"/>
    <measureGroup name="truckzone" caption="truckzone"/>
  </measureGroups>
  <maps count="19">
    <map measureGroup="0" dimension="0"/>
    <map measureGroup="0" dimension="10"/>
    <map measureGroup="1" dimension="1"/>
    <map measureGroup="2" dimension="2"/>
    <map measureGroup="3" dimension="3"/>
    <map measureGroup="3" dimension="10"/>
    <map measureGroup="4" dimension="5"/>
    <map measureGroup="4" dimension="10"/>
    <map measureGroup="5" dimension="6"/>
    <map measureGroup="6" dimension="7"/>
    <map measureGroup="7" dimension="8"/>
    <map measureGroup="8" dimension="9"/>
    <map measureGroup="8" dimension="10"/>
    <map measureGroup="9" dimension="10"/>
    <map measureGroup="10" dimension="11"/>
    <map measureGroup="11" dimension="12"/>
    <map measureGroup="12" dimension="13"/>
    <map measureGroup="13" dimension="10"/>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olca" refreshedDate="45196.63424097222" backgroundQuery="1" createdVersion="8" refreshedVersion="8" minRefreshableVersion="3" recordCount="0" supportSubquery="1" supportAdvancedDrill="1" xr:uid="{257F10FA-3F0E-412B-A23F-7D7CF9E7769F}">
  <cacheSource type="external" connectionId="8"/>
  <cacheFields count="8">
    <cacheField name="[CHASIS].[CLIENTE].[CLIENTE]" caption="CLIENTE" numFmtId="0" hierarchy="10" level="1">
      <sharedItems containsSemiMixedTypes="0" containsNonDate="0" containsString="0"/>
    </cacheField>
    <cacheField name="[CHASIS].[CHASIS].[CHASIS]" caption="CHASIS" numFmtId="0" hierarchy="11" level="1">
      <sharedItems count="9">
        <s v="RM299002"/>
        <s v="RM299003"/>
        <s v="RM299004"/>
        <s v="RM299005"/>
        <s v="RM299006"/>
        <s v="RM299007"/>
        <s v="RM299008"/>
        <s v="RM299009"/>
        <s v="RM299010"/>
      </sharedItems>
    </cacheField>
    <cacheField name="[Measures].[Suma de PAGO]" caption="Suma de PAGO" numFmtId="0" hierarchy="127" level="32767"/>
    <cacheField name="[Measures].[Suma de P/U]" caption="Suma de P/U" numFmtId="0" hierarchy="128" level="32767"/>
    <cacheField name="[Measures].[Suma de ADEUDO]" caption="Suma de ADEUDO" numFmtId="0" hierarchy="129" level="32767"/>
    <cacheField name="[CHASIS].[FACTURA].[FACTURA]" caption="FACTURA" numFmtId="0" hierarchy="16" level="1">
      <sharedItems containsNonDate="0" containsString="0" containsBlank="1" count="1">
        <m/>
      </sharedItems>
    </cacheField>
    <cacheField name="[CHASIS].[FECHE/ENTRGA (mes)].[FECHE/ENTRGA (mes)]" caption="FECHE/ENTRGA (mes)" numFmtId="0" hierarchy="20" level="1">
      <sharedItems count="1">
        <s v=""/>
      </sharedItems>
    </cacheField>
    <cacheField name="[CHASIS].[AÑO MODELO].[AÑO MODELO]" caption="AÑO MODELO" numFmtId="0" hierarchy="12" level="1">
      <sharedItems containsSemiMixedTypes="0" containsString="0" containsNumber="1" containsInteger="1" minValue="2024" maxValue="2024" count="1">
        <n v="2024"/>
      </sharedItems>
      <extLst>
        <ext xmlns:x15="http://schemas.microsoft.com/office/spreadsheetml/2010/11/main" uri="{4F2E5C28-24EA-4eb8-9CBF-B6C8F9C3D259}">
          <x15:cachedUniqueNames>
            <x15:cachedUniqueName index="0" name="[CHASIS].[AÑO MODELO].&amp;[2024]"/>
          </x15:cachedUniqueNames>
        </ext>
      </extLst>
    </cacheField>
  </cacheFields>
  <cacheHierarchies count="130">
    <cacheHierarchy uniqueName="[ACERO 1].[PZAS]" caption="PZAS" attribute="1" defaultMemberUniqueName="[ACERO 1].[PZAS].[All]" allUniqueName="[ACERO 1].[PZAS].[All]" dimensionUniqueName="[ACERO 1]" displayFolder="" count="0" memberValueDatatype="5" unbalanced="0"/>
    <cacheHierarchy uniqueName="[ACERO 1].[TIPO]" caption="TIPO" attribute="1" defaultMemberUniqueName="[ACERO 1].[TIPO].[All]" allUniqueName="[ACERO 1].[TIPO].[All]" dimensionUniqueName="[ACERO 1]" displayFolder="" count="0" memberValueDatatype="130" unbalanced="0"/>
    <cacheHierarchy uniqueName="[ACERO 1].[NOMBRE]" caption="NOMBRE" attribute="1" defaultMemberUniqueName="[ACERO 1].[NOMBRE].[All]" allUniqueName="[ACERO 1].[NOMBRE].[All]" dimensionUniqueName="[ACERO 1]" displayFolder="" count="0" memberValueDatatype="130" unbalanced="0"/>
    <cacheHierarchy uniqueName="[ACERO 1].[MATERIAL / ACCESORIO]" caption="MATERIAL / ACCESORIO" attribute="1" defaultMemberUniqueName="[ACERO 1].[MATERIAL / ACCESORIO].[All]" allUniqueName="[ACERO 1].[MATERIAL / ACCESORIO].[All]" dimensionUniqueName="[ACERO 1]" displayFolder="" count="0" memberValueDatatype="130" unbalanced="0"/>
    <cacheHierarchy uniqueName="[ACERO 1].[PRECIO $ C/U]" caption="PRECIO $ C/U" attribute="1" defaultMemberUniqueName="[ACERO 1].[PRECIO $ C/U].[All]" allUniqueName="[ACERO 1].[PRECIO $ C/U].[All]" dimensionUniqueName="[ACERO 1]" displayFolder="" count="0" memberValueDatatype="5" unbalanced="0"/>
    <cacheHierarchy uniqueName="[ACERO 1].[IMP POR POYECTO]" caption="IMP POR POYECTO" attribute="1" defaultMemberUniqueName="[ACERO 1].[IMP POR POYECTO].[All]" allUniqueName="[ACERO 1].[IMP POR POYECTO].[All]" dimensionUniqueName="[ACERO 1]" displayFolder="" count="0" memberValueDatatype="5" unbalanced="0"/>
    <cacheHierarchy uniqueName="[ACERO 1].[NUM. DE EJES]" caption="NUM. DE EJES" attribute="1" defaultMemberUniqueName="[ACERO 1].[NUM. DE EJES].[All]" allUniqueName="[ACERO 1].[NUM. DE EJES].[All]" dimensionUniqueName="[ACERO 1]" displayFolder="" count="0" memberValueDatatype="20" unbalanced="0"/>
    <cacheHierarchy uniqueName="[ACERO 1].[LARGO]" caption="LARGO" attribute="1" defaultMemberUniqueName="[ACERO 1].[LARGO].[All]" allUniqueName="[ACERO 1].[LARGO].[All]" dimensionUniqueName="[ACERO 1]" displayFolder="" count="0" memberValueDatatype="130" unbalanced="0"/>
    <cacheHierarchy uniqueName="[ACERO 1].[CLASE]" caption="CLASE" attribute="1" defaultMemberUniqueName="[ACERO 1].[CLASE].[All]" allUniqueName="[ACERO 1].[CLASE].[All]" dimensionUniqueName="[ACERO 1]" displayFolder="" count="0" memberValueDatatype="130" unbalanced="0"/>
    <cacheHierarchy uniqueName="[ACERO 1].[OBSERVACION]" caption="OBSERVACION" attribute="1" defaultMemberUniqueName="[ACERO 1].[OBSERVACION].[All]" allUniqueName="[ACERO 1].[OBSERVACION].[All]" dimensionUniqueName="[ACERO 1]" displayFolder="" count="0" memberValueDatatype="130" unbalanced="0"/>
    <cacheHierarchy uniqueName="[CHASIS].[CLIENTE]" caption="CLIENTE" attribute="1" defaultMemberUniqueName="[CHASIS].[CLIENTE].[All]" allUniqueName="[CHASIS].[CLIENTE].[All]" dimensionUniqueName="[CHASIS]" displayFolder="" count="2" memberValueDatatype="130" unbalanced="0">
      <fieldsUsage count="2">
        <fieldUsage x="-1"/>
        <fieldUsage x="0"/>
      </fieldsUsage>
    </cacheHierarchy>
    <cacheHierarchy uniqueName="[CHASIS].[CHASIS]" caption="CHASIS" attribute="1" defaultMemberUniqueName="[CHASIS].[CHASIS].[All]" allUniqueName="[CHASIS].[CHASIS].[All]" dimensionUniqueName="[CHASIS]" displayFolder="" count="2" memberValueDatatype="130" unbalanced="0">
      <fieldsUsage count="2">
        <fieldUsage x="-1"/>
        <fieldUsage x="1"/>
      </fieldsUsage>
    </cacheHierarchy>
    <cacheHierarchy uniqueName="[CHASIS].[AÑO MODELO]" caption="AÑO MODELO" attribute="1" defaultMemberUniqueName="[CHASIS].[AÑO MODELO].[All]" allUniqueName="[CHASIS].[AÑO MODELO].[All]" dimensionUniqueName="[CHASIS]" displayFolder="" count="2" memberValueDatatype="20" unbalanced="0">
      <fieldsUsage count="2">
        <fieldUsage x="-1"/>
        <fieldUsage x="7"/>
      </fieldsUsage>
    </cacheHierarchy>
    <cacheHierarchy uniqueName="[CHASIS].[P/U]" caption="P/U" attribute="1" defaultMemberUniqueName="[CHASIS].[P/U].[All]" allUniqueName="[CHASIS].[P/U].[All]" dimensionUniqueName="[CHASIS]" displayFolder="" count="0" memberValueDatatype="20" unbalanced="0"/>
    <cacheHierarchy uniqueName="[CHASIS].[PAGO]" caption="PAGO" attribute="1" defaultMemberUniqueName="[CHASIS].[PAGO].[All]" allUniqueName="[CHASIS].[PAGO].[All]" dimensionUniqueName="[CHASIS]" displayFolder="" count="0" memberValueDatatype="20" unbalanced="0"/>
    <cacheHierarchy uniqueName="[CHASIS].[ADEUDO]" caption="ADEUDO" attribute="1" defaultMemberUniqueName="[CHASIS].[ADEUDO].[All]" allUniqueName="[CHASIS].[ADEUDO].[All]" dimensionUniqueName="[CHASIS]" displayFolder="" count="0" memberValueDatatype="20" unbalanced="0"/>
    <cacheHierarchy uniqueName="[CHASIS].[FACTURA]" caption="FACTURA" attribute="1" defaultMemberUniqueName="[CHASIS].[FACTURA].[All]" allUniqueName="[CHASIS].[FACTURA].[All]" dimensionUniqueName="[CHASIS]" displayFolder="" count="2" memberValueDatatype="130" unbalanced="0">
      <fieldsUsage count="2">
        <fieldUsage x="-1"/>
        <fieldUsage x="5"/>
      </fieldsUsage>
    </cacheHierarchy>
    <cacheHierarchy uniqueName="[CHASIS].[FECHE/ENTRGA]" caption="FECHE/ENTRGA" attribute="1" time="1" defaultMemberUniqueName="[CHASIS].[FECHE/ENTRGA].[All]" allUniqueName="[CHASIS].[FECHE/ENTRGA].[All]" dimensionUniqueName="[CHASIS]" displayFolder="" count="0" memberValueDatatype="7" unbalanced="0"/>
    <cacheHierarchy uniqueName="[CHASIS].[PAGADO]" caption="PAGADO" attribute="1" defaultMemberUniqueName="[CHASIS].[PAGADO].[All]" allUniqueName="[CHASIS].[PAGADO].[All]" dimensionUniqueName="[CHASIS]" displayFolder="" count="0" memberValueDatatype="130" unbalanced="0"/>
    <cacheHierarchy uniqueName="[CHASIS].[EQUI. ENTREGADOS]" caption="EQUI. ENTREGADOS" attribute="1" defaultMemberUniqueName="[CHASIS].[EQUI. ENTREGADOS].[All]" allUniqueName="[CHASIS].[EQUI. ENTREGADOS].[All]" dimensionUniqueName="[CHASIS]" displayFolder="" count="0" memberValueDatatype="130" unbalanced="0"/>
    <cacheHierarchy uniqueName="[CHASIS].[FECHE/ENTRGA (mes)]" caption="FECHE/ENTRGA (mes)" attribute="1" defaultMemberUniqueName="[CHASIS].[FECHE/ENTRGA (mes)].[All]" allUniqueName="[CHASIS].[FECHE/ENTRGA (mes)].[All]" dimensionUniqueName="[CHASIS]" displayFolder="" count="2" memberValueDatatype="130" unbalanced="0">
      <fieldsUsage count="2">
        <fieldUsage x="-1"/>
        <fieldUsage x="6"/>
      </fieldsUsage>
    </cacheHierarchy>
    <cacheHierarchy uniqueName="[clientes].[CLIENTE]" caption="CLIENTE" attribute="1" defaultMemberUniqueName="[clientes].[CLIENTE].[All]" allUniqueName="[clientes].[CLIENTE].[All]" dimensionUniqueName="[clientes]" displayFolder="" count="0" memberValueDatatype="130" unbalanced="0"/>
    <cacheHierarchy uniqueName="[clientes].[R. F. C.]" caption="R. F. C." attribute="1" defaultMemberUniqueName="[clientes].[R. F. C.].[All]" allUniqueName="[clientes].[R. F. C.].[All]" dimensionUniqueName="[clientes]" displayFolder="" count="0" memberValueDatatype="130" unbalanced="0"/>
    <cacheHierarchy uniqueName="[clientes].[EMPRESA]" caption="EMPRESA" attribute="1" defaultMemberUniqueName="[clientes].[EMPRESA].[All]" allUniqueName="[clientes].[EMPRESA].[All]" dimensionUniqueName="[clientes]" displayFolder="" count="0" memberValueDatatype="130" unbalanced="0"/>
    <cacheHierarchy uniqueName="[clientes].[CALLE, No., COLONIA]" caption="CALLE, No., COLONIA" attribute="1" defaultMemberUniqueName="[clientes].[CALLE, No., COLONIA].[All]" allUniqueName="[clientes].[CALLE, No., COLONIA].[All]" dimensionUniqueName="[clientes]" displayFolder="" count="0" memberValueDatatype="130" unbalanced="0"/>
    <cacheHierarchy uniqueName="[clientes].[MUNICIPIO, ESTADO, PAIS.]" caption="MUNICIPIO, ESTADO, PAIS." attribute="1" defaultMemberUniqueName="[clientes].[MUNICIPIO, ESTADO, PAIS.].[All]" allUniqueName="[clientes].[MUNICIPIO, ESTADO, PAIS.].[All]" dimensionUniqueName="[clientes]" displayFolder="" count="0" memberValueDatatype="130" unbalanced="0"/>
    <cacheHierarchy uniqueName="[clientes].[C.P.]" caption="C.P." attribute="1" defaultMemberUniqueName="[clientes].[C.P.].[All]" allUniqueName="[clientes].[C.P.].[All]" dimensionUniqueName="[clientes]" displayFolder="" count="0" memberValueDatatype="130" unbalanced="0"/>
    <cacheHierarchy uniqueName="[clientes].[TEL/CEL]" caption="TEL/CEL" attribute="1" defaultMemberUniqueName="[clientes].[TEL/CEL].[All]" allUniqueName="[clientes].[TEL/CEL].[All]" dimensionUniqueName="[clientes]" displayFolder="" count="0" memberValueDatatype="130" unbalanced="0"/>
    <cacheHierarchy uniqueName="[clientes].[CORREO]" caption="CORREO" attribute="1" defaultMemberUniqueName="[clientes].[CORREO].[All]" allUniqueName="[clientes].[CORREO].[All]" dimensionUniqueName="[clientes]" displayFolder="" count="0" memberValueDatatype="130" unbalanced="0"/>
    <cacheHierarchy uniqueName="[extras].[PZAS]" caption="PZAS" attribute="1" defaultMemberUniqueName="[extras].[PZAS].[All]" allUniqueName="[extras].[PZAS].[All]" dimensionUniqueName="[extras]" displayFolder="" count="0" memberValueDatatype="20" unbalanced="0"/>
    <cacheHierarchy uniqueName="[extras].[TIPO]" caption="TIPO" attribute="1" defaultMemberUniqueName="[extras].[TIPO].[All]" allUniqueName="[extras].[TIPO].[All]" dimensionUniqueName="[extras]" displayFolder="" count="0" memberValueDatatype="130" unbalanced="0"/>
    <cacheHierarchy uniqueName="[extras].[NOMBRE]" caption="NOMBRE" attribute="1" defaultMemberUniqueName="[extras].[NOMBRE].[All]" allUniqueName="[extras].[NOMBRE].[All]" dimensionUniqueName="[extras]" displayFolder="" count="0" memberValueDatatype="130" unbalanced="0"/>
    <cacheHierarchy uniqueName="[extras].[MATERIAL / ACCESORIO]" caption="MATERIAL / ACCESORIO" attribute="1" defaultMemberUniqueName="[extras].[MATERIAL / ACCESORIO].[All]" allUniqueName="[extras].[MATERIAL / ACCESORIO].[All]" dimensionUniqueName="[extras]" displayFolder="" count="0" memberValueDatatype="130" unbalanced="0"/>
    <cacheHierarchy uniqueName="[extras].[CLASE]" caption="CLASE" attribute="1" defaultMemberUniqueName="[extras].[CLASE].[All]" allUniqueName="[extras].[CLASE].[All]" dimensionUniqueName="[extras]" displayFolder="" count="0" memberValueDatatype="130" unbalanced="0"/>
    <cacheHierarchy uniqueName="[extras].[PRECIO $ C/U]" caption="PRECIO $ C/U" attribute="1" defaultMemberUniqueName="[extras].[PRECIO $ C/U].[All]" allUniqueName="[extras].[PRECIO $ C/U].[All]" dimensionUniqueName="[extras]" displayFolder="" count="0" memberValueDatatype="20" unbalanced="0"/>
    <cacheHierarchy uniqueName="[extras].[IMP POR POYECTO]" caption="IMP POR POYECTO" attribute="1" defaultMemberUniqueName="[extras].[IMP POR POYECTO].[All]" allUniqueName="[extras].[IMP POR POYECTO].[All]" dimensionUniqueName="[extras]" displayFolder="" count="0" memberValueDatatype="20" unbalanced="0"/>
    <cacheHierarchy uniqueName="[extras].[NUM. DE EJES]" caption="NUM. DE EJES" attribute="1" defaultMemberUniqueName="[extras].[NUM. DE EJES].[All]" allUniqueName="[extras].[NUM. DE EJES].[All]" dimensionUniqueName="[extras]" displayFolder="" count="0" memberValueDatatype="20" unbalanced="0"/>
    <cacheHierarchy uniqueName="[extras].[LARGO]" caption="LARGO" attribute="1" defaultMemberUniqueName="[extras].[LARGO].[All]" allUniqueName="[extras].[LARGO].[All]" dimensionUniqueName="[extras]" displayFolder="" count="0" memberValueDatatype="130" unbalanced="0"/>
    <cacheHierarchy uniqueName="[extras].[OBSERVACION]" caption="OBSERVACION" attribute="1" defaultMemberUniqueName="[extras].[OBSERVACION].[All]" allUniqueName="[extras].[OBSERVACION].[All]" dimensionUniqueName="[extras]" displayFolder="" count="0" memberValueDatatype="130" unbalanced="0"/>
    <cacheHierarchy uniqueName="[otros].[PZAS]" caption="PZAS" attribute="1" defaultMemberUniqueName="[otros].[PZAS].[All]" allUniqueName="[otros].[PZAS].[All]" dimensionUniqueName="[otros]" displayFolder="" count="0" memberValueDatatype="5" unbalanced="0"/>
    <cacheHierarchy uniqueName="[otros].[TIPO]" caption="TIPO" attribute="1" defaultMemberUniqueName="[otros].[TIPO].[All]" allUniqueName="[otros].[TIPO].[All]" dimensionUniqueName="[otros]" displayFolder="" count="0" memberValueDatatype="130" unbalanced="0"/>
    <cacheHierarchy uniqueName="[otros].[NOMBRE]" caption="NOMBRE" attribute="1" defaultMemberUniqueName="[otros].[NOMBRE].[All]" allUniqueName="[otros].[NOMBRE].[All]" dimensionUniqueName="[otros]" displayFolder="" count="0" memberValueDatatype="130" unbalanced="0"/>
    <cacheHierarchy uniqueName="[otros].[MATERIAL / ACCESORIO]" caption="MATERIAL / ACCESORIO" attribute="1" defaultMemberUniqueName="[otros].[MATERIAL / ACCESORIO].[All]" allUniqueName="[otros].[MATERIAL / ACCESORIO].[All]" dimensionUniqueName="[otros]" displayFolder="" count="0" memberValueDatatype="130" unbalanced="0"/>
    <cacheHierarchy uniqueName="[otros].[PRECIO $ C/U]" caption="PRECIO $ C/U" attribute="1" defaultMemberUniqueName="[otros].[PRECIO $ C/U].[All]" allUniqueName="[otros].[PRECIO $ C/U].[All]" dimensionUniqueName="[otros]" displayFolder="" count="0" memberValueDatatype="20" unbalanced="0"/>
    <cacheHierarchy uniqueName="[otros].[IMP POR POYECTO]" caption="IMP POR POYECTO" attribute="1" defaultMemberUniqueName="[otros].[IMP POR POYECTO].[All]" allUniqueName="[otros].[IMP POR POYECTO].[All]" dimensionUniqueName="[otros]" displayFolder="" count="0" memberValueDatatype="5" unbalanced="0"/>
    <cacheHierarchy uniqueName="[otros].[NUM. DE EJES]" caption="NUM. DE EJES" attribute="1" defaultMemberUniqueName="[otros].[NUM. DE EJES].[All]" allUniqueName="[otros].[NUM. DE EJES].[All]" dimensionUniqueName="[otros]" displayFolder="" count="0" memberValueDatatype="20" unbalanced="0"/>
    <cacheHierarchy uniqueName="[otros].[LARGO]" caption="LARGO" attribute="1" defaultMemberUniqueName="[otros].[LARGO].[All]" allUniqueName="[otros].[LARGO].[All]" dimensionUniqueName="[otros]" displayFolder="" count="0" memberValueDatatype="130" unbalanced="0"/>
    <cacheHierarchy uniqueName="[otros].[CLASE]" caption="CLASE" attribute="1" defaultMemberUniqueName="[otros].[CLASE].[All]" allUniqueName="[otros].[CLASE].[All]" dimensionUniqueName="[otros]" displayFolder="" count="0" memberValueDatatype="130" unbalanced="0"/>
    <cacheHierarchy uniqueName="[otros].[OBSERVACION]" caption="OBSERVACION" attribute="1" defaultMemberUniqueName="[otros].[OBSERVACION].[All]" allUniqueName="[otros].[OBSERVACION].[All]" dimensionUniqueName="[otros]" displayFolder="" count="0" memberValueDatatype="130" unbalanced="0"/>
    <cacheHierarchy uniqueName="[Page001].[Column1]" caption="Column1" attribute="1" defaultMemberUniqueName="[Page001].[Column1].[All]" allUniqueName="[Page001].[Column1].[All]" dimensionUniqueName="[Page001]" displayFolder="" count="0" memberValueDatatype="130" unbalanced="0"/>
    <cacheHierarchy uniqueName="[Page001].[Column2]" caption="Column2" attribute="1" defaultMemberUniqueName="[Page001].[Column2].[All]" allUniqueName="[Page001].[Column2].[All]" dimensionUniqueName="[Page001]" displayFolder="" count="0" memberValueDatatype="130" unbalanced="0"/>
    <cacheHierarchy uniqueName="[Page001].[Column3]" caption="Column3" attribute="1" defaultMemberUniqueName="[Page001].[Column3].[All]" allUniqueName="[Page001].[Column3].[All]" dimensionUniqueName="[Page001]" displayFolder="" count="0" memberValueDatatype="130" unbalanced="0"/>
    <cacheHierarchy uniqueName="[Page001].[Column4]" caption="Column4" attribute="1" defaultMemberUniqueName="[Page001].[Column4].[All]" allUniqueName="[Page001].[Column4].[All]" dimensionUniqueName="[Page001]" displayFolder="" count="0" memberValueDatatype="130" unbalanced="0"/>
    <cacheHierarchy uniqueName="[Page001].[Column5]" caption="Column5" attribute="1" defaultMemberUniqueName="[Page001].[Column5].[All]" allUniqueName="[Page001].[Column5].[All]" dimensionUniqueName="[Page001]" displayFolder="" count="0" memberValueDatatype="130" unbalanced="0"/>
    <cacheHierarchy uniqueName="[Page002].[Column1]" caption="Column1" attribute="1" defaultMemberUniqueName="[Page002].[Column1].[All]" allUniqueName="[Page002].[Column1].[All]" dimensionUniqueName="[Page002]" displayFolder="" count="0" memberValueDatatype="130" unbalanced="0"/>
    <cacheHierarchy uniqueName="[Page002].[Column2]" caption="Column2" attribute="1" defaultMemberUniqueName="[Page002].[Column2].[All]" allUniqueName="[Page002].[Column2].[All]" dimensionUniqueName="[Page002]" displayFolder="" count="0" memberValueDatatype="130" unbalanced="0"/>
    <cacheHierarchy uniqueName="[Page003].[Column1]" caption="Column1" attribute="1" defaultMemberUniqueName="[Page003].[Column1].[All]" allUniqueName="[Page003].[Column1].[All]" dimensionUniqueName="[Page003]" displayFolder="" count="0" memberValueDatatype="130" unbalanced="0"/>
    <cacheHierarchy uniqueName="[Page003].[Column2]" caption="Column2" attribute="1" defaultMemberUniqueName="[Page003].[Column2].[All]" allUniqueName="[Page003].[Column2].[All]" dimensionUniqueName="[Page003]" displayFolder="" count="0" memberValueDatatype="130" unbalanced="0"/>
    <cacheHierarchy uniqueName="[Page003].[Column3]" caption="Column3" attribute="1" defaultMemberUniqueName="[Page003].[Column3].[All]" allUniqueName="[Page003].[Column3].[All]" dimensionUniqueName="[Page003]" displayFolder="" count="0" memberValueDatatype="130" unbalanced="0"/>
    <cacheHierarchy uniqueName="[Page003].[Column4]" caption="Column4" attribute="1" defaultMemberUniqueName="[Page003].[Column4].[All]" allUniqueName="[Page003].[Column4].[All]" dimensionUniqueName="[Page003]" displayFolder="" count="0" memberValueDatatype="130" unbalanced="0"/>
    <cacheHierarchy uniqueName="[Page003].[Column5]" caption="Column5" attribute="1" defaultMemberUniqueName="[Page003].[Column5].[All]" allUniqueName="[Page003].[Column5].[All]" dimensionUniqueName="[Page003]" displayFolder="" count="0" memberValueDatatype="130" unbalanced="0"/>
    <cacheHierarchy uniqueName="[piramide].[PZAS]" caption="PZAS" attribute="1" defaultMemberUniqueName="[piramide].[PZAS].[All]" allUniqueName="[piramide].[PZAS].[All]" dimensionUniqueName="[piramide]" displayFolder="" count="0" memberValueDatatype="5" unbalanced="0"/>
    <cacheHierarchy uniqueName="[piramide].[TIPO]" caption="TIPO" attribute="1" defaultMemberUniqueName="[piramide].[TIPO].[All]" allUniqueName="[piramide].[TIPO].[All]" dimensionUniqueName="[piramide]" displayFolder="" count="0" memberValueDatatype="130" unbalanced="0"/>
    <cacheHierarchy uniqueName="[piramide].[NOMBRE]" caption="NOMBRE" attribute="1" defaultMemberUniqueName="[piramide].[NOMBRE].[All]" allUniqueName="[piramide].[NOMBRE].[All]" dimensionUniqueName="[piramide]" displayFolder="" count="0" memberValueDatatype="130" unbalanced="0"/>
    <cacheHierarchy uniqueName="[piramide].[MATERIAL / ACCESORIO]" caption="MATERIAL / ACCESORIO" attribute="1" defaultMemberUniqueName="[piramide].[MATERIAL / ACCESORIO].[All]" allUniqueName="[piramide].[MATERIAL / ACCESORIO].[All]" dimensionUniqueName="[piramide]" displayFolder="" count="0" memberValueDatatype="130" unbalanced="0"/>
    <cacheHierarchy uniqueName="[piramide].[PRECIO $ C/U]" caption="PRECIO $ C/U" attribute="1" defaultMemberUniqueName="[piramide].[PRECIO $ C/U].[All]" allUniqueName="[piramide].[PRECIO $ C/U].[All]" dimensionUniqueName="[piramide]" displayFolder="" count="0" memberValueDatatype="5" unbalanced="0"/>
    <cacheHierarchy uniqueName="[piramide].[IMP POR POYECTO]" caption="IMP POR POYECTO" attribute="1" defaultMemberUniqueName="[piramide].[IMP POR POYECTO].[All]" allUniqueName="[piramide].[IMP POR POYECTO].[All]" dimensionUniqueName="[piramide]" displayFolder="" count="0" memberValueDatatype="5" unbalanced="0"/>
    <cacheHierarchy uniqueName="[piramide].[NUM. DE EJES]" caption="NUM. DE EJES" attribute="1" defaultMemberUniqueName="[piramide].[NUM. DE EJES].[All]" allUniqueName="[piramide].[NUM. DE EJES].[All]" dimensionUniqueName="[piramide]" displayFolder="" count="0" memberValueDatatype="20" unbalanced="0"/>
    <cacheHierarchy uniqueName="[piramide].[LARGO]" caption="LARGO" attribute="1" defaultMemberUniqueName="[piramide].[LARGO].[All]" allUniqueName="[piramide].[LARGO].[All]" dimensionUniqueName="[piramide]" displayFolder="" count="0" memberValueDatatype="130" unbalanced="0"/>
    <cacheHierarchy uniqueName="[piramide].[CLASE]" caption="CLASE" attribute="1" defaultMemberUniqueName="[piramide].[CLASE].[All]" allUniqueName="[piramide].[CLASE].[All]" dimensionUniqueName="[piramide]" displayFolder="" count="0" memberValueDatatype="130" unbalanced="0"/>
    <cacheHierarchy uniqueName="[piramide].[OBSERVACION]" caption="OBSERVACION" attribute="1" defaultMemberUniqueName="[piramide].[OBSERVACION].[All]" allUniqueName="[piramide].[OBSERVACION].[All]" dimensionUniqueName="[piramide]" displayFolder="" count="0" memberValueDatatype="130" unbalanced="0"/>
    <cacheHierarchy uniqueName="[Tabla24].[NOMBRE]" caption="NOMBRE" attribute="1" defaultMemberUniqueName="[Tabla24].[NOMBRE].[All]" allUniqueName="[Tabla24].[NOMBRE].[All]" dimensionUniqueName="[Tabla24]" displayFolder="" count="0" memberValueDatatype="130" unbalanced="0"/>
    <cacheHierarchy uniqueName="[Tabla24].[TIPO]" caption="TIPO" attribute="1" defaultMemberUniqueName="[Tabla24].[TIPO].[All]" allUniqueName="[Tabla24].[TIPO].[All]" dimensionUniqueName="[Tabla24]" displayFolder="" count="0" memberValueDatatype="130" unbalanced="0"/>
    <cacheHierarchy uniqueName="[Tabla24].[NUM. DE EJES]" caption="NUM. DE EJES" attribute="1" defaultMemberUniqueName="[Tabla24].[NUM. DE EJES].[All]" allUniqueName="[Tabla24].[NUM. DE EJES].[All]" dimensionUniqueName="[Tabla24]" displayFolder="" count="0" memberValueDatatype="20" unbalanced="0"/>
    <cacheHierarchy uniqueName="[Tabla24].[LARGO]" caption="LARGO" attribute="1" defaultMemberUniqueName="[Tabla24].[LARGO].[All]" allUniqueName="[Tabla24].[LARGO].[All]" dimensionUniqueName="[Tabla24]" displayFolder="" count="0" memberValueDatatype="130" unbalanced="0"/>
    <cacheHierarchy uniqueName="[Tabla24].[CONCAT]" caption="CONCAT" attribute="1" defaultMemberUniqueName="[Tabla24].[CONCAT].[All]" allUniqueName="[Tabla24].[CONCAT].[All]" dimensionUniqueName="[Tabla24]" displayFolder="" count="0" memberValueDatatype="130" unbalanced="0"/>
    <cacheHierarchy uniqueName="[Tabla24].[Peso Vehicular]" caption="Peso Vehicular" attribute="1" defaultMemberUniqueName="[Tabla24].[Peso Vehicular].[All]" allUniqueName="[Tabla24].[Peso Vehicular].[All]" dimensionUniqueName="[Tabla24]" displayFolder="" count="0" memberValueDatatype="20" unbalanced="0"/>
    <cacheHierarchy uniqueName="[Tabla24].[PBVD:]" caption="PBVD:" attribute="1" defaultMemberUniqueName="[Tabla24].[PBVD:].[All]" allUniqueName="[Tabla24].[PBVD:].[All]" dimensionUniqueName="[Tabla24]" displayFolder="" count="0" memberValueDatatype="20" unbalanced="0"/>
    <cacheHierarchy uniqueName="[Tabla24].[Modelo ABS:]" caption="Modelo ABS:" attribute="1" defaultMemberUniqueName="[Tabla24].[Modelo ABS:].[All]" allUniqueName="[Tabla24].[Modelo ABS:].[All]" dimensionUniqueName="[Tabla24]" displayFolder="" count="0" memberValueDatatype="130" unbalanced="0"/>
    <cacheHierarchy uniqueName="[Tabla24].[CDE ejes traseros:]" caption="CDE ejes traseros:" attribute="1" defaultMemberUniqueName="[Tabla24].[CDE ejes traseros:].[All]" allUniqueName="[Tabla24].[CDE ejes traseros:].[All]" dimensionUniqueName="[Tabla24]" displayFolder="" count="0" memberValueDatatype="20" unbalanced="0"/>
    <cacheHierarchy uniqueName="[Tabla24].[Número de llantas:]" caption="Número de llantas:" attribute="1" defaultMemberUniqueName="[Tabla24].[Número de llantas:].[All]" allUniqueName="[Tabla24].[Número de llantas:].[All]" dimensionUniqueName="[Tabla24]" displayFolder="" count="0" memberValueDatatype="20" unbalanced="0"/>
    <cacheHierarchy uniqueName="[Tabla24].[Capacidad de eje en posición de montaje:]" caption="Capacidad de eje en posición de montaje:" attribute="1" defaultMemberUniqueName="[Tabla24].[Capacidad de eje en posición de montaje:].[All]" allUniqueName="[Tabla24].[Capacidad de eje en posición de montaje:].[All]" dimensionUniqueName="[Tabla24]" displayFolder="" count="0" memberValueDatatype="20" unbalanced="0"/>
    <cacheHierarchy uniqueName="[Tabla24].[Capacidad de espigas de eje:]" caption="Capacidad de espigas de eje:" attribute="1" defaultMemberUniqueName="[Tabla24].[Capacidad de espigas de eje:].[All]" allUniqueName="[Tabla24].[Capacidad de espigas de eje:].[All]" dimensionUniqueName="[Tabla24]" displayFolder="" count="0" memberValueDatatype="20" unbalanced="0"/>
    <cacheHierarchy uniqueName="[Tabla24].[Longitud]" caption="Longitud" attribute="1" defaultMemberUniqueName="[Tabla24].[Longitud].[All]" allUniqueName="[Tabla24].[Longitud].[All]" dimensionUniqueName="[Tabla24]" displayFolder="" count="0" memberValueDatatype="5" unbalanced="0"/>
    <cacheHierarchy uniqueName="[Table001  Page 1].[Column1]" caption="Column1" attribute="1" defaultMemberUniqueName="[Table001  Page 1].[Column1].[All]" allUniqueName="[Table001  Page 1].[Column1].[All]" dimensionUniqueName="[Table001  Page 1]" displayFolder="" count="0" memberValueDatatype="130" unbalanced="0"/>
    <cacheHierarchy uniqueName="[Table002  Page 3].[Column1]" caption="Column1" attribute="1" defaultMemberUniqueName="[Table002  Page 3].[Column1].[All]" allUniqueName="[Table002  Page 3].[Column1].[All]" dimensionUniqueName="[Table002  Page 3]" displayFolder="" count="0" memberValueDatatype="130" unbalanced="0"/>
    <cacheHierarchy uniqueName="[Table002  Page 3].[Column2]" caption="Column2" attribute="1" defaultMemberUniqueName="[Table002  Page 3].[Column2].[All]" allUniqueName="[Table002  Page 3].[Column2].[All]" dimensionUniqueName="[Table002  Page 3]" displayFolder="" count="0" memberValueDatatype="130" unbalanced="0"/>
    <cacheHierarchy uniqueName="[Table004  Page 3].[Column1]" caption="Column1" attribute="1" defaultMemberUniqueName="[Table004  Page 3].[Column1].[All]" allUniqueName="[Table004  Page 3].[Column1].[All]" dimensionUniqueName="[Table004  Page 3]" displayFolder="" count="0" memberValueDatatype="130" unbalanced="0"/>
    <cacheHierarchy uniqueName="[Table004  Page 3].[Column2]" caption="Column2" attribute="1" defaultMemberUniqueName="[Table004  Page 3].[Column2].[All]" allUniqueName="[Table004  Page 3].[Column2].[All]" dimensionUniqueName="[Table004  Page 3]" displayFolder="" count="0" memberValueDatatype="130" unbalanced="0"/>
    <cacheHierarchy uniqueName="[truckzone].[PZAS]" caption="PZAS" attribute="1" defaultMemberUniqueName="[truckzone].[PZAS].[All]" allUniqueName="[truckzone].[PZAS].[All]" dimensionUniqueName="[truckzone]" displayFolder="" count="0" memberValueDatatype="5" unbalanced="0"/>
    <cacheHierarchy uniqueName="[truckzone].[TIPO]" caption="TIPO" attribute="1" defaultMemberUniqueName="[truckzone].[TIPO].[All]" allUniqueName="[truckzone].[TIPO].[All]" dimensionUniqueName="[truckzone]" displayFolder="" count="0" memberValueDatatype="130" unbalanced="0"/>
    <cacheHierarchy uniqueName="[truckzone].[NOMBRE]" caption="NOMBRE" attribute="1" defaultMemberUniqueName="[truckzone].[NOMBRE].[All]" allUniqueName="[truckzone].[NOMBRE].[All]" dimensionUniqueName="[truckzone]" displayFolder="" count="0" memberValueDatatype="130" unbalanced="0"/>
    <cacheHierarchy uniqueName="[truckzone].[MATERIAL / ACCESORIO]" caption="MATERIAL / ACCESORIO" attribute="1" defaultMemberUniqueName="[truckzone].[MATERIAL / ACCESORIO].[All]" allUniqueName="[truckzone].[MATERIAL / ACCESORIO].[All]" dimensionUniqueName="[truckzone]" displayFolder="" count="0" memberValueDatatype="130" unbalanced="0"/>
    <cacheHierarchy uniqueName="[truckzone].[PRECIO $ C/U]" caption="PRECIO $ C/U" attribute="1" defaultMemberUniqueName="[truckzone].[PRECIO $ C/U].[All]" allUniqueName="[truckzone].[PRECIO $ C/U].[All]" dimensionUniqueName="[truckzone]" displayFolder="" count="0" memberValueDatatype="5" unbalanced="0"/>
    <cacheHierarchy uniqueName="[truckzone].[IMP POR POYECTO]" caption="IMP POR POYECTO" attribute="1" defaultMemberUniqueName="[truckzone].[IMP POR POYECTO].[All]" allUniqueName="[truckzone].[IMP POR POYECTO].[All]" dimensionUniqueName="[truckzone]" displayFolder="" count="0" memberValueDatatype="5" unbalanced="0"/>
    <cacheHierarchy uniqueName="[truckzone].[NUM. DE EJES]" caption="NUM. DE EJES" attribute="1" defaultMemberUniqueName="[truckzone].[NUM. DE EJES].[All]" allUniqueName="[truckzone].[NUM. DE EJES].[All]" dimensionUniqueName="[truckzone]" displayFolder="" count="0" memberValueDatatype="20" unbalanced="0"/>
    <cacheHierarchy uniqueName="[truckzone].[LARGO]" caption="LARGO" attribute="1" defaultMemberUniqueName="[truckzone].[LARGO].[All]" allUniqueName="[truckzone].[LARGO].[All]" dimensionUniqueName="[truckzone]" displayFolder="" count="0" memberValueDatatype="130" unbalanced="0"/>
    <cacheHierarchy uniqueName="[truckzone].[CLASE]" caption="CLASE" attribute="1" defaultMemberUniqueName="[truckzone].[CLASE].[All]" allUniqueName="[truckzone].[CLASE].[All]" dimensionUniqueName="[truckzone]" displayFolder="" count="0" memberValueDatatype="130" unbalanced="0"/>
    <cacheHierarchy uniqueName="[truckzone].[OBSERVACION]" caption="OBSERVACION" attribute="1" defaultMemberUniqueName="[truckzone].[OBSERVACION].[All]" allUniqueName="[truckzone].[OBSERVACION].[All]" dimensionUniqueName="[truckzone]" displayFolder="" count="0" memberValueDatatype="130" unbalanced="0"/>
    <cacheHierarchy uniqueName="[CHASIS].[FECHE/ENTRGA (índice de meses)]" caption="FECHE/ENTRGA (índice de meses)" attribute="1" defaultMemberUniqueName="[CHASIS].[FECHE/ENTRGA (índice de meses)].[All]" allUniqueName="[CHASIS].[FECHE/ENTRGA (índice de meses)].[All]" dimensionUniqueName="[CHASIS]" displayFolder="" count="0" memberValueDatatype="20" unbalanced="0" hidden="1"/>
    <cacheHierarchy uniqueName="[Measures].[__XL_Count extras]" caption="__XL_Count extras" measure="1" displayFolder="" measureGroup="extras" count="0" hidden="1"/>
    <cacheHierarchy uniqueName="[Measures].[__XL_Count otros]" caption="__XL_Count otros" measure="1" displayFolder="" measureGroup="otros" count="0" hidden="1"/>
    <cacheHierarchy uniqueName="[Measures].[__XL_Count piramide]" caption="__XL_Count piramide" measure="1" displayFolder="" measureGroup="piramide" count="0" hidden="1"/>
    <cacheHierarchy uniqueName="[Measures].[__XL_Count truckzone]" caption="__XL_Count truckzone" measure="1" displayFolder="" measureGroup="truckzone" count="0" hidden="1"/>
    <cacheHierarchy uniqueName="[Measures].[__XL_Count Tabla24]" caption="__XL_Count Tabla24" measure="1" displayFolder="" measureGroup="Tabla24" count="0" hidden="1"/>
    <cacheHierarchy uniqueName="[Measures].[__XL_Count ACERO 1]" caption="__XL_Count ACERO 1" measure="1" displayFolder="" measureGroup="ACERO 1" count="0" hidden="1"/>
    <cacheHierarchy uniqueName="[Measures].[__XL_Count Table001  Page 1]" caption="__XL_Count Table001  Page 1" measure="1" displayFolder="" measureGroup="Table001  Page 1" count="0" hidden="1"/>
    <cacheHierarchy uniqueName="[Measures].[__XL_Count Table002  Page 3]" caption="__XL_Count Table002  Page 3" measure="1" displayFolder="" measureGroup="Table002  Page 3" count="0" hidden="1"/>
    <cacheHierarchy uniqueName="[Measures].[__XL_Count Table004  Page 3]" caption="__XL_Count Table004  Page 3" measure="1" displayFolder="" measureGroup="Table004  Page 3" count="0" hidden="1"/>
    <cacheHierarchy uniqueName="[Measures].[__XL_Count Page001]" caption="__XL_Count Page001" measure="1" displayFolder="" measureGroup="Page001" count="0" hidden="1"/>
    <cacheHierarchy uniqueName="[Measures].[__XL_Count Page003]" caption="__XL_Count Page003" measure="1" displayFolder="" measureGroup="Page003" count="0" hidden="1"/>
    <cacheHierarchy uniqueName="[Measures].[__XL_Count Page002]" caption="__XL_Count Page002" measure="1" displayFolder="" measureGroup="Page002" count="0" hidden="1"/>
    <cacheHierarchy uniqueName="[Measures].[__XL_Count CHASIS]" caption="__XL_Count CHASIS" measure="1" displayFolder="" measureGroup="CHASIS" count="0" hidden="1"/>
    <cacheHierarchy uniqueName="[Measures].[__XL_Count clientes]" caption="__XL_Count clientes" measure="1" displayFolder="" measureGroup="clientes" count="0" hidden="1"/>
    <cacheHierarchy uniqueName="[Measures].[__No measures defined]" caption="__No measures defined" measure="1" displayFolder="" count="0" hidden="1"/>
    <cacheHierarchy uniqueName="[Measures].[Suma de IMP POR POYECTO 3]" caption="Suma de IMP POR POYECTO 3" measure="1" displayFolder="" measureGroup="otros" count="0" hidden="1">
      <extLst>
        <ext xmlns:x15="http://schemas.microsoft.com/office/spreadsheetml/2010/11/main" uri="{B97F6D7D-B522-45F9-BDA1-12C45D357490}">
          <x15:cacheHierarchy aggregatedColumn="44"/>
        </ext>
      </extLst>
    </cacheHierarchy>
    <cacheHierarchy uniqueName="[Measures].[Suma de IMP POR POYECTO 4]" caption="Suma de IMP POR POYECTO 4" measure="1" displayFolder="" measureGroup="piramide" count="0" hidden="1">
      <extLst>
        <ext xmlns:x15="http://schemas.microsoft.com/office/spreadsheetml/2010/11/main" uri="{B97F6D7D-B522-45F9-BDA1-12C45D357490}">
          <x15:cacheHierarchy aggregatedColumn="66"/>
        </ext>
      </extLst>
    </cacheHierarchy>
    <cacheHierarchy uniqueName="[Measures].[Suma de IMP POR POYECTO 5]" caption="Suma de IMP POR POYECTO 5" measure="1" displayFolder="" measureGroup="extras" count="0" hidden="1">
      <extLst>
        <ext xmlns:x15="http://schemas.microsoft.com/office/spreadsheetml/2010/11/main" uri="{B97F6D7D-B522-45F9-BDA1-12C45D357490}">
          <x15:cacheHierarchy aggregatedColumn="35"/>
        </ext>
      </extLst>
    </cacheHierarchy>
    <cacheHierarchy uniqueName="[Measures].[Suma de IMP POR POYECTO 6]" caption="Suma de IMP POR POYECTO 6" measure="1" displayFolder="" measureGroup="truckzone" count="0" hidden="1">
      <extLst>
        <ext xmlns:x15="http://schemas.microsoft.com/office/spreadsheetml/2010/11/main" uri="{B97F6D7D-B522-45F9-BDA1-12C45D357490}">
          <x15:cacheHierarchy aggregatedColumn="94"/>
        </ext>
      </extLst>
    </cacheHierarchy>
    <cacheHierarchy uniqueName="[Measures].[Suma de PZAS 2]" caption="Suma de PZAS 2" measure="1" displayFolder="" measureGroup="otros" count="0" hidden="1">
      <extLst>
        <ext xmlns:x15="http://schemas.microsoft.com/office/spreadsheetml/2010/11/main" uri="{B97F6D7D-B522-45F9-BDA1-12C45D357490}">
          <x15:cacheHierarchy aggregatedColumn="39"/>
        </ext>
      </extLst>
    </cacheHierarchy>
    <cacheHierarchy uniqueName="[Measures].[Suma de PZAS 3]" caption="Suma de PZAS 3" measure="1" displayFolder="" measureGroup="extras" count="0" hidden="1">
      <extLst>
        <ext xmlns:x15="http://schemas.microsoft.com/office/spreadsheetml/2010/11/main" uri="{B97F6D7D-B522-45F9-BDA1-12C45D357490}">
          <x15:cacheHierarchy aggregatedColumn="29"/>
        </ext>
      </extLst>
    </cacheHierarchy>
    <cacheHierarchy uniqueName="[Measures].[Suma de PZAS 4]" caption="Suma de PZAS 4" measure="1" displayFolder="" measureGroup="piramide" count="0" hidden="1">
      <extLst>
        <ext xmlns:x15="http://schemas.microsoft.com/office/spreadsheetml/2010/11/main" uri="{B97F6D7D-B522-45F9-BDA1-12C45D357490}">
          <x15:cacheHierarchy aggregatedColumn="61"/>
        </ext>
      </extLst>
    </cacheHierarchy>
    <cacheHierarchy uniqueName="[Measures].[Suma de PZAS 5]" caption="Suma de PZAS 5" measure="1" displayFolder="" measureGroup="truckzone" count="0" hidden="1">
      <extLst>
        <ext xmlns:x15="http://schemas.microsoft.com/office/spreadsheetml/2010/11/main" uri="{B97F6D7D-B522-45F9-BDA1-12C45D357490}">
          <x15:cacheHierarchy aggregatedColumn="89"/>
        </ext>
      </extLst>
    </cacheHierarchy>
    <cacheHierarchy uniqueName="[Measures].[Suma de IMP POR POYECTO]" caption="Suma de IMP POR POYECTO" measure="1" displayFolder="" measureGroup="ACERO 1" count="0" hidden="1">
      <extLst>
        <ext xmlns:x15="http://schemas.microsoft.com/office/spreadsheetml/2010/11/main" uri="{B97F6D7D-B522-45F9-BDA1-12C45D357490}">
          <x15:cacheHierarchy aggregatedColumn="5"/>
        </ext>
      </extLst>
    </cacheHierarchy>
    <cacheHierarchy uniqueName="[Measures].[Suma de PZAS 6]" caption="Suma de PZAS 6" measure="1" displayFolder="" measureGroup="ACERO 1" count="0" hidden="1">
      <extLst>
        <ext xmlns:x15="http://schemas.microsoft.com/office/spreadsheetml/2010/11/main" uri="{B97F6D7D-B522-45F9-BDA1-12C45D357490}">
          <x15:cacheHierarchy aggregatedColumn="0"/>
        </ext>
      </extLst>
    </cacheHierarchy>
    <cacheHierarchy uniqueName="[Measures].[Recuento de MATERIAL / ACCESORIO]" caption="Recuento de MATERIAL / ACCESORIO" measure="1" displayFolder="" measureGroup="extras" count="0" hidden="1">
      <extLst>
        <ext xmlns:x15="http://schemas.microsoft.com/office/spreadsheetml/2010/11/main" uri="{B97F6D7D-B522-45F9-BDA1-12C45D357490}">
          <x15:cacheHierarchy aggregatedColumn="32"/>
        </ext>
      </extLst>
    </cacheHierarchy>
    <cacheHierarchy uniqueName="[Measures].[Recuento de TIPO]" caption="Recuento de TIPO" measure="1" displayFolder="" measureGroup="extras" count="0" hidden="1">
      <extLst>
        <ext xmlns:x15="http://schemas.microsoft.com/office/spreadsheetml/2010/11/main" uri="{B97F6D7D-B522-45F9-BDA1-12C45D357490}">
          <x15:cacheHierarchy aggregatedColumn="30"/>
        </ext>
      </extLst>
    </cacheHierarchy>
    <cacheHierarchy uniqueName="[Measures].[Suma de PAGO]" caption="Suma de PAGO" measure="1" displayFolder="" measureGroup="CHASIS" count="0" oneField="1" hidden="1">
      <fieldsUsage count="1">
        <fieldUsage x="2"/>
      </fieldsUsage>
      <extLst>
        <ext xmlns:x15="http://schemas.microsoft.com/office/spreadsheetml/2010/11/main" uri="{B97F6D7D-B522-45F9-BDA1-12C45D357490}">
          <x15:cacheHierarchy aggregatedColumn="14"/>
        </ext>
      </extLst>
    </cacheHierarchy>
    <cacheHierarchy uniqueName="[Measures].[Suma de P/U]" caption="Suma de P/U" measure="1" displayFolder="" measureGroup="CHASIS" count="0" oneField="1" hidden="1">
      <fieldsUsage count="1">
        <fieldUsage x="3"/>
      </fieldsUsage>
      <extLst>
        <ext xmlns:x15="http://schemas.microsoft.com/office/spreadsheetml/2010/11/main" uri="{B97F6D7D-B522-45F9-BDA1-12C45D357490}">
          <x15:cacheHierarchy aggregatedColumn="13"/>
        </ext>
      </extLst>
    </cacheHierarchy>
    <cacheHierarchy uniqueName="[Measures].[Suma de ADEUDO]" caption="Suma de ADEUDO" measure="1" displayFolder="" measureGroup="CHASIS" count="0" oneField="1" hidden="1">
      <fieldsUsage count="1">
        <fieldUsage x="4"/>
      </fieldsUsage>
      <extLst>
        <ext xmlns:x15="http://schemas.microsoft.com/office/spreadsheetml/2010/11/main" uri="{B97F6D7D-B522-45F9-BDA1-12C45D357490}">
          <x15:cacheHierarchy aggregatedColumn="15"/>
        </ext>
      </extLst>
    </cacheHierarchy>
  </cacheHierarchies>
  <kpis count="0"/>
  <dimensions count="15">
    <dimension name="ACERO 1" uniqueName="[ACERO 1]" caption="ACERO 1"/>
    <dimension name="CHASIS" uniqueName="[CHASIS]" caption="CHASIS"/>
    <dimension name="clientes" uniqueName="[clientes]" caption="clientes"/>
    <dimension name="extras" uniqueName="[extras]" caption="extras"/>
    <dimension measure="1" name="Measures" uniqueName="[Measures]" caption="Measures"/>
    <dimension name="otros" uniqueName="[otros]" caption="otros"/>
    <dimension name="Page001" uniqueName="[Page001]" caption="Page001"/>
    <dimension name="Page002" uniqueName="[Page002]" caption="Page002"/>
    <dimension name="Page003" uniqueName="[Page003]" caption="Page003"/>
    <dimension name="piramide" uniqueName="[piramide]" caption="piramide"/>
    <dimension name="Tabla24" uniqueName="[Tabla24]" caption="Tabla24"/>
    <dimension name="Table001  Page 1" uniqueName="[Table001  Page 1]" caption="Table001  Page 1"/>
    <dimension name="Table002  Page 3" uniqueName="[Table002  Page 3]" caption="Table002  Page 3"/>
    <dimension name="Table004  Page 3" uniqueName="[Table004  Page 3]" caption="Table004  Page 3"/>
    <dimension name="truckzone" uniqueName="[truckzone]" caption="truckzone"/>
  </dimensions>
  <measureGroups count="14">
    <measureGroup name="ACERO 1" caption="ACERO 1"/>
    <measureGroup name="CHASIS" caption="CHASIS"/>
    <measureGroup name="clientes" caption="clientes"/>
    <measureGroup name="extras" caption="extras"/>
    <measureGroup name="otros" caption="otros"/>
    <measureGroup name="Page001" caption="Page001"/>
    <measureGroup name="Page002" caption="Page002"/>
    <measureGroup name="Page003" caption="Page003"/>
    <measureGroup name="piramide" caption="piramide"/>
    <measureGroup name="Tabla24" caption="Tabla24"/>
    <measureGroup name="Table001  Page 1" caption="Table001  Page 1"/>
    <measureGroup name="Table002  Page 3" caption="Table002  Page 3"/>
    <measureGroup name="Table004  Page 3" caption="Table004  Page 3"/>
    <measureGroup name="truckzone" caption="truckzone"/>
  </measureGroups>
  <maps count="19">
    <map measureGroup="0" dimension="0"/>
    <map measureGroup="0" dimension="10"/>
    <map measureGroup="1" dimension="1"/>
    <map measureGroup="2" dimension="2"/>
    <map measureGroup="3" dimension="3"/>
    <map measureGroup="3" dimension="10"/>
    <map measureGroup="4" dimension="5"/>
    <map measureGroup="4" dimension="10"/>
    <map measureGroup="5" dimension="6"/>
    <map measureGroup="6" dimension="7"/>
    <map measureGroup="7" dimension="8"/>
    <map measureGroup="8" dimension="9"/>
    <map measureGroup="8" dimension="10"/>
    <map measureGroup="9" dimension="10"/>
    <map measureGroup="10" dimension="11"/>
    <map measureGroup="11" dimension="12"/>
    <map measureGroup="12" dimension="13"/>
    <map measureGroup="13" dimension="10"/>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madora Leolca" refreshedDate="45321.591613657409" backgroundQuery="1" createdVersion="8" refreshedVersion="8" minRefreshableVersion="3" recordCount="0" supportSubquery="1" supportAdvancedDrill="1" xr:uid="{6317737E-CC45-476A-8E11-6C8FE83F8289}">
  <cacheSource type="external" connectionId="8"/>
  <cacheFields count="1">
    <cacheField name="[clientes].[CLIENTE].[CLIENTE]" caption="CLIENTE" numFmtId="0" hierarchy="21" level="1">
      <sharedItems containsSemiMixedTypes="0" containsNonDate="0" containsString="0"/>
    </cacheField>
  </cacheFields>
  <cacheHierarchies count="130">
    <cacheHierarchy uniqueName="[ACERO 1].[PZAS]" caption="PZAS" attribute="1" defaultMemberUniqueName="[ACERO 1].[PZAS].[All]" allUniqueName="[ACERO 1].[PZAS].[All]" dimensionUniqueName="[ACERO 1]" displayFolder="" count="0" memberValueDatatype="5" unbalanced="0"/>
    <cacheHierarchy uniqueName="[ACERO 1].[TIPO]" caption="TIPO" attribute="1" defaultMemberUniqueName="[ACERO 1].[TIPO].[All]" allUniqueName="[ACERO 1].[TIPO].[All]" dimensionUniqueName="[ACERO 1]" displayFolder="" count="0" memberValueDatatype="130" unbalanced="0"/>
    <cacheHierarchy uniqueName="[ACERO 1].[NOMBRE]" caption="NOMBRE" attribute="1" defaultMemberUniqueName="[ACERO 1].[NOMBRE].[All]" allUniqueName="[ACERO 1].[NOMBRE].[All]" dimensionUniqueName="[ACERO 1]" displayFolder="" count="0" memberValueDatatype="130" unbalanced="0"/>
    <cacheHierarchy uniqueName="[ACERO 1].[MATERIAL / ACCESORIO]" caption="MATERIAL / ACCESORIO" attribute="1" defaultMemberUniqueName="[ACERO 1].[MATERIAL / ACCESORIO].[All]" allUniqueName="[ACERO 1].[MATERIAL / ACCESORIO].[All]" dimensionUniqueName="[ACERO 1]" displayFolder="" count="0" memberValueDatatype="130" unbalanced="0"/>
    <cacheHierarchy uniqueName="[ACERO 1].[PRECIO $ C/U]" caption="PRECIO $ C/U" attribute="1" defaultMemberUniqueName="[ACERO 1].[PRECIO $ C/U].[All]" allUniqueName="[ACERO 1].[PRECIO $ C/U].[All]" dimensionUniqueName="[ACERO 1]" displayFolder="" count="0" memberValueDatatype="5" unbalanced="0"/>
    <cacheHierarchy uniqueName="[ACERO 1].[IMP POR POYECTO]" caption="IMP POR POYECTO" attribute="1" defaultMemberUniqueName="[ACERO 1].[IMP POR POYECTO].[All]" allUniqueName="[ACERO 1].[IMP POR POYECTO].[All]" dimensionUniqueName="[ACERO 1]" displayFolder="" count="0" memberValueDatatype="5" unbalanced="0"/>
    <cacheHierarchy uniqueName="[ACERO 1].[NUM. DE EJES]" caption="NUM. DE EJES" attribute="1" defaultMemberUniqueName="[ACERO 1].[NUM. DE EJES].[All]" allUniqueName="[ACERO 1].[NUM. DE EJES].[All]" dimensionUniqueName="[ACERO 1]" displayFolder="" count="0" memberValueDatatype="20" unbalanced="0"/>
    <cacheHierarchy uniqueName="[ACERO 1].[LARGO]" caption="LARGO" attribute="1" defaultMemberUniqueName="[ACERO 1].[LARGO].[All]" allUniqueName="[ACERO 1].[LARGO].[All]" dimensionUniqueName="[ACERO 1]" displayFolder="" count="0" memberValueDatatype="130" unbalanced="0"/>
    <cacheHierarchy uniqueName="[ACERO 1].[CLASE]" caption="CLASE" attribute="1" defaultMemberUniqueName="[ACERO 1].[CLASE].[All]" allUniqueName="[ACERO 1].[CLASE].[All]" dimensionUniqueName="[ACERO 1]" displayFolder="" count="0" memberValueDatatype="130" unbalanced="0"/>
    <cacheHierarchy uniqueName="[ACERO 1].[OBSERVACION]" caption="OBSERVACION" attribute="1" defaultMemberUniqueName="[ACERO 1].[OBSERVACION].[All]" allUniqueName="[ACERO 1].[OBSERVACION].[All]" dimensionUniqueName="[ACERO 1]" displayFolder="" count="0" memberValueDatatype="130" unbalanced="0"/>
    <cacheHierarchy uniqueName="[CHASIS].[CLIENTE]" caption="CLIENTE" attribute="1" defaultMemberUniqueName="[CHASIS].[CLIENTE].[All]" allUniqueName="[CHASIS].[CLIENTE].[All]" dimensionUniqueName="[CHASIS]" displayFolder="" count="0" memberValueDatatype="130" unbalanced="0"/>
    <cacheHierarchy uniqueName="[CHASIS].[CHASIS]" caption="CHASIS" attribute="1" defaultMemberUniqueName="[CHASIS].[CHASIS].[All]" allUniqueName="[CHASIS].[CHASIS].[All]" dimensionUniqueName="[CHASIS]" displayFolder="" count="0" memberValueDatatype="130" unbalanced="0"/>
    <cacheHierarchy uniqueName="[CHASIS].[AÑO MODELO]" caption="AÑO MODELO" attribute="1" defaultMemberUniqueName="[CHASIS].[AÑO MODELO].[All]" allUniqueName="[CHASIS].[AÑO MODELO].[All]" dimensionUniqueName="[CHASIS]" displayFolder="" count="0" memberValueDatatype="20" unbalanced="0"/>
    <cacheHierarchy uniqueName="[CHASIS].[P/U]" caption="P/U" attribute="1" defaultMemberUniqueName="[CHASIS].[P/U].[All]" allUniqueName="[CHASIS].[P/U].[All]" dimensionUniqueName="[CHASIS]" displayFolder="" count="0" memberValueDatatype="20" unbalanced="0"/>
    <cacheHierarchy uniqueName="[CHASIS].[PAGO]" caption="PAGO" attribute="1" defaultMemberUniqueName="[CHASIS].[PAGO].[All]" allUniqueName="[CHASIS].[PAGO].[All]" dimensionUniqueName="[CHASIS]" displayFolder="" count="0" memberValueDatatype="20" unbalanced="0"/>
    <cacheHierarchy uniqueName="[CHASIS].[ADEUDO]" caption="ADEUDO" attribute="1" defaultMemberUniqueName="[CHASIS].[ADEUDO].[All]" allUniqueName="[CHASIS].[ADEUDO].[All]" dimensionUniqueName="[CHASIS]" displayFolder="" count="0" memberValueDatatype="20" unbalanced="0"/>
    <cacheHierarchy uniqueName="[CHASIS].[FACTURA]" caption="FACTURA" attribute="1" defaultMemberUniqueName="[CHASIS].[FACTURA].[All]" allUniqueName="[CHASIS].[FACTURA].[All]" dimensionUniqueName="[CHASIS]" displayFolder="" count="0" memberValueDatatype="130" unbalanced="0"/>
    <cacheHierarchy uniqueName="[CHASIS].[FECHE/ENTRGA]" caption="FECHE/ENTRGA" attribute="1" time="1" defaultMemberUniqueName="[CHASIS].[FECHE/ENTRGA].[All]" allUniqueName="[CHASIS].[FECHE/ENTRGA].[All]" dimensionUniqueName="[CHASIS]" displayFolder="" count="0" memberValueDatatype="7" unbalanced="0"/>
    <cacheHierarchy uniqueName="[CHASIS].[PAGADO]" caption="PAGADO" attribute="1" defaultMemberUniqueName="[CHASIS].[PAGADO].[All]" allUniqueName="[CHASIS].[PAGADO].[All]" dimensionUniqueName="[CHASIS]" displayFolder="" count="0" memberValueDatatype="130" unbalanced="0"/>
    <cacheHierarchy uniqueName="[CHASIS].[EQUI. ENTREGADOS]" caption="EQUI. ENTREGADOS" attribute="1" defaultMemberUniqueName="[CHASIS].[EQUI. ENTREGADOS].[All]" allUniqueName="[CHASIS].[EQUI. ENTREGADOS].[All]" dimensionUniqueName="[CHASIS]" displayFolder="" count="0" memberValueDatatype="130" unbalanced="0"/>
    <cacheHierarchy uniqueName="[CHASIS].[FECHE/ENTRGA (mes)]" caption="FECHE/ENTRGA (mes)" attribute="1" defaultMemberUniqueName="[CHASIS].[FECHE/ENTRGA (mes)].[All]" allUniqueName="[CHASIS].[FECHE/ENTRGA (mes)].[All]" dimensionUniqueName="[CHASIS]" displayFolder="" count="0" memberValueDatatype="130" unbalanced="0"/>
    <cacheHierarchy uniqueName="[clientes].[CLIENTE]" caption="CLIENTE" attribute="1" defaultMemberUniqueName="[clientes].[CLIENTE].[All]" allUniqueName="[clientes].[CLIENTE].[All]" dimensionUniqueName="[clientes]" displayFolder="" count="2" memberValueDatatype="130" unbalanced="0">
      <fieldsUsage count="2">
        <fieldUsage x="-1"/>
        <fieldUsage x="0"/>
      </fieldsUsage>
    </cacheHierarchy>
    <cacheHierarchy uniqueName="[clientes].[R. F. C.]" caption="R. F. C." attribute="1" defaultMemberUniqueName="[clientes].[R. F. C.].[All]" allUniqueName="[clientes].[R. F. C.].[All]" dimensionUniqueName="[clientes]" displayFolder="" count="0" memberValueDatatype="130" unbalanced="0"/>
    <cacheHierarchy uniqueName="[clientes].[EMPRESA]" caption="EMPRESA" attribute="1" defaultMemberUniqueName="[clientes].[EMPRESA].[All]" allUniqueName="[clientes].[EMPRESA].[All]" dimensionUniqueName="[clientes]" displayFolder="" count="0" memberValueDatatype="130" unbalanced="0"/>
    <cacheHierarchy uniqueName="[clientes].[CALLE, No., COLONIA]" caption="CALLE, No., COLONIA" attribute="1" defaultMemberUniqueName="[clientes].[CALLE, No., COLONIA].[All]" allUniqueName="[clientes].[CALLE, No., COLONIA].[All]" dimensionUniqueName="[clientes]" displayFolder="" count="0" memberValueDatatype="130" unbalanced="0"/>
    <cacheHierarchy uniqueName="[clientes].[MUNICIPIO, ESTADO, PAIS.]" caption="MUNICIPIO, ESTADO, PAIS." attribute="1" defaultMemberUniqueName="[clientes].[MUNICIPIO, ESTADO, PAIS.].[All]" allUniqueName="[clientes].[MUNICIPIO, ESTADO, PAIS.].[All]" dimensionUniqueName="[clientes]" displayFolder="" count="0" memberValueDatatype="130" unbalanced="0"/>
    <cacheHierarchy uniqueName="[clientes].[C.P.]" caption="C.P." attribute="1" defaultMemberUniqueName="[clientes].[C.P.].[All]" allUniqueName="[clientes].[C.P.].[All]" dimensionUniqueName="[clientes]" displayFolder="" count="0" memberValueDatatype="130" unbalanced="0"/>
    <cacheHierarchy uniqueName="[clientes].[TEL/CEL]" caption="TEL/CEL" attribute="1" defaultMemberUniqueName="[clientes].[TEL/CEL].[All]" allUniqueName="[clientes].[TEL/CEL].[All]" dimensionUniqueName="[clientes]" displayFolder="" count="0" memberValueDatatype="130" unbalanced="0"/>
    <cacheHierarchy uniqueName="[clientes].[CORREO]" caption="CORREO" attribute="1" defaultMemberUniqueName="[clientes].[CORREO].[All]" allUniqueName="[clientes].[CORREO].[All]" dimensionUniqueName="[clientes]" displayFolder="" count="0" memberValueDatatype="130" unbalanced="0"/>
    <cacheHierarchy uniqueName="[extras].[PZAS]" caption="PZAS" attribute="1" defaultMemberUniqueName="[extras].[PZAS].[All]" allUniqueName="[extras].[PZAS].[All]" dimensionUniqueName="[extras]" displayFolder="" count="0" memberValueDatatype="20" unbalanced="0"/>
    <cacheHierarchy uniqueName="[extras].[TIPO]" caption="TIPO" attribute="1" defaultMemberUniqueName="[extras].[TIPO].[All]" allUniqueName="[extras].[TIPO].[All]" dimensionUniqueName="[extras]" displayFolder="" count="0" memberValueDatatype="130" unbalanced="0"/>
    <cacheHierarchy uniqueName="[extras].[NOMBRE]" caption="NOMBRE" attribute="1" defaultMemberUniqueName="[extras].[NOMBRE].[All]" allUniqueName="[extras].[NOMBRE].[All]" dimensionUniqueName="[extras]" displayFolder="" count="0" memberValueDatatype="130" unbalanced="0"/>
    <cacheHierarchy uniqueName="[extras].[MATERIAL / ACCESORIO]" caption="MATERIAL / ACCESORIO" attribute="1" defaultMemberUniqueName="[extras].[MATERIAL / ACCESORIO].[All]" allUniqueName="[extras].[MATERIAL / ACCESORIO].[All]" dimensionUniqueName="[extras]" displayFolder="" count="0" memberValueDatatype="130" unbalanced="0"/>
    <cacheHierarchy uniqueName="[extras].[CLASE]" caption="CLASE" attribute="1" defaultMemberUniqueName="[extras].[CLASE].[All]" allUniqueName="[extras].[CLASE].[All]" dimensionUniqueName="[extras]" displayFolder="" count="0" memberValueDatatype="130" unbalanced="0"/>
    <cacheHierarchy uniqueName="[extras].[PRECIO $ C/U]" caption="PRECIO $ C/U" attribute="1" defaultMemberUniqueName="[extras].[PRECIO $ C/U].[All]" allUniqueName="[extras].[PRECIO $ C/U].[All]" dimensionUniqueName="[extras]" displayFolder="" count="0" memberValueDatatype="20" unbalanced="0"/>
    <cacheHierarchy uniqueName="[extras].[IMP POR POYECTO]" caption="IMP POR POYECTO" attribute="1" defaultMemberUniqueName="[extras].[IMP POR POYECTO].[All]" allUniqueName="[extras].[IMP POR POYECTO].[All]" dimensionUniqueName="[extras]" displayFolder="" count="0" memberValueDatatype="20" unbalanced="0"/>
    <cacheHierarchy uniqueName="[extras].[NUM. DE EJES]" caption="NUM. DE EJES" attribute="1" defaultMemberUniqueName="[extras].[NUM. DE EJES].[All]" allUniqueName="[extras].[NUM. DE EJES].[All]" dimensionUniqueName="[extras]" displayFolder="" count="0" memberValueDatatype="20" unbalanced="0"/>
    <cacheHierarchy uniqueName="[extras].[LARGO]" caption="LARGO" attribute="1" defaultMemberUniqueName="[extras].[LARGO].[All]" allUniqueName="[extras].[LARGO].[All]" dimensionUniqueName="[extras]" displayFolder="" count="0" memberValueDatatype="130" unbalanced="0"/>
    <cacheHierarchy uniqueName="[extras].[OBSERVACION]" caption="OBSERVACION" attribute="1" defaultMemberUniqueName="[extras].[OBSERVACION].[All]" allUniqueName="[extras].[OBSERVACION].[All]" dimensionUniqueName="[extras]" displayFolder="" count="0" memberValueDatatype="130" unbalanced="0"/>
    <cacheHierarchy uniqueName="[otros].[PZAS]" caption="PZAS" attribute="1" defaultMemberUniqueName="[otros].[PZAS].[All]" allUniqueName="[otros].[PZAS].[All]" dimensionUniqueName="[otros]" displayFolder="" count="0" memberValueDatatype="5" unbalanced="0"/>
    <cacheHierarchy uniqueName="[otros].[TIPO]" caption="TIPO" attribute="1" defaultMemberUniqueName="[otros].[TIPO].[All]" allUniqueName="[otros].[TIPO].[All]" dimensionUniqueName="[otros]" displayFolder="" count="0" memberValueDatatype="130" unbalanced="0"/>
    <cacheHierarchy uniqueName="[otros].[NOMBRE]" caption="NOMBRE" attribute="1" defaultMemberUniqueName="[otros].[NOMBRE].[All]" allUniqueName="[otros].[NOMBRE].[All]" dimensionUniqueName="[otros]" displayFolder="" count="0" memberValueDatatype="130" unbalanced="0"/>
    <cacheHierarchy uniqueName="[otros].[MATERIAL / ACCESORIO]" caption="MATERIAL / ACCESORIO" attribute="1" defaultMemberUniqueName="[otros].[MATERIAL / ACCESORIO].[All]" allUniqueName="[otros].[MATERIAL / ACCESORIO].[All]" dimensionUniqueName="[otros]" displayFolder="" count="0" memberValueDatatype="130" unbalanced="0"/>
    <cacheHierarchy uniqueName="[otros].[PRECIO $ C/U]" caption="PRECIO $ C/U" attribute="1" defaultMemberUniqueName="[otros].[PRECIO $ C/U].[All]" allUniqueName="[otros].[PRECIO $ C/U].[All]" dimensionUniqueName="[otros]" displayFolder="" count="0" memberValueDatatype="20" unbalanced="0"/>
    <cacheHierarchy uniqueName="[otros].[IMP POR POYECTO]" caption="IMP POR POYECTO" attribute="1" defaultMemberUniqueName="[otros].[IMP POR POYECTO].[All]" allUniqueName="[otros].[IMP POR POYECTO].[All]" dimensionUniqueName="[otros]" displayFolder="" count="0" memberValueDatatype="5" unbalanced="0"/>
    <cacheHierarchy uniqueName="[otros].[NUM. DE EJES]" caption="NUM. DE EJES" attribute="1" defaultMemberUniqueName="[otros].[NUM. DE EJES].[All]" allUniqueName="[otros].[NUM. DE EJES].[All]" dimensionUniqueName="[otros]" displayFolder="" count="0" memberValueDatatype="20" unbalanced="0"/>
    <cacheHierarchy uniqueName="[otros].[LARGO]" caption="LARGO" attribute="1" defaultMemberUniqueName="[otros].[LARGO].[All]" allUniqueName="[otros].[LARGO].[All]" dimensionUniqueName="[otros]" displayFolder="" count="0" memberValueDatatype="130" unbalanced="0"/>
    <cacheHierarchy uniqueName="[otros].[CLASE]" caption="CLASE" attribute="1" defaultMemberUniqueName="[otros].[CLASE].[All]" allUniqueName="[otros].[CLASE].[All]" dimensionUniqueName="[otros]" displayFolder="" count="0" memberValueDatatype="130" unbalanced="0"/>
    <cacheHierarchy uniqueName="[otros].[OBSERVACION]" caption="OBSERVACION" attribute="1" defaultMemberUniqueName="[otros].[OBSERVACION].[All]" allUniqueName="[otros].[OBSERVACION].[All]" dimensionUniqueName="[otros]" displayFolder="" count="0" memberValueDatatype="130" unbalanced="0"/>
    <cacheHierarchy uniqueName="[Page001].[Column1]" caption="Column1" attribute="1" defaultMemberUniqueName="[Page001].[Column1].[All]" allUniqueName="[Page001].[Column1].[All]" dimensionUniqueName="[Page001]" displayFolder="" count="0" memberValueDatatype="130" unbalanced="0"/>
    <cacheHierarchy uniqueName="[Page001].[Column2]" caption="Column2" attribute="1" defaultMemberUniqueName="[Page001].[Column2].[All]" allUniqueName="[Page001].[Column2].[All]" dimensionUniqueName="[Page001]" displayFolder="" count="0" memberValueDatatype="130" unbalanced="0"/>
    <cacheHierarchy uniqueName="[Page001].[Column3]" caption="Column3" attribute="1" defaultMemberUniqueName="[Page001].[Column3].[All]" allUniqueName="[Page001].[Column3].[All]" dimensionUniqueName="[Page001]" displayFolder="" count="0" memberValueDatatype="130" unbalanced="0"/>
    <cacheHierarchy uniqueName="[Page001].[Column4]" caption="Column4" attribute="1" defaultMemberUniqueName="[Page001].[Column4].[All]" allUniqueName="[Page001].[Column4].[All]" dimensionUniqueName="[Page001]" displayFolder="" count="0" memberValueDatatype="130" unbalanced="0"/>
    <cacheHierarchy uniqueName="[Page001].[Column5]" caption="Column5" attribute="1" defaultMemberUniqueName="[Page001].[Column5].[All]" allUniqueName="[Page001].[Column5].[All]" dimensionUniqueName="[Page001]" displayFolder="" count="0" memberValueDatatype="130" unbalanced="0"/>
    <cacheHierarchy uniqueName="[Page002].[Column1]" caption="Column1" attribute="1" defaultMemberUniqueName="[Page002].[Column1].[All]" allUniqueName="[Page002].[Column1].[All]" dimensionUniqueName="[Page002]" displayFolder="" count="0" memberValueDatatype="130" unbalanced="0"/>
    <cacheHierarchy uniqueName="[Page002].[Column2]" caption="Column2" attribute="1" defaultMemberUniqueName="[Page002].[Column2].[All]" allUniqueName="[Page002].[Column2].[All]" dimensionUniqueName="[Page002]" displayFolder="" count="0" memberValueDatatype="130" unbalanced="0"/>
    <cacheHierarchy uniqueName="[Page003].[Column1]" caption="Column1" attribute="1" defaultMemberUniqueName="[Page003].[Column1].[All]" allUniqueName="[Page003].[Column1].[All]" dimensionUniqueName="[Page003]" displayFolder="" count="0" memberValueDatatype="130" unbalanced="0"/>
    <cacheHierarchy uniqueName="[Page003].[Column2]" caption="Column2" attribute="1" defaultMemberUniqueName="[Page003].[Column2].[All]" allUniqueName="[Page003].[Column2].[All]" dimensionUniqueName="[Page003]" displayFolder="" count="0" memberValueDatatype="130" unbalanced="0"/>
    <cacheHierarchy uniqueName="[Page003].[Column3]" caption="Column3" attribute="1" defaultMemberUniqueName="[Page003].[Column3].[All]" allUniqueName="[Page003].[Column3].[All]" dimensionUniqueName="[Page003]" displayFolder="" count="0" memberValueDatatype="130" unbalanced="0"/>
    <cacheHierarchy uniqueName="[Page003].[Column4]" caption="Column4" attribute="1" defaultMemberUniqueName="[Page003].[Column4].[All]" allUniqueName="[Page003].[Column4].[All]" dimensionUniqueName="[Page003]" displayFolder="" count="0" memberValueDatatype="130" unbalanced="0"/>
    <cacheHierarchy uniqueName="[Page003].[Column5]" caption="Column5" attribute="1" defaultMemberUniqueName="[Page003].[Column5].[All]" allUniqueName="[Page003].[Column5].[All]" dimensionUniqueName="[Page003]" displayFolder="" count="0" memberValueDatatype="130" unbalanced="0"/>
    <cacheHierarchy uniqueName="[piramide].[PZAS]" caption="PZAS" attribute="1" defaultMemberUniqueName="[piramide].[PZAS].[All]" allUniqueName="[piramide].[PZAS].[All]" dimensionUniqueName="[piramide]" displayFolder="" count="0" memberValueDatatype="5" unbalanced="0"/>
    <cacheHierarchy uniqueName="[piramide].[TIPO]" caption="TIPO" attribute="1" defaultMemberUniqueName="[piramide].[TIPO].[All]" allUniqueName="[piramide].[TIPO].[All]" dimensionUniqueName="[piramide]" displayFolder="" count="0" memberValueDatatype="130" unbalanced="0"/>
    <cacheHierarchy uniqueName="[piramide].[NOMBRE]" caption="NOMBRE" attribute="1" defaultMemberUniqueName="[piramide].[NOMBRE].[All]" allUniqueName="[piramide].[NOMBRE].[All]" dimensionUniqueName="[piramide]" displayFolder="" count="0" memberValueDatatype="130" unbalanced="0"/>
    <cacheHierarchy uniqueName="[piramide].[MATERIAL / ACCESORIO]" caption="MATERIAL / ACCESORIO" attribute="1" defaultMemberUniqueName="[piramide].[MATERIAL / ACCESORIO].[All]" allUniqueName="[piramide].[MATERIAL / ACCESORIO].[All]" dimensionUniqueName="[piramide]" displayFolder="" count="0" memberValueDatatype="130" unbalanced="0"/>
    <cacheHierarchy uniqueName="[piramide].[PRECIO $ C/U]" caption="PRECIO $ C/U" attribute="1" defaultMemberUniqueName="[piramide].[PRECIO $ C/U].[All]" allUniqueName="[piramide].[PRECIO $ C/U].[All]" dimensionUniqueName="[piramide]" displayFolder="" count="0" memberValueDatatype="5" unbalanced="0"/>
    <cacheHierarchy uniqueName="[piramide].[IMP POR POYECTO]" caption="IMP POR POYECTO" attribute="1" defaultMemberUniqueName="[piramide].[IMP POR POYECTO].[All]" allUniqueName="[piramide].[IMP POR POYECTO].[All]" dimensionUniqueName="[piramide]" displayFolder="" count="0" memberValueDatatype="5" unbalanced="0"/>
    <cacheHierarchy uniqueName="[piramide].[NUM. DE EJES]" caption="NUM. DE EJES" attribute="1" defaultMemberUniqueName="[piramide].[NUM. DE EJES].[All]" allUniqueName="[piramide].[NUM. DE EJES].[All]" dimensionUniqueName="[piramide]" displayFolder="" count="0" memberValueDatatype="20" unbalanced="0"/>
    <cacheHierarchy uniqueName="[piramide].[LARGO]" caption="LARGO" attribute="1" defaultMemberUniqueName="[piramide].[LARGO].[All]" allUniqueName="[piramide].[LARGO].[All]" dimensionUniqueName="[piramide]" displayFolder="" count="0" memberValueDatatype="130" unbalanced="0"/>
    <cacheHierarchy uniqueName="[piramide].[CLASE]" caption="CLASE" attribute="1" defaultMemberUniqueName="[piramide].[CLASE].[All]" allUniqueName="[piramide].[CLASE].[All]" dimensionUniqueName="[piramide]" displayFolder="" count="0" memberValueDatatype="130" unbalanced="0"/>
    <cacheHierarchy uniqueName="[piramide].[OBSERVACION]" caption="OBSERVACION" attribute="1" defaultMemberUniqueName="[piramide].[OBSERVACION].[All]" allUniqueName="[piramide].[OBSERVACION].[All]" dimensionUniqueName="[piramide]" displayFolder="" count="0" memberValueDatatype="130" unbalanced="0"/>
    <cacheHierarchy uniqueName="[Tabla24].[NOMBRE]" caption="NOMBRE" attribute="1" defaultMemberUniqueName="[Tabla24].[NOMBRE].[All]" allUniqueName="[Tabla24].[NOMBRE].[All]" dimensionUniqueName="[Tabla24]" displayFolder="" count="0" memberValueDatatype="130" unbalanced="0"/>
    <cacheHierarchy uniqueName="[Tabla24].[TIPO]" caption="TIPO" attribute="1" defaultMemberUniqueName="[Tabla24].[TIPO].[All]" allUniqueName="[Tabla24].[TIPO].[All]" dimensionUniqueName="[Tabla24]" displayFolder="" count="0" memberValueDatatype="130" unbalanced="0"/>
    <cacheHierarchy uniqueName="[Tabla24].[NUM. DE EJES]" caption="NUM. DE EJES" attribute="1" defaultMemberUniqueName="[Tabla24].[NUM. DE EJES].[All]" allUniqueName="[Tabla24].[NUM. DE EJES].[All]" dimensionUniqueName="[Tabla24]" displayFolder="" count="0" memberValueDatatype="20" unbalanced="0"/>
    <cacheHierarchy uniqueName="[Tabla24].[LARGO]" caption="LARGO" attribute="1" defaultMemberUniqueName="[Tabla24].[LARGO].[All]" allUniqueName="[Tabla24].[LARGO].[All]" dimensionUniqueName="[Tabla24]" displayFolder="" count="0" memberValueDatatype="130" unbalanced="0"/>
    <cacheHierarchy uniqueName="[Tabla24].[CONCAT]" caption="CONCAT" attribute="1" defaultMemberUniqueName="[Tabla24].[CONCAT].[All]" allUniqueName="[Tabla24].[CONCAT].[All]" dimensionUniqueName="[Tabla24]" displayFolder="" count="0" memberValueDatatype="130" unbalanced="0"/>
    <cacheHierarchy uniqueName="[Tabla24].[Peso Vehicular]" caption="Peso Vehicular" attribute="1" defaultMemberUniqueName="[Tabla24].[Peso Vehicular].[All]" allUniqueName="[Tabla24].[Peso Vehicular].[All]" dimensionUniqueName="[Tabla24]" displayFolder="" count="0" memberValueDatatype="20" unbalanced="0"/>
    <cacheHierarchy uniqueName="[Tabla24].[PBVD:]" caption="PBVD:" attribute="1" defaultMemberUniqueName="[Tabla24].[PBVD:].[All]" allUniqueName="[Tabla24].[PBVD:].[All]" dimensionUniqueName="[Tabla24]" displayFolder="" count="0" memberValueDatatype="20" unbalanced="0"/>
    <cacheHierarchy uniqueName="[Tabla24].[Modelo ABS:]" caption="Modelo ABS:" attribute="1" defaultMemberUniqueName="[Tabla24].[Modelo ABS:].[All]" allUniqueName="[Tabla24].[Modelo ABS:].[All]" dimensionUniqueName="[Tabla24]" displayFolder="" count="0" memberValueDatatype="130" unbalanced="0"/>
    <cacheHierarchy uniqueName="[Tabla24].[CDE ejes traseros:]" caption="CDE ejes traseros:" attribute="1" defaultMemberUniqueName="[Tabla24].[CDE ejes traseros:].[All]" allUniqueName="[Tabla24].[CDE ejes traseros:].[All]" dimensionUniqueName="[Tabla24]" displayFolder="" count="0" memberValueDatatype="20" unbalanced="0"/>
    <cacheHierarchy uniqueName="[Tabla24].[Número de llantas:]" caption="Número de llantas:" attribute="1" defaultMemberUniqueName="[Tabla24].[Número de llantas:].[All]" allUniqueName="[Tabla24].[Número de llantas:].[All]" dimensionUniqueName="[Tabla24]" displayFolder="" count="0" memberValueDatatype="20" unbalanced="0"/>
    <cacheHierarchy uniqueName="[Tabla24].[Capacidad de eje en posición de montaje:]" caption="Capacidad de eje en posición de montaje:" attribute="1" defaultMemberUniqueName="[Tabla24].[Capacidad de eje en posición de montaje:].[All]" allUniqueName="[Tabla24].[Capacidad de eje en posición de montaje:].[All]" dimensionUniqueName="[Tabla24]" displayFolder="" count="0" memberValueDatatype="20" unbalanced="0"/>
    <cacheHierarchy uniqueName="[Tabla24].[Capacidad de espigas de eje:]" caption="Capacidad de espigas de eje:" attribute="1" defaultMemberUniqueName="[Tabla24].[Capacidad de espigas de eje:].[All]" allUniqueName="[Tabla24].[Capacidad de espigas de eje:].[All]" dimensionUniqueName="[Tabla24]" displayFolder="" count="0" memberValueDatatype="20" unbalanced="0"/>
    <cacheHierarchy uniqueName="[Tabla24].[Longitud]" caption="Longitud" attribute="1" defaultMemberUniqueName="[Tabla24].[Longitud].[All]" allUniqueName="[Tabla24].[Longitud].[All]" dimensionUniqueName="[Tabla24]" displayFolder="" count="0" memberValueDatatype="5" unbalanced="0"/>
    <cacheHierarchy uniqueName="[Table001  Page 1].[Column1]" caption="Column1" attribute="1" defaultMemberUniqueName="[Table001  Page 1].[Column1].[All]" allUniqueName="[Table001  Page 1].[Column1].[All]" dimensionUniqueName="[Table001  Page 1]" displayFolder="" count="0" memberValueDatatype="130" unbalanced="0"/>
    <cacheHierarchy uniqueName="[Table002  Page 3].[Column1]" caption="Column1" attribute="1" defaultMemberUniqueName="[Table002  Page 3].[Column1].[All]" allUniqueName="[Table002  Page 3].[Column1].[All]" dimensionUniqueName="[Table002  Page 3]" displayFolder="" count="0" memberValueDatatype="130" unbalanced="0"/>
    <cacheHierarchy uniqueName="[Table002  Page 3].[Column2]" caption="Column2" attribute="1" defaultMemberUniqueName="[Table002  Page 3].[Column2].[All]" allUniqueName="[Table002  Page 3].[Column2].[All]" dimensionUniqueName="[Table002  Page 3]" displayFolder="" count="0" memberValueDatatype="130" unbalanced="0"/>
    <cacheHierarchy uniqueName="[Table004  Page 3].[Column1]" caption="Column1" attribute="1" defaultMemberUniqueName="[Table004  Page 3].[Column1].[All]" allUniqueName="[Table004  Page 3].[Column1].[All]" dimensionUniqueName="[Table004  Page 3]" displayFolder="" count="0" memberValueDatatype="130" unbalanced="0"/>
    <cacheHierarchy uniqueName="[Table004  Page 3].[Column2]" caption="Column2" attribute="1" defaultMemberUniqueName="[Table004  Page 3].[Column2].[All]" allUniqueName="[Table004  Page 3].[Column2].[All]" dimensionUniqueName="[Table004  Page 3]" displayFolder="" count="0" memberValueDatatype="130" unbalanced="0"/>
    <cacheHierarchy uniqueName="[truckzone].[PZAS]" caption="PZAS" attribute="1" defaultMemberUniqueName="[truckzone].[PZAS].[All]" allUniqueName="[truckzone].[PZAS].[All]" dimensionUniqueName="[truckzone]" displayFolder="" count="0" memberValueDatatype="5" unbalanced="0"/>
    <cacheHierarchy uniqueName="[truckzone].[TIPO]" caption="TIPO" attribute="1" defaultMemberUniqueName="[truckzone].[TIPO].[All]" allUniqueName="[truckzone].[TIPO].[All]" dimensionUniqueName="[truckzone]" displayFolder="" count="0" memberValueDatatype="130" unbalanced="0"/>
    <cacheHierarchy uniqueName="[truckzone].[NOMBRE]" caption="NOMBRE" attribute="1" defaultMemberUniqueName="[truckzone].[NOMBRE].[All]" allUniqueName="[truckzone].[NOMBRE].[All]" dimensionUniqueName="[truckzone]" displayFolder="" count="0" memberValueDatatype="130" unbalanced="0"/>
    <cacheHierarchy uniqueName="[truckzone].[MATERIAL / ACCESORIO]" caption="MATERIAL / ACCESORIO" attribute="1" defaultMemberUniqueName="[truckzone].[MATERIAL / ACCESORIO].[All]" allUniqueName="[truckzone].[MATERIAL / ACCESORIO].[All]" dimensionUniqueName="[truckzone]" displayFolder="" count="0" memberValueDatatype="130" unbalanced="0"/>
    <cacheHierarchy uniqueName="[truckzone].[PRECIO $ C/U]" caption="PRECIO $ C/U" attribute="1" defaultMemberUniqueName="[truckzone].[PRECIO $ C/U].[All]" allUniqueName="[truckzone].[PRECIO $ C/U].[All]" dimensionUniqueName="[truckzone]" displayFolder="" count="0" memberValueDatatype="5" unbalanced="0"/>
    <cacheHierarchy uniqueName="[truckzone].[IMP POR POYECTO]" caption="IMP POR POYECTO" attribute="1" defaultMemberUniqueName="[truckzone].[IMP POR POYECTO].[All]" allUniqueName="[truckzone].[IMP POR POYECTO].[All]" dimensionUniqueName="[truckzone]" displayFolder="" count="0" memberValueDatatype="5" unbalanced="0"/>
    <cacheHierarchy uniqueName="[truckzone].[NUM. DE EJES]" caption="NUM. DE EJES" attribute="1" defaultMemberUniqueName="[truckzone].[NUM. DE EJES].[All]" allUniqueName="[truckzone].[NUM. DE EJES].[All]" dimensionUniqueName="[truckzone]" displayFolder="" count="0" memberValueDatatype="20" unbalanced="0"/>
    <cacheHierarchy uniqueName="[truckzone].[LARGO]" caption="LARGO" attribute="1" defaultMemberUniqueName="[truckzone].[LARGO].[All]" allUniqueName="[truckzone].[LARGO].[All]" dimensionUniqueName="[truckzone]" displayFolder="" count="0" memberValueDatatype="130" unbalanced="0"/>
    <cacheHierarchy uniqueName="[truckzone].[CLASE]" caption="CLASE" attribute="1" defaultMemberUniqueName="[truckzone].[CLASE].[All]" allUniqueName="[truckzone].[CLASE].[All]" dimensionUniqueName="[truckzone]" displayFolder="" count="0" memberValueDatatype="130" unbalanced="0"/>
    <cacheHierarchy uniqueName="[truckzone].[OBSERVACION]" caption="OBSERVACION" attribute="1" defaultMemberUniqueName="[truckzone].[OBSERVACION].[All]" allUniqueName="[truckzone].[OBSERVACION].[All]" dimensionUniqueName="[truckzone]" displayFolder="" count="0" memberValueDatatype="130" unbalanced="0"/>
    <cacheHierarchy uniqueName="[CHASIS].[FECHE/ENTRGA (índice de meses)]" caption="FECHE/ENTRGA (índice de meses)" attribute="1" defaultMemberUniqueName="[CHASIS].[FECHE/ENTRGA (índice de meses)].[All]" allUniqueName="[CHASIS].[FECHE/ENTRGA (índice de meses)].[All]" dimensionUniqueName="[CHASIS]" displayFolder="" count="0" memberValueDatatype="20" unbalanced="0" hidden="1"/>
    <cacheHierarchy uniqueName="[Measures].[__XL_Count extras]" caption="__XL_Count extras" measure="1" displayFolder="" measureGroup="extras" count="0" hidden="1"/>
    <cacheHierarchy uniqueName="[Measures].[__XL_Count otros]" caption="__XL_Count otros" measure="1" displayFolder="" measureGroup="otros" count="0" hidden="1"/>
    <cacheHierarchy uniqueName="[Measures].[__XL_Count piramide]" caption="__XL_Count piramide" measure="1" displayFolder="" measureGroup="piramide" count="0" hidden="1"/>
    <cacheHierarchy uniqueName="[Measures].[__XL_Count truckzone]" caption="__XL_Count truckzone" measure="1" displayFolder="" measureGroup="truckzone" count="0" hidden="1"/>
    <cacheHierarchy uniqueName="[Measures].[__XL_Count Tabla24]" caption="__XL_Count Tabla24" measure="1" displayFolder="" measureGroup="Tabla24" count="0" hidden="1"/>
    <cacheHierarchy uniqueName="[Measures].[__XL_Count ACERO 1]" caption="__XL_Count ACERO 1" measure="1" displayFolder="" measureGroup="ACERO 1" count="0" hidden="1"/>
    <cacheHierarchy uniqueName="[Measures].[__XL_Count Table001  Page 1]" caption="__XL_Count Table001  Page 1" measure="1" displayFolder="" measureGroup="Table001  Page 1" count="0" hidden="1"/>
    <cacheHierarchy uniqueName="[Measures].[__XL_Count Table002  Page 3]" caption="__XL_Count Table002  Page 3" measure="1" displayFolder="" measureGroup="Table002  Page 3" count="0" hidden="1"/>
    <cacheHierarchy uniqueName="[Measures].[__XL_Count Table004  Page 3]" caption="__XL_Count Table004  Page 3" measure="1" displayFolder="" measureGroup="Table004  Page 3" count="0" hidden="1"/>
    <cacheHierarchy uniqueName="[Measures].[__XL_Count Page001]" caption="__XL_Count Page001" measure="1" displayFolder="" measureGroup="Page001" count="0" hidden="1"/>
    <cacheHierarchy uniqueName="[Measures].[__XL_Count Page003]" caption="__XL_Count Page003" measure="1" displayFolder="" measureGroup="Page003" count="0" hidden="1"/>
    <cacheHierarchy uniqueName="[Measures].[__XL_Count Page002]" caption="__XL_Count Page002" measure="1" displayFolder="" measureGroup="Page002" count="0" hidden="1"/>
    <cacheHierarchy uniqueName="[Measures].[__XL_Count CHASIS]" caption="__XL_Count CHASIS" measure="1" displayFolder="" measureGroup="CHASIS" count="0" hidden="1"/>
    <cacheHierarchy uniqueName="[Measures].[__XL_Count clientes]" caption="__XL_Count clientes" measure="1" displayFolder="" measureGroup="clientes" count="0" hidden="1"/>
    <cacheHierarchy uniqueName="[Measures].[__No measures defined]" caption="__No measures defined" measure="1" displayFolder="" count="0" hidden="1"/>
    <cacheHierarchy uniqueName="[Measures].[Suma de IMP POR POYECTO 3]" caption="Suma de IMP POR POYECTO 3" measure="1" displayFolder="" measureGroup="otros" count="0" hidden="1">
      <extLst>
        <ext xmlns:x15="http://schemas.microsoft.com/office/spreadsheetml/2010/11/main" uri="{B97F6D7D-B522-45F9-BDA1-12C45D357490}">
          <x15:cacheHierarchy aggregatedColumn="44"/>
        </ext>
      </extLst>
    </cacheHierarchy>
    <cacheHierarchy uniqueName="[Measures].[Suma de IMP POR POYECTO 4]" caption="Suma de IMP POR POYECTO 4" measure="1" displayFolder="" measureGroup="piramide" count="0" hidden="1">
      <extLst>
        <ext xmlns:x15="http://schemas.microsoft.com/office/spreadsheetml/2010/11/main" uri="{B97F6D7D-B522-45F9-BDA1-12C45D357490}">
          <x15:cacheHierarchy aggregatedColumn="66"/>
        </ext>
      </extLst>
    </cacheHierarchy>
    <cacheHierarchy uniqueName="[Measures].[Suma de IMP POR POYECTO 5]" caption="Suma de IMP POR POYECTO 5" measure="1" displayFolder="" measureGroup="extras" count="0" hidden="1">
      <extLst>
        <ext xmlns:x15="http://schemas.microsoft.com/office/spreadsheetml/2010/11/main" uri="{B97F6D7D-B522-45F9-BDA1-12C45D357490}">
          <x15:cacheHierarchy aggregatedColumn="35"/>
        </ext>
      </extLst>
    </cacheHierarchy>
    <cacheHierarchy uniqueName="[Measures].[Suma de IMP POR POYECTO 6]" caption="Suma de IMP POR POYECTO 6" measure="1" displayFolder="" measureGroup="truckzone" count="0" hidden="1">
      <extLst>
        <ext xmlns:x15="http://schemas.microsoft.com/office/spreadsheetml/2010/11/main" uri="{B97F6D7D-B522-45F9-BDA1-12C45D357490}">
          <x15:cacheHierarchy aggregatedColumn="94"/>
        </ext>
      </extLst>
    </cacheHierarchy>
    <cacheHierarchy uniqueName="[Measures].[Suma de PZAS 2]" caption="Suma de PZAS 2" measure="1" displayFolder="" measureGroup="otros" count="0" hidden="1">
      <extLst>
        <ext xmlns:x15="http://schemas.microsoft.com/office/spreadsheetml/2010/11/main" uri="{B97F6D7D-B522-45F9-BDA1-12C45D357490}">
          <x15:cacheHierarchy aggregatedColumn="39"/>
        </ext>
      </extLst>
    </cacheHierarchy>
    <cacheHierarchy uniqueName="[Measures].[Suma de PZAS 3]" caption="Suma de PZAS 3" measure="1" displayFolder="" measureGroup="extras" count="0" hidden="1">
      <extLst>
        <ext xmlns:x15="http://schemas.microsoft.com/office/spreadsheetml/2010/11/main" uri="{B97F6D7D-B522-45F9-BDA1-12C45D357490}">
          <x15:cacheHierarchy aggregatedColumn="29"/>
        </ext>
      </extLst>
    </cacheHierarchy>
    <cacheHierarchy uniqueName="[Measures].[Suma de PZAS 4]" caption="Suma de PZAS 4" measure="1" displayFolder="" measureGroup="piramide" count="0" hidden="1">
      <extLst>
        <ext xmlns:x15="http://schemas.microsoft.com/office/spreadsheetml/2010/11/main" uri="{B97F6D7D-B522-45F9-BDA1-12C45D357490}">
          <x15:cacheHierarchy aggregatedColumn="61"/>
        </ext>
      </extLst>
    </cacheHierarchy>
    <cacheHierarchy uniqueName="[Measures].[Suma de PZAS 5]" caption="Suma de PZAS 5" measure="1" displayFolder="" measureGroup="truckzone" count="0" hidden="1">
      <extLst>
        <ext xmlns:x15="http://schemas.microsoft.com/office/spreadsheetml/2010/11/main" uri="{B97F6D7D-B522-45F9-BDA1-12C45D357490}">
          <x15:cacheHierarchy aggregatedColumn="89"/>
        </ext>
      </extLst>
    </cacheHierarchy>
    <cacheHierarchy uniqueName="[Measures].[Suma de IMP POR POYECTO]" caption="Suma de IMP POR POYECTO" measure="1" displayFolder="" measureGroup="ACERO 1" count="0" hidden="1">
      <extLst>
        <ext xmlns:x15="http://schemas.microsoft.com/office/spreadsheetml/2010/11/main" uri="{B97F6D7D-B522-45F9-BDA1-12C45D357490}">
          <x15:cacheHierarchy aggregatedColumn="5"/>
        </ext>
      </extLst>
    </cacheHierarchy>
    <cacheHierarchy uniqueName="[Measures].[Suma de PZAS 6]" caption="Suma de PZAS 6" measure="1" displayFolder="" measureGroup="ACERO 1" count="0" hidden="1">
      <extLst>
        <ext xmlns:x15="http://schemas.microsoft.com/office/spreadsheetml/2010/11/main" uri="{B97F6D7D-B522-45F9-BDA1-12C45D357490}">
          <x15:cacheHierarchy aggregatedColumn="0"/>
        </ext>
      </extLst>
    </cacheHierarchy>
    <cacheHierarchy uniqueName="[Measures].[Recuento de MATERIAL / ACCESORIO]" caption="Recuento de MATERIAL / ACCESORIO" measure="1" displayFolder="" measureGroup="extras" count="0" hidden="1">
      <extLst>
        <ext xmlns:x15="http://schemas.microsoft.com/office/spreadsheetml/2010/11/main" uri="{B97F6D7D-B522-45F9-BDA1-12C45D357490}">
          <x15:cacheHierarchy aggregatedColumn="32"/>
        </ext>
      </extLst>
    </cacheHierarchy>
    <cacheHierarchy uniqueName="[Measures].[Recuento de TIPO]" caption="Recuento de TIPO" measure="1" displayFolder="" measureGroup="extras" count="0" hidden="1">
      <extLst>
        <ext xmlns:x15="http://schemas.microsoft.com/office/spreadsheetml/2010/11/main" uri="{B97F6D7D-B522-45F9-BDA1-12C45D357490}">
          <x15:cacheHierarchy aggregatedColumn="30"/>
        </ext>
      </extLst>
    </cacheHierarchy>
    <cacheHierarchy uniqueName="[Measures].[Suma de PAGO]" caption="Suma de PAGO" measure="1" displayFolder="" measureGroup="CHASIS" count="0" hidden="1">
      <extLst>
        <ext xmlns:x15="http://schemas.microsoft.com/office/spreadsheetml/2010/11/main" uri="{B97F6D7D-B522-45F9-BDA1-12C45D357490}">
          <x15:cacheHierarchy aggregatedColumn="14"/>
        </ext>
      </extLst>
    </cacheHierarchy>
    <cacheHierarchy uniqueName="[Measures].[Suma de P/U]" caption="Suma de P/U" measure="1" displayFolder="" measureGroup="CHASIS" count="0" hidden="1">
      <extLst>
        <ext xmlns:x15="http://schemas.microsoft.com/office/spreadsheetml/2010/11/main" uri="{B97F6D7D-B522-45F9-BDA1-12C45D357490}">
          <x15:cacheHierarchy aggregatedColumn="13"/>
        </ext>
      </extLst>
    </cacheHierarchy>
    <cacheHierarchy uniqueName="[Measures].[Suma de ADEUDO]" caption="Suma de ADEUDO" measure="1" displayFolder="" measureGroup="CHASIS" count="0" hidden="1">
      <extLst>
        <ext xmlns:x15="http://schemas.microsoft.com/office/spreadsheetml/2010/11/main" uri="{B97F6D7D-B522-45F9-BDA1-12C45D357490}">
          <x15:cacheHierarchy aggregatedColumn="15"/>
        </ext>
      </extLst>
    </cacheHierarchy>
  </cacheHierarchies>
  <kpis count="0"/>
  <dimensions count="15">
    <dimension name="ACERO 1" uniqueName="[ACERO 1]" caption="ACERO 1"/>
    <dimension name="CHASIS" uniqueName="[CHASIS]" caption="CHASIS"/>
    <dimension name="clientes" uniqueName="[clientes]" caption="clientes"/>
    <dimension name="extras" uniqueName="[extras]" caption="extras"/>
    <dimension measure="1" name="Measures" uniqueName="[Measures]" caption="Measures"/>
    <dimension name="otros" uniqueName="[otros]" caption="otros"/>
    <dimension name="Page001" uniqueName="[Page001]" caption="Page001"/>
    <dimension name="Page002" uniqueName="[Page002]" caption="Page002"/>
    <dimension name="Page003" uniqueName="[Page003]" caption="Page003"/>
    <dimension name="piramide" uniqueName="[piramide]" caption="piramide"/>
    <dimension name="Tabla24" uniqueName="[Tabla24]" caption="Tabla24"/>
    <dimension name="Table001  Page 1" uniqueName="[Table001  Page 1]" caption="Table001  Page 1"/>
    <dimension name="Table002  Page 3" uniqueName="[Table002  Page 3]" caption="Table002  Page 3"/>
    <dimension name="Table004  Page 3" uniqueName="[Table004  Page 3]" caption="Table004  Page 3"/>
    <dimension name="truckzone" uniqueName="[truckzone]" caption="truckzone"/>
  </dimensions>
  <measureGroups count="14">
    <measureGroup name="ACERO 1" caption="ACERO 1"/>
    <measureGroup name="CHASIS" caption="CHASIS"/>
    <measureGroup name="clientes" caption="clientes"/>
    <measureGroup name="extras" caption="extras"/>
    <measureGroup name="otros" caption="otros"/>
    <measureGroup name="Page001" caption="Page001"/>
    <measureGroup name="Page002" caption="Page002"/>
    <measureGroup name="Page003" caption="Page003"/>
    <measureGroup name="piramide" caption="piramide"/>
    <measureGroup name="Tabla24" caption="Tabla24"/>
    <measureGroup name="Table001  Page 1" caption="Table001  Page 1"/>
    <measureGroup name="Table002  Page 3" caption="Table002  Page 3"/>
    <measureGroup name="Table004  Page 3" caption="Table004  Page 3"/>
    <measureGroup name="truckzone" caption="truckzone"/>
  </measureGroups>
  <maps count="19">
    <map measureGroup="0" dimension="0"/>
    <map measureGroup="0" dimension="10"/>
    <map measureGroup="1" dimension="1"/>
    <map measureGroup="2" dimension="2"/>
    <map measureGroup="3" dimension="3"/>
    <map measureGroup="3" dimension="10"/>
    <map measureGroup="4" dimension="5"/>
    <map measureGroup="4" dimension="10"/>
    <map measureGroup="5" dimension="6"/>
    <map measureGroup="6" dimension="7"/>
    <map measureGroup="7" dimension="8"/>
    <map measureGroup="8" dimension="9"/>
    <map measureGroup="8" dimension="10"/>
    <map measureGroup="9" dimension="10"/>
    <map measureGroup="10" dimension="11"/>
    <map measureGroup="11" dimension="12"/>
    <map measureGroup="12" dimension="13"/>
    <map measureGroup="13" dimension="10"/>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madora Leolca" refreshedDate="45331.743027546298" backgroundQuery="1" createdVersion="8" refreshedVersion="8" minRefreshableVersion="3" recordCount="0" supportSubquery="1" supportAdvancedDrill="1" xr:uid="{9BA9D418-FB57-49BD-BB4A-AB4CE9A10A13}">
  <cacheSource type="external" connectionId="8"/>
  <cacheFields count="1">
    <cacheField name="[clientes].[CLIENTE].[CLIENTE]" caption="CLIENTE" numFmtId="0" hierarchy="21" level="1">
      <sharedItems containsSemiMixedTypes="0" containsNonDate="0" containsString="0"/>
    </cacheField>
  </cacheFields>
  <cacheHierarchies count="130">
    <cacheHierarchy uniqueName="[ACERO 1].[PZAS]" caption="PZAS" attribute="1" defaultMemberUniqueName="[ACERO 1].[PZAS].[All]" allUniqueName="[ACERO 1].[PZAS].[All]" dimensionUniqueName="[ACERO 1]" displayFolder="" count="0" memberValueDatatype="5" unbalanced="0"/>
    <cacheHierarchy uniqueName="[ACERO 1].[TIPO]" caption="TIPO" attribute="1" defaultMemberUniqueName="[ACERO 1].[TIPO].[All]" allUniqueName="[ACERO 1].[TIPO].[All]" dimensionUniqueName="[ACERO 1]" displayFolder="" count="0" memberValueDatatype="130" unbalanced="0"/>
    <cacheHierarchy uniqueName="[ACERO 1].[NOMBRE]" caption="NOMBRE" attribute="1" defaultMemberUniqueName="[ACERO 1].[NOMBRE].[All]" allUniqueName="[ACERO 1].[NOMBRE].[All]" dimensionUniqueName="[ACERO 1]" displayFolder="" count="0" memberValueDatatype="130" unbalanced="0"/>
    <cacheHierarchy uniqueName="[ACERO 1].[MATERIAL / ACCESORIO]" caption="MATERIAL / ACCESORIO" attribute="1" defaultMemberUniqueName="[ACERO 1].[MATERIAL / ACCESORIO].[All]" allUniqueName="[ACERO 1].[MATERIAL / ACCESORIO].[All]" dimensionUniqueName="[ACERO 1]" displayFolder="" count="0" memberValueDatatype="130" unbalanced="0"/>
    <cacheHierarchy uniqueName="[ACERO 1].[PRECIO $ C/U]" caption="PRECIO $ C/U" attribute="1" defaultMemberUniqueName="[ACERO 1].[PRECIO $ C/U].[All]" allUniqueName="[ACERO 1].[PRECIO $ C/U].[All]" dimensionUniqueName="[ACERO 1]" displayFolder="" count="0" memberValueDatatype="5" unbalanced="0"/>
    <cacheHierarchy uniqueName="[ACERO 1].[IMP POR POYECTO]" caption="IMP POR POYECTO" attribute="1" defaultMemberUniqueName="[ACERO 1].[IMP POR POYECTO].[All]" allUniqueName="[ACERO 1].[IMP POR POYECTO].[All]" dimensionUniqueName="[ACERO 1]" displayFolder="" count="0" memberValueDatatype="5" unbalanced="0"/>
    <cacheHierarchy uniqueName="[ACERO 1].[NUM. DE EJES]" caption="NUM. DE EJES" attribute="1" defaultMemberUniqueName="[ACERO 1].[NUM. DE EJES].[All]" allUniqueName="[ACERO 1].[NUM. DE EJES].[All]" dimensionUniqueName="[ACERO 1]" displayFolder="" count="0" memberValueDatatype="20" unbalanced="0"/>
    <cacheHierarchy uniqueName="[ACERO 1].[LARGO]" caption="LARGO" attribute="1" defaultMemberUniqueName="[ACERO 1].[LARGO].[All]" allUniqueName="[ACERO 1].[LARGO].[All]" dimensionUniqueName="[ACERO 1]" displayFolder="" count="0" memberValueDatatype="130" unbalanced="0"/>
    <cacheHierarchy uniqueName="[ACERO 1].[CLASE]" caption="CLASE" attribute="1" defaultMemberUniqueName="[ACERO 1].[CLASE].[All]" allUniqueName="[ACERO 1].[CLASE].[All]" dimensionUniqueName="[ACERO 1]" displayFolder="" count="0" memberValueDatatype="130" unbalanced="0"/>
    <cacheHierarchy uniqueName="[ACERO 1].[OBSERVACION]" caption="OBSERVACION" attribute="1" defaultMemberUniqueName="[ACERO 1].[OBSERVACION].[All]" allUniqueName="[ACERO 1].[OBSERVACION].[All]" dimensionUniqueName="[ACERO 1]" displayFolder="" count="0" memberValueDatatype="130" unbalanced="0"/>
    <cacheHierarchy uniqueName="[CHASIS].[CLIENTE]" caption="CLIENTE" attribute="1" defaultMemberUniqueName="[CHASIS].[CLIENTE].[All]" allUniqueName="[CHASIS].[CLIENTE].[All]" dimensionUniqueName="[CHASIS]" displayFolder="" count="0" memberValueDatatype="130" unbalanced="0"/>
    <cacheHierarchy uniqueName="[CHASIS].[CHASIS]" caption="CHASIS" attribute="1" defaultMemberUniqueName="[CHASIS].[CHASIS].[All]" allUniqueName="[CHASIS].[CHASIS].[All]" dimensionUniqueName="[CHASIS]" displayFolder="" count="0" memberValueDatatype="130" unbalanced="0"/>
    <cacheHierarchy uniqueName="[CHASIS].[AÑO MODELO]" caption="AÑO MODELO" attribute="1" defaultMemberUniqueName="[CHASIS].[AÑO MODELO].[All]" allUniqueName="[CHASIS].[AÑO MODELO].[All]" dimensionUniqueName="[CHASIS]" displayFolder="" count="0" memberValueDatatype="20" unbalanced="0"/>
    <cacheHierarchy uniqueName="[CHASIS].[P/U]" caption="P/U" attribute="1" defaultMemberUniqueName="[CHASIS].[P/U].[All]" allUniqueName="[CHASIS].[P/U].[All]" dimensionUniqueName="[CHASIS]" displayFolder="" count="0" memberValueDatatype="20" unbalanced="0"/>
    <cacheHierarchy uniqueName="[CHASIS].[PAGO]" caption="PAGO" attribute="1" defaultMemberUniqueName="[CHASIS].[PAGO].[All]" allUniqueName="[CHASIS].[PAGO].[All]" dimensionUniqueName="[CHASIS]" displayFolder="" count="0" memberValueDatatype="20" unbalanced="0"/>
    <cacheHierarchy uniqueName="[CHASIS].[ADEUDO]" caption="ADEUDO" attribute="1" defaultMemberUniqueName="[CHASIS].[ADEUDO].[All]" allUniqueName="[CHASIS].[ADEUDO].[All]" dimensionUniqueName="[CHASIS]" displayFolder="" count="0" memberValueDatatype="20" unbalanced="0"/>
    <cacheHierarchy uniqueName="[CHASIS].[FACTURA]" caption="FACTURA" attribute="1" defaultMemberUniqueName="[CHASIS].[FACTURA].[All]" allUniqueName="[CHASIS].[FACTURA].[All]" dimensionUniqueName="[CHASIS]" displayFolder="" count="0" memberValueDatatype="130" unbalanced="0"/>
    <cacheHierarchy uniqueName="[CHASIS].[FECHE/ENTRGA]" caption="FECHE/ENTRGA" attribute="1" time="1" defaultMemberUniqueName="[CHASIS].[FECHE/ENTRGA].[All]" allUniqueName="[CHASIS].[FECHE/ENTRGA].[All]" dimensionUniqueName="[CHASIS]" displayFolder="" count="0" memberValueDatatype="7" unbalanced="0"/>
    <cacheHierarchy uniqueName="[CHASIS].[PAGADO]" caption="PAGADO" attribute="1" defaultMemberUniqueName="[CHASIS].[PAGADO].[All]" allUniqueName="[CHASIS].[PAGADO].[All]" dimensionUniqueName="[CHASIS]" displayFolder="" count="0" memberValueDatatype="130" unbalanced="0"/>
    <cacheHierarchy uniqueName="[CHASIS].[EQUI. ENTREGADOS]" caption="EQUI. ENTREGADOS" attribute="1" defaultMemberUniqueName="[CHASIS].[EQUI. ENTREGADOS].[All]" allUniqueName="[CHASIS].[EQUI. ENTREGADOS].[All]" dimensionUniqueName="[CHASIS]" displayFolder="" count="0" memberValueDatatype="130" unbalanced="0"/>
    <cacheHierarchy uniqueName="[CHASIS].[FECHE/ENTRGA (mes)]" caption="FECHE/ENTRGA (mes)" attribute="1" defaultMemberUniqueName="[CHASIS].[FECHE/ENTRGA (mes)].[All]" allUniqueName="[CHASIS].[FECHE/ENTRGA (mes)].[All]" dimensionUniqueName="[CHASIS]" displayFolder="" count="0" memberValueDatatype="130" unbalanced="0"/>
    <cacheHierarchy uniqueName="[clientes].[CLIENTE]" caption="CLIENTE" attribute="1" defaultMemberUniqueName="[clientes].[CLIENTE].[All]" allUniqueName="[clientes].[CLIENTE].[All]" dimensionUniqueName="[clientes]" displayFolder="" count="2" memberValueDatatype="130" unbalanced="0">
      <fieldsUsage count="2">
        <fieldUsage x="-1"/>
        <fieldUsage x="0"/>
      </fieldsUsage>
    </cacheHierarchy>
    <cacheHierarchy uniqueName="[clientes].[R. F. C.]" caption="R. F. C." attribute="1" defaultMemberUniqueName="[clientes].[R. F. C.].[All]" allUniqueName="[clientes].[R. F. C.].[All]" dimensionUniqueName="[clientes]" displayFolder="" count="0" memberValueDatatype="130" unbalanced="0"/>
    <cacheHierarchy uniqueName="[clientes].[EMPRESA]" caption="EMPRESA" attribute="1" defaultMemberUniqueName="[clientes].[EMPRESA].[All]" allUniqueName="[clientes].[EMPRESA].[All]" dimensionUniqueName="[clientes]" displayFolder="" count="0" memberValueDatatype="130" unbalanced="0"/>
    <cacheHierarchy uniqueName="[clientes].[CALLE, No., COLONIA]" caption="CALLE, No., COLONIA" attribute="1" defaultMemberUniqueName="[clientes].[CALLE, No., COLONIA].[All]" allUniqueName="[clientes].[CALLE, No., COLONIA].[All]" dimensionUniqueName="[clientes]" displayFolder="" count="0" memberValueDatatype="130" unbalanced="0"/>
    <cacheHierarchy uniqueName="[clientes].[MUNICIPIO, ESTADO, PAIS.]" caption="MUNICIPIO, ESTADO, PAIS." attribute="1" defaultMemberUniqueName="[clientes].[MUNICIPIO, ESTADO, PAIS.].[All]" allUniqueName="[clientes].[MUNICIPIO, ESTADO, PAIS.].[All]" dimensionUniqueName="[clientes]" displayFolder="" count="0" memberValueDatatype="130" unbalanced="0"/>
    <cacheHierarchy uniqueName="[clientes].[C.P.]" caption="C.P." attribute="1" defaultMemberUniqueName="[clientes].[C.P.].[All]" allUniqueName="[clientes].[C.P.].[All]" dimensionUniqueName="[clientes]" displayFolder="" count="0" memberValueDatatype="130" unbalanced="0"/>
    <cacheHierarchy uniqueName="[clientes].[TEL/CEL]" caption="TEL/CEL" attribute="1" defaultMemberUniqueName="[clientes].[TEL/CEL].[All]" allUniqueName="[clientes].[TEL/CEL].[All]" dimensionUniqueName="[clientes]" displayFolder="" count="0" memberValueDatatype="130" unbalanced="0"/>
    <cacheHierarchy uniqueName="[clientes].[CORREO]" caption="CORREO" attribute="1" defaultMemberUniqueName="[clientes].[CORREO].[All]" allUniqueName="[clientes].[CORREO].[All]" dimensionUniqueName="[clientes]" displayFolder="" count="0" memberValueDatatype="130" unbalanced="0"/>
    <cacheHierarchy uniqueName="[extras].[PZAS]" caption="PZAS" attribute="1" defaultMemberUniqueName="[extras].[PZAS].[All]" allUniqueName="[extras].[PZAS].[All]" dimensionUniqueName="[extras]" displayFolder="" count="0" memberValueDatatype="20" unbalanced="0"/>
    <cacheHierarchy uniqueName="[extras].[TIPO]" caption="TIPO" attribute="1" defaultMemberUniqueName="[extras].[TIPO].[All]" allUniqueName="[extras].[TIPO].[All]" dimensionUniqueName="[extras]" displayFolder="" count="0" memberValueDatatype="130" unbalanced="0"/>
    <cacheHierarchy uniqueName="[extras].[NOMBRE]" caption="NOMBRE" attribute="1" defaultMemberUniqueName="[extras].[NOMBRE].[All]" allUniqueName="[extras].[NOMBRE].[All]" dimensionUniqueName="[extras]" displayFolder="" count="0" memberValueDatatype="130" unbalanced="0"/>
    <cacheHierarchy uniqueName="[extras].[MATERIAL / ACCESORIO]" caption="MATERIAL / ACCESORIO" attribute="1" defaultMemberUniqueName="[extras].[MATERIAL / ACCESORIO].[All]" allUniqueName="[extras].[MATERIAL / ACCESORIO].[All]" dimensionUniqueName="[extras]" displayFolder="" count="0" memberValueDatatype="130" unbalanced="0"/>
    <cacheHierarchy uniqueName="[extras].[CLASE]" caption="CLASE" attribute="1" defaultMemberUniqueName="[extras].[CLASE].[All]" allUniqueName="[extras].[CLASE].[All]" dimensionUniqueName="[extras]" displayFolder="" count="0" memberValueDatatype="130" unbalanced="0"/>
    <cacheHierarchy uniqueName="[extras].[PRECIO $ C/U]" caption="PRECIO $ C/U" attribute="1" defaultMemberUniqueName="[extras].[PRECIO $ C/U].[All]" allUniqueName="[extras].[PRECIO $ C/U].[All]" dimensionUniqueName="[extras]" displayFolder="" count="0" memberValueDatatype="20" unbalanced="0"/>
    <cacheHierarchy uniqueName="[extras].[IMP POR POYECTO]" caption="IMP POR POYECTO" attribute="1" defaultMemberUniqueName="[extras].[IMP POR POYECTO].[All]" allUniqueName="[extras].[IMP POR POYECTO].[All]" dimensionUniqueName="[extras]" displayFolder="" count="0" memberValueDatatype="20" unbalanced="0"/>
    <cacheHierarchy uniqueName="[extras].[NUM. DE EJES]" caption="NUM. DE EJES" attribute="1" defaultMemberUniqueName="[extras].[NUM. DE EJES].[All]" allUniqueName="[extras].[NUM. DE EJES].[All]" dimensionUniqueName="[extras]" displayFolder="" count="0" memberValueDatatype="20" unbalanced="0"/>
    <cacheHierarchy uniqueName="[extras].[LARGO]" caption="LARGO" attribute="1" defaultMemberUniqueName="[extras].[LARGO].[All]" allUniqueName="[extras].[LARGO].[All]" dimensionUniqueName="[extras]" displayFolder="" count="0" memberValueDatatype="130" unbalanced="0"/>
    <cacheHierarchy uniqueName="[extras].[OBSERVACION]" caption="OBSERVACION" attribute="1" defaultMemberUniqueName="[extras].[OBSERVACION].[All]" allUniqueName="[extras].[OBSERVACION].[All]" dimensionUniqueName="[extras]" displayFolder="" count="0" memberValueDatatype="130" unbalanced="0"/>
    <cacheHierarchy uniqueName="[otros].[PZAS]" caption="PZAS" attribute="1" defaultMemberUniqueName="[otros].[PZAS].[All]" allUniqueName="[otros].[PZAS].[All]" dimensionUniqueName="[otros]" displayFolder="" count="0" memberValueDatatype="5" unbalanced="0"/>
    <cacheHierarchy uniqueName="[otros].[TIPO]" caption="TIPO" attribute="1" defaultMemberUniqueName="[otros].[TIPO].[All]" allUniqueName="[otros].[TIPO].[All]" dimensionUniqueName="[otros]" displayFolder="" count="0" memberValueDatatype="130" unbalanced="0"/>
    <cacheHierarchy uniqueName="[otros].[NOMBRE]" caption="NOMBRE" attribute="1" defaultMemberUniqueName="[otros].[NOMBRE].[All]" allUniqueName="[otros].[NOMBRE].[All]" dimensionUniqueName="[otros]" displayFolder="" count="0" memberValueDatatype="130" unbalanced="0"/>
    <cacheHierarchy uniqueName="[otros].[MATERIAL / ACCESORIO]" caption="MATERIAL / ACCESORIO" attribute="1" defaultMemberUniqueName="[otros].[MATERIAL / ACCESORIO].[All]" allUniqueName="[otros].[MATERIAL / ACCESORIO].[All]" dimensionUniqueName="[otros]" displayFolder="" count="0" memberValueDatatype="130" unbalanced="0"/>
    <cacheHierarchy uniqueName="[otros].[PRECIO $ C/U]" caption="PRECIO $ C/U" attribute="1" defaultMemberUniqueName="[otros].[PRECIO $ C/U].[All]" allUniqueName="[otros].[PRECIO $ C/U].[All]" dimensionUniqueName="[otros]" displayFolder="" count="0" memberValueDatatype="20" unbalanced="0"/>
    <cacheHierarchy uniqueName="[otros].[IMP POR POYECTO]" caption="IMP POR POYECTO" attribute="1" defaultMemberUniqueName="[otros].[IMP POR POYECTO].[All]" allUniqueName="[otros].[IMP POR POYECTO].[All]" dimensionUniqueName="[otros]" displayFolder="" count="0" memberValueDatatype="5" unbalanced="0"/>
    <cacheHierarchy uniqueName="[otros].[NUM. DE EJES]" caption="NUM. DE EJES" attribute="1" defaultMemberUniqueName="[otros].[NUM. DE EJES].[All]" allUniqueName="[otros].[NUM. DE EJES].[All]" dimensionUniqueName="[otros]" displayFolder="" count="0" memberValueDatatype="20" unbalanced="0"/>
    <cacheHierarchy uniqueName="[otros].[LARGO]" caption="LARGO" attribute="1" defaultMemberUniqueName="[otros].[LARGO].[All]" allUniqueName="[otros].[LARGO].[All]" dimensionUniqueName="[otros]" displayFolder="" count="0" memberValueDatatype="130" unbalanced="0"/>
    <cacheHierarchy uniqueName="[otros].[CLASE]" caption="CLASE" attribute="1" defaultMemberUniqueName="[otros].[CLASE].[All]" allUniqueName="[otros].[CLASE].[All]" dimensionUniqueName="[otros]" displayFolder="" count="0" memberValueDatatype="130" unbalanced="0"/>
    <cacheHierarchy uniqueName="[otros].[OBSERVACION]" caption="OBSERVACION" attribute="1" defaultMemberUniqueName="[otros].[OBSERVACION].[All]" allUniqueName="[otros].[OBSERVACION].[All]" dimensionUniqueName="[otros]" displayFolder="" count="0" memberValueDatatype="130" unbalanced="0"/>
    <cacheHierarchy uniqueName="[Page001].[Column1]" caption="Column1" attribute="1" defaultMemberUniqueName="[Page001].[Column1].[All]" allUniqueName="[Page001].[Column1].[All]" dimensionUniqueName="[Page001]" displayFolder="" count="0" memberValueDatatype="130" unbalanced="0"/>
    <cacheHierarchy uniqueName="[Page001].[Column2]" caption="Column2" attribute="1" defaultMemberUniqueName="[Page001].[Column2].[All]" allUniqueName="[Page001].[Column2].[All]" dimensionUniqueName="[Page001]" displayFolder="" count="0" memberValueDatatype="130" unbalanced="0"/>
    <cacheHierarchy uniqueName="[Page001].[Column3]" caption="Column3" attribute="1" defaultMemberUniqueName="[Page001].[Column3].[All]" allUniqueName="[Page001].[Column3].[All]" dimensionUniqueName="[Page001]" displayFolder="" count="0" memberValueDatatype="130" unbalanced="0"/>
    <cacheHierarchy uniqueName="[Page001].[Column4]" caption="Column4" attribute="1" defaultMemberUniqueName="[Page001].[Column4].[All]" allUniqueName="[Page001].[Column4].[All]" dimensionUniqueName="[Page001]" displayFolder="" count="0" memberValueDatatype="130" unbalanced="0"/>
    <cacheHierarchy uniqueName="[Page001].[Column5]" caption="Column5" attribute="1" defaultMemberUniqueName="[Page001].[Column5].[All]" allUniqueName="[Page001].[Column5].[All]" dimensionUniqueName="[Page001]" displayFolder="" count="0" memberValueDatatype="130" unbalanced="0"/>
    <cacheHierarchy uniqueName="[Page002].[Column1]" caption="Column1" attribute="1" defaultMemberUniqueName="[Page002].[Column1].[All]" allUniqueName="[Page002].[Column1].[All]" dimensionUniqueName="[Page002]" displayFolder="" count="0" memberValueDatatype="130" unbalanced="0"/>
    <cacheHierarchy uniqueName="[Page002].[Column2]" caption="Column2" attribute="1" defaultMemberUniqueName="[Page002].[Column2].[All]" allUniqueName="[Page002].[Column2].[All]" dimensionUniqueName="[Page002]" displayFolder="" count="0" memberValueDatatype="130" unbalanced="0"/>
    <cacheHierarchy uniqueName="[Page003].[Column1]" caption="Column1" attribute="1" defaultMemberUniqueName="[Page003].[Column1].[All]" allUniqueName="[Page003].[Column1].[All]" dimensionUniqueName="[Page003]" displayFolder="" count="0" memberValueDatatype="130" unbalanced="0"/>
    <cacheHierarchy uniqueName="[Page003].[Column2]" caption="Column2" attribute="1" defaultMemberUniqueName="[Page003].[Column2].[All]" allUniqueName="[Page003].[Column2].[All]" dimensionUniqueName="[Page003]" displayFolder="" count="0" memberValueDatatype="130" unbalanced="0"/>
    <cacheHierarchy uniqueName="[Page003].[Column3]" caption="Column3" attribute="1" defaultMemberUniqueName="[Page003].[Column3].[All]" allUniqueName="[Page003].[Column3].[All]" dimensionUniqueName="[Page003]" displayFolder="" count="0" memberValueDatatype="130" unbalanced="0"/>
    <cacheHierarchy uniqueName="[Page003].[Column4]" caption="Column4" attribute="1" defaultMemberUniqueName="[Page003].[Column4].[All]" allUniqueName="[Page003].[Column4].[All]" dimensionUniqueName="[Page003]" displayFolder="" count="0" memberValueDatatype="130" unbalanced="0"/>
    <cacheHierarchy uniqueName="[Page003].[Column5]" caption="Column5" attribute="1" defaultMemberUniqueName="[Page003].[Column5].[All]" allUniqueName="[Page003].[Column5].[All]" dimensionUniqueName="[Page003]" displayFolder="" count="0" memberValueDatatype="130" unbalanced="0"/>
    <cacheHierarchy uniqueName="[piramide].[PZAS]" caption="PZAS" attribute="1" defaultMemberUniqueName="[piramide].[PZAS].[All]" allUniqueName="[piramide].[PZAS].[All]" dimensionUniqueName="[piramide]" displayFolder="" count="0" memberValueDatatype="5" unbalanced="0"/>
    <cacheHierarchy uniqueName="[piramide].[TIPO]" caption="TIPO" attribute="1" defaultMemberUniqueName="[piramide].[TIPO].[All]" allUniqueName="[piramide].[TIPO].[All]" dimensionUniqueName="[piramide]" displayFolder="" count="0" memberValueDatatype="130" unbalanced="0"/>
    <cacheHierarchy uniqueName="[piramide].[NOMBRE]" caption="NOMBRE" attribute="1" defaultMemberUniqueName="[piramide].[NOMBRE].[All]" allUniqueName="[piramide].[NOMBRE].[All]" dimensionUniqueName="[piramide]" displayFolder="" count="0" memberValueDatatype="130" unbalanced="0"/>
    <cacheHierarchy uniqueName="[piramide].[MATERIAL / ACCESORIO]" caption="MATERIAL / ACCESORIO" attribute="1" defaultMemberUniqueName="[piramide].[MATERIAL / ACCESORIO].[All]" allUniqueName="[piramide].[MATERIAL / ACCESORIO].[All]" dimensionUniqueName="[piramide]" displayFolder="" count="0" memberValueDatatype="130" unbalanced="0"/>
    <cacheHierarchy uniqueName="[piramide].[PRECIO $ C/U]" caption="PRECIO $ C/U" attribute="1" defaultMemberUniqueName="[piramide].[PRECIO $ C/U].[All]" allUniqueName="[piramide].[PRECIO $ C/U].[All]" dimensionUniqueName="[piramide]" displayFolder="" count="0" memberValueDatatype="5" unbalanced="0"/>
    <cacheHierarchy uniqueName="[piramide].[IMP POR POYECTO]" caption="IMP POR POYECTO" attribute="1" defaultMemberUniqueName="[piramide].[IMP POR POYECTO].[All]" allUniqueName="[piramide].[IMP POR POYECTO].[All]" dimensionUniqueName="[piramide]" displayFolder="" count="0" memberValueDatatype="5" unbalanced="0"/>
    <cacheHierarchy uniqueName="[piramide].[NUM. DE EJES]" caption="NUM. DE EJES" attribute="1" defaultMemberUniqueName="[piramide].[NUM. DE EJES].[All]" allUniqueName="[piramide].[NUM. DE EJES].[All]" dimensionUniqueName="[piramide]" displayFolder="" count="0" memberValueDatatype="20" unbalanced="0"/>
    <cacheHierarchy uniqueName="[piramide].[LARGO]" caption="LARGO" attribute="1" defaultMemberUniqueName="[piramide].[LARGO].[All]" allUniqueName="[piramide].[LARGO].[All]" dimensionUniqueName="[piramide]" displayFolder="" count="0" memberValueDatatype="130" unbalanced="0"/>
    <cacheHierarchy uniqueName="[piramide].[CLASE]" caption="CLASE" attribute="1" defaultMemberUniqueName="[piramide].[CLASE].[All]" allUniqueName="[piramide].[CLASE].[All]" dimensionUniqueName="[piramide]" displayFolder="" count="0" memberValueDatatype="130" unbalanced="0"/>
    <cacheHierarchy uniqueName="[piramide].[OBSERVACION]" caption="OBSERVACION" attribute="1" defaultMemberUniqueName="[piramide].[OBSERVACION].[All]" allUniqueName="[piramide].[OBSERVACION].[All]" dimensionUniqueName="[piramide]" displayFolder="" count="0" memberValueDatatype="130" unbalanced="0"/>
    <cacheHierarchy uniqueName="[Tabla24].[NOMBRE]" caption="NOMBRE" attribute="1" defaultMemberUniqueName="[Tabla24].[NOMBRE].[All]" allUniqueName="[Tabla24].[NOMBRE].[All]" dimensionUniqueName="[Tabla24]" displayFolder="" count="0" memberValueDatatype="130" unbalanced="0"/>
    <cacheHierarchy uniqueName="[Tabla24].[TIPO]" caption="TIPO" attribute="1" defaultMemberUniqueName="[Tabla24].[TIPO].[All]" allUniqueName="[Tabla24].[TIPO].[All]" dimensionUniqueName="[Tabla24]" displayFolder="" count="0" memberValueDatatype="130" unbalanced="0"/>
    <cacheHierarchy uniqueName="[Tabla24].[NUM. DE EJES]" caption="NUM. DE EJES" attribute="1" defaultMemberUniqueName="[Tabla24].[NUM. DE EJES].[All]" allUniqueName="[Tabla24].[NUM. DE EJES].[All]" dimensionUniqueName="[Tabla24]" displayFolder="" count="0" memberValueDatatype="20" unbalanced="0"/>
    <cacheHierarchy uniqueName="[Tabla24].[LARGO]" caption="LARGO" attribute="1" defaultMemberUniqueName="[Tabla24].[LARGO].[All]" allUniqueName="[Tabla24].[LARGO].[All]" dimensionUniqueName="[Tabla24]" displayFolder="" count="0" memberValueDatatype="130" unbalanced="0"/>
    <cacheHierarchy uniqueName="[Tabla24].[CONCAT]" caption="CONCAT" attribute="1" defaultMemberUniqueName="[Tabla24].[CONCAT].[All]" allUniqueName="[Tabla24].[CONCAT].[All]" dimensionUniqueName="[Tabla24]" displayFolder="" count="0" memberValueDatatype="130" unbalanced="0"/>
    <cacheHierarchy uniqueName="[Tabla24].[Peso Vehicular]" caption="Peso Vehicular" attribute="1" defaultMemberUniqueName="[Tabla24].[Peso Vehicular].[All]" allUniqueName="[Tabla24].[Peso Vehicular].[All]" dimensionUniqueName="[Tabla24]" displayFolder="" count="0" memberValueDatatype="20" unbalanced="0"/>
    <cacheHierarchy uniqueName="[Tabla24].[PBVD:]" caption="PBVD:" attribute="1" defaultMemberUniqueName="[Tabla24].[PBVD:].[All]" allUniqueName="[Tabla24].[PBVD:].[All]" dimensionUniqueName="[Tabla24]" displayFolder="" count="0" memberValueDatatype="20" unbalanced="0"/>
    <cacheHierarchy uniqueName="[Tabla24].[Modelo ABS:]" caption="Modelo ABS:" attribute="1" defaultMemberUniqueName="[Tabla24].[Modelo ABS:].[All]" allUniqueName="[Tabla24].[Modelo ABS:].[All]" dimensionUniqueName="[Tabla24]" displayFolder="" count="0" memberValueDatatype="130" unbalanced="0"/>
    <cacheHierarchy uniqueName="[Tabla24].[CDE ejes traseros:]" caption="CDE ejes traseros:" attribute="1" defaultMemberUniqueName="[Tabla24].[CDE ejes traseros:].[All]" allUniqueName="[Tabla24].[CDE ejes traseros:].[All]" dimensionUniqueName="[Tabla24]" displayFolder="" count="0" memberValueDatatype="20" unbalanced="0"/>
    <cacheHierarchy uniqueName="[Tabla24].[Número de llantas:]" caption="Número de llantas:" attribute="1" defaultMemberUniqueName="[Tabla24].[Número de llantas:].[All]" allUniqueName="[Tabla24].[Número de llantas:].[All]" dimensionUniqueName="[Tabla24]" displayFolder="" count="0" memberValueDatatype="20" unbalanced="0"/>
    <cacheHierarchy uniqueName="[Tabla24].[Capacidad de eje en posición de montaje:]" caption="Capacidad de eje en posición de montaje:" attribute="1" defaultMemberUniqueName="[Tabla24].[Capacidad de eje en posición de montaje:].[All]" allUniqueName="[Tabla24].[Capacidad de eje en posición de montaje:].[All]" dimensionUniqueName="[Tabla24]" displayFolder="" count="0" memberValueDatatype="20" unbalanced="0"/>
    <cacheHierarchy uniqueName="[Tabla24].[Capacidad de espigas de eje:]" caption="Capacidad de espigas de eje:" attribute="1" defaultMemberUniqueName="[Tabla24].[Capacidad de espigas de eje:].[All]" allUniqueName="[Tabla24].[Capacidad de espigas de eje:].[All]" dimensionUniqueName="[Tabla24]" displayFolder="" count="0" memberValueDatatype="20" unbalanced="0"/>
    <cacheHierarchy uniqueName="[Tabla24].[Longitud]" caption="Longitud" attribute="1" defaultMemberUniqueName="[Tabla24].[Longitud].[All]" allUniqueName="[Tabla24].[Longitud].[All]" dimensionUniqueName="[Tabla24]" displayFolder="" count="0" memberValueDatatype="5" unbalanced="0"/>
    <cacheHierarchy uniqueName="[Table001  Page 1].[Column1]" caption="Column1" attribute="1" defaultMemberUniqueName="[Table001  Page 1].[Column1].[All]" allUniqueName="[Table001  Page 1].[Column1].[All]" dimensionUniqueName="[Table001  Page 1]" displayFolder="" count="0" memberValueDatatype="130" unbalanced="0"/>
    <cacheHierarchy uniqueName="[Table002  Page 3].[Column1]" caption="Column1" attribute="1" defaultMemberUniqueName="[Table002  Page 3].[Column1].[All]" allUniqueName="[Table002  Page 3].[Column1].[All]" dimensionUniqueName="[Table002  Page 3]" displayFolder="" count="0" memberValueDatatype="130" unbalanced="0"/>
    <cacheHierarchy uniqueName="[Table002  Page 3].[Column2]" caption="Column2" attribute="1" defaultMemberUniqueName="[Table002  Page 3].[Column2].[All]" allUniqueName="[Table002  Page 3].[Column2].[All]" dimensionUniqueName="[Table002  Page 3]" displayFolder="" count="0" memberValueDatatype="130" unbalanced="0"/>
    <cacheHierarchy uniqueName="[Table004  Page 3].[Column1]" caption="Column1" attribute="1" defaultMemberUniqueName="[Table004  Page 3].[Column1].[All]" allUniqueName="[Table004  Page 3].[Column1].[All]" dimensionUniqueName="[Table004  Page 3]" displayFolder="" count="0" memberValueDatatype="130" unbalanced="0"/>
    <cacheHierarchy uniqueName="[Table004  Page 3].[Column2]" caption="Column2" attribute="1" defaultMemberUniqueName="[Table004  Page 3].[Column2].[All]" allUniqueName="[Table004  Page 3].[Column2].[All]" dimensionUniqueName="[Table004  Page 3]" displayFolder="" count="0" memberValueDatatype="130" unbalanced="0"/>
    <cacheHierarchy uniqueName="[truckzone].[PZAS]" caption="PZAS" attribute="1" defaultMemberUniqueName="[truckzone].[PZAS].[All]" allUniqueName="[truckzone].[PZAS].[All]" dimensionUniqueName="[truckzone]" displayFolder="" count="0" memberValueDatatype="5" unbalanced="0"/>
    <cacheHierarchy uniqueName="[truckzone].[TIPO]" caption="TIPO" attribute="1" defaultMemberUniqueName="[truckzone].[TIPO].[All]" allUniqueName="[truckzone].[TIPO].[All]" dimensionUniqueName="[truckzone]" displayFolder="" count="0" memberValueDatatype="130" unbalanced="0"/>
    <cacheHierarchy uniqueName="[truckzone].[NOMBRE]" caption="NOMBRE" attribute="1" defaultMemberUniqueName="[truckzone].[NOMBRE].[All]" allUniqueName="[truckzone].[NOMBRE].[All]" dimensionUniqueName="[truckzone]" displayFolder="" count="0" memberValueDatatype="130" unbalanced="0"/>
    <cacheHierarchy uniqueName="[truckzone].[MATERIAL / ACCESORIO]" caption="MATERIAL / ACCESORIO" attribute="1" defaultMemberUniqueName="[truckzone].[MATERIAL / ACCESORIO].[All]" allUniqueName="[truckzone].[MATERIAL / ACCESORIO].[All]" dimensionUniqueName="[truckzone]" displayFolder="" count="0" memberValueDatatype="130" unbalanced="0"/>
    <cacheHierarchy uniqueName="[truckzone].[PRECIO $ C/U]" caption="PRECIO $ C/U" attribute="1" defaultMemberUniqueName="[truckzone].[PRECIO $ C/U].[All]" allUniqueName="[truckzone].[PRECIO $ C/U].[All]" dimensionUniqueName="[truckzone]" displayFolder="" count="0" memberValueDatatype="5" unbalanced="0"/>
    <cacheHierarchy uniqueName="[truckzone].[IMP POR POYECTO]" caption="IMP POR POYECTO" attribute="1" defaultMemberUniqueName="[truckzone].[IMP POR POYECTO].[All]" allUniqueName="[truckzone].[IMP POR POYECTO].[All]" dimensionUniqueName="[truckzone]" displayFolder="" count="0" memberValueDatatype="5" unbalanced="0"/>
    <cacheHierarchy uniqueName="[truckzone].[NUM. DE EJES]" caption="NUM. DE EJES" attribute="1" defaultMemberUniqueName="[truckzone].[NUM. DE EJES].[All]" allUniqueName="[truckzone].[NUM. DE EJES].[All]" dimensionUniqueName="[truckzone]" displayFolder="" count="0" memberValueDatatype="20" unbalanced="0"/>
    <cacheHierarchy uniqueName="[truckzone].[LARGO]" caption="LARGO" attribute="1" defaultMemberUniqueName="[truckzone].[LARGO].[All]" allUniqueName="[truckzone].[LARGO].[All]" dimensionUniqueName="[truckzone]" displayFolder="" count="0" memberValueDatatype="130" unbalanced="0"/>
    <cacheHierarchy uniqueName="[truckzone].[CLASE]" caption="CLASE" attribute="1" defaultMemberUniqueName="[truckzone].[CLASE].[All]" allUniqueName="[truckzone].[CLASE].[All]" dimensionUniqueName="[truckzone]" displayFolder="" count="0" memberValueDatatype="130" unbalanced="0"/>
    <cacheHierarchy uniqueName="[truckzone].[OBSERVACION]" caption="OBSERVACION" attribute="1" defaultMemberUniqueName="[truckzone].[OBSERVACION].[All]" allUniqueName="[truckzone].[OBSERVACION].[All]" dimensionUniqueName="[truckzone]" displayFolder="" count="0" memberValueDatatype="130" unbalanced="0"/>
    <cacheHierarchy uniqueName="[CHASIS].[FECHE/ENTRGA (índice de meses)]" caption="FECHE/ENTRGA (índice de meses)" attribute="1" defaultMemberUniqueName="[CHASIS].[FECHE/ENTRGA (índice de meses)].[All]" allUniqueName="[CHASIS].[FECHE/ENTRGA (índice de meses)].[All]" dimensionUniqueName="[CHASIS]" displayFolder="" count="0" memberValueDatatype="20" unbalanced="0" hidden="1"/>
    <cacheHierarchy uniqueName="[Measures].[__XL_Count extras]" caption="__XL_Count extras" measure="1" displayFolder="" measureGroup="extras" count="0" hidden="1"/>
    <cacheHierarchy uniqueName="[Measures].[__XL_Count otros]" caption="__XL_Count otros" measure="1" displayFolder="" measureGroup="otros" count="0" hidden="1"/>
    <cacheHierarchy uniqueName="[Measures].[__XL_Count piramide]" caption="__XL_Count piramide" measure="1" displayFolder="" measureGroup="piramide" count="0" hidden="1"/>
    <cacheHierarchy uniqueName="[Measures].[__XL_Count truckzone]" caption="__XL_Count truckzone" measure="1" displayFolder="" measureGroup="truckzone" count="0" hidden="1"/>
    <cacheHierarchy uniqueName="[Measures].[__XL_Count Tabla24]" caption="__XL_Count Tabla24" measure="1" displayFolder="" measureGroup="Tabla24" count="0" hidden="1"/>
    <cacheHierarchy uniqueName="[Measures].[__XL_Count ACERO 1]" caption="__XL_Count ACERO 1" measure="1" displayFolder="" measureGroup="ACERO 1" count="0" hidden="1"/>
    <cacheHierarchy uniqueName="[Measures].[__XL_Count Table001  Page 1]" caption="__XL_Count Table001  Page 1" measure="1" displayFolder="" measureGroup="Table001  Page 1" count="0" hidden="1"/>
    <cacheHierarchy uniqueName="[Measures].[__XL_Count Table002  Page 3]" caption="__XL_Count Table002  Page 3" measure="1" displayFolder="" measureGroup="Table002  Page 3" count="0" hidden="1"/>
    <cacheHierarchy uniqueName="[Measures].[__XL_Count Table004  Page 3]" caption="__XL_Count Table004  Page 3" measure="1" displayFolder="" measureGroup="Table004  Page 3" count="0" hidden="1"/>
    <cacheHierarchy uniqueName="[Measures].[__XL_Count Page001]" caption="__XL_Count Page001" measure="1" displayFolder="" measureGroup="Page001" count="0" hidden="1"/>
    <cacheHierarchy uniqueName="[Measures].[__XL_Count Page003]" caption="__XL_Count Page003" measure="1" displayFolder="" measureGroup="Page003" count="0" hidden="1"/>
    <cacheHierarchy uniqueName="[Measures].[__XL_Count Page002]" caption="__XL_Count Page002" measure="1" displayFolder="" measureGroup="Page002" count="0" hidden="1"/>
    <cacheHierarchy uniqueName="[Measures].[__XL_Count CHASIS]" caption="__XL_Count CHASIS" measure="1" displayFolder="" measureGroup="CHASIS" count="0" hidden="1"/>
    <cacheHierarchy uniqueName="[Measures].[__XL_Count clientes]" caption="__XL_Count clientes" measure="1" displayFolder="" measureGroup="clientes" count="0" hidden="1"/>
    <cacheHierarchy uniqueName="[Measures].[__No measures defined]" caption="__No measures defined" measure="1" displayFolder="" count="0" hidden="1"/>
    <cacheHierarchy uniqueName="[Measures].[Suma de IMP POR POYECTO 3]" caption="Suma de IMP POR POYECTO 3" measure="1" displayFolder="" measureGroup="otros" count="0" hidden="1">
      <extLst>
        <ext xmlns:x15="http://schemas.microsoft.com/office/spreadsheetml/2010/11/main" uri="{B97F6D7D-B522-45F9-BDA1-12C45D357490}">
          <x15:cacheHierarchy aggregatedColumn="44"/>
        </ext>
      </extLst>
    </cacheHierarchy>
    <cacheHierarchy uniqueName="[Measures].[Suma de IMP POR POYECTO 4]" caption="Suma de IMP POR POYECTO 4" measure="1" displayFolder="" measureGroup="piramide" count="0" hidden="1">
      <extLst>
        <ext xmlns:x15="http://schemas.microsoft.com/office/spreadsheetml/2010/11/main" uri="{B97F6D7D-B522-45F9-BDA1-12C45D357490}">
          <x15:cacheHierarchy aggregatedColumn="66"/>
        </ext>
      </extLst>
    </cacheHierarchy>
    <cacheHierarchy uniqueName="[Measures].[Suma de IMP POR POYECTO 5]" caption="Suma de IMP POR POYECTO 5" measure="1" displayFolder="" measureGroup="extras" count="0" hidden="1">
      <extLst>
        <ext xmlns:x15="http://schemas.microsoft.com/office/spreadsheetml/2010/11/main" uri="{B97F6D7D-B522-45F9-BDA1-12C45D357490}">
          <x15:cacheHierarchy aggregatedColumn="35"/>
        </ext>
      </extLst>
    </cacheHierarchy>
    <cacheHierarchy uniqueName="[Measures].[Suma de IMP POR POYECTO 6]" caption="Suma de IMP POR POYECTO 6" measure="1" displayFolder="" measureGroup="truckzone" count="0" hidden="1">
      <extLst>
        <ext xmlns:x15="http://schemas.microsoft.com/office/spreadsheetml/2010/11/main" uri="{B97F6D7D-B522-45F9-BDA1-12C45D357490}">
          <x15:cacheHierarchy aggregatedColumn="94"/>
        </ext>
      </extLst>
    </cacheHierarchy>
    <cacheHierarchy uniqueName="[Measures].[Suma de PZAS 2]" caption="Suma de PZAS 2" measure="1" displayFolder="" measureGroup="otros" count="0" hidden="1">
      <extLst>
        <ext xmlns:x15="http://schemas.microsoft.com/office/spreadsheetml/2010/11/main" uri="{B97F6D7D-B522-45F9-BDA1-12C45D357490}">
          <x15:cacheHierarchy aggregatedColumn="39"/>
        </ext>
      </extLst>
    </cacheHierarchy>
    <cacheHierarchy uniqueName="[Measures].[Suma de PZAS 3]" caption="Suma de PZAS 3" measure="1" displayFolder="" measureGroup="extras" count="0" hidden="1">
      <extLst>
        <ext xmlns:x15="http://schemas.microsoft.com/office/spreadsheetml/2010/11/main" uri="{B97F6D7D-B522-45F9-BDA1-12C45D357490}">
          <x15:cacheHierarchy aggregatedColumn="29"/>
        </ext>
      </extLst>
    </cacheHierarchy>
    <cacheHierarchy uniqueName="[Measures].[Suma de PZAS 4]" caption="Suma de PZAS 4" measure="1" displayFolder="" measureGroup="piramide" count="0" hidden="1">
      <extLst>
        <ext xmlns:x15="http://schemas.microsoft.com/office/spreadsheetml/2010/11/main" uri="{B97F6D7D-B522-45F9-BDA1-12C45D357490}">
          <x15:cacheHierarchy aggregatedColumn="61"/>
        </ext>
      </extLst>
    </cacheHierarchy>
    <cacheHierarchy uniqueName="[Measures].[Suma de PZAS 5]" caption="Suma de PZAS 5" measure="1" displayFolder="" measureGroup="truckzone" count="0" hidden="1">
      <extLst>
        <ext xmlns:x15="http://schemas.microsoft.com/office/spreadsheetml/2010/11/main" uri="{B97F6D7D-B522-45F9-BDA1-12C45D357490}">
          <x15:cacheHierarchy aggregatedColumn="89"/>
        </ext>
      </extLst>
    </cacheHierarchy>
    <cacheHierarchy uniqueName="[Measures].[Suma de IMP POR POYECTO]" caption="Suma de IMP POR POYECTO" measure="1" displayFolder="" measureGroup="ACERO 1" count="0" hidden="1">
      <extLst>
        <ext xmlns:x15="http://schemas.microsoft.com/office/spreadsheetml/2010/11/main" uri="{B97F6D7D-B522-45F9-BDA1-12C45D357490}">
          <x15:cacheHierarchy aggregatedColumn="5"/>
        </ext>
      </extLst>
    </cacheHierarchy>
    <cacheHierarchy uniqueName="[Measures].[Suma de PZAS 6]" caption="Suma de PZAS 6" measure="1" displayFolder="" measureGroup="ACERO 1" count="0" hidden="1">
      <extLst>
        <ext xmlns:x15="http://schemas.microsoft.com/office/spreadsheetml/2010/11/main" uri="{B97F6D7D-B522-45F9-BDA1-12C45D357490}">
          <x15:cacheHierarchy aggregatedColumn="0"/>
        </ext>
      </extLst>
    </cacheHierarchy>
    <cacheHierarchy uniqueName="[Measures].[Recuento de MATERIAL / ACCESORIO]" caption="Recuento de MATERIAL / ACCESORIO" measure="1" displayFolder="" measureGroup="extras" count="0" hidden="1">
      <extLst>
        <ext xmlns:x15="http://schemas.microsoft.com/office/spreadsheetml/2010/11/main" uri="{B97F6D7D-B522-45F9-BDA1-12C45D357490}">
          <x15:cacheHierarchy aggregatedColumn="32"/>
        </ext>
      </extLst>
    </cacheHierarchy>
    <cacheHierarchy uniqueName="[Measures].[Recuento de TIPO]" caption="Recuento de TIPO" measure="1" displayFolder="" measureGroup="extras" count="0" hidden="1">
      <extLst>
        <ext xmlns:x15="http://schemas.microsoft.com/office/spreadsheetml/2010/11/main" uri="{B97F6D7D-B522-45F9-BDA1-12C45D357490}">
          <x15:cacheHierarchy aggregatedColumn="30"/>
        </ext>
      </extLst>
    </cacheHierarchy>
    <cacheHierarchy uniqueName="[Measures].[Suma de PAGO]" caption="Suma de PAGO" measure="1" displayFolder="" measureGroup="CHASIS" count="0" hidden="1">
      <extLst>
        <ext xmlns:x15="http://schemas.microsoft.com/office/spreadsheetml/2010/11/main" uri="{B97F6D7D-B522-45F9-BDA1-12C45D357490}">
          <x15:cacheHierarchy aggregatedColumn="14"/>
        </ext>
      </extLst>
    </cacheHierarchy>
    <cacheHierarchy uniqueName="[Measures].[Suma de P/U]" caption="Suma de P/U" measure="1" displayFolder="" measureGroup="CHASIS" count="0" hidden="1">
      <extLst>
        <ext xmlns:x15="http://schemas.microsoft.com/office/spreadsheetml/2010/11/main" uri="{B97F6D7D-B522-45F9-BDA1-12C45D357490}">
          <x15:cacheHierarchy aggregatedColumn="13"/>
        </ext>
      </extLst>
    </cacheHierarchy>
    <cacheHierarchy uniqueName="[Measures].[Suma de ADEUDO]" caption="Suma de ADEUDO" measure="1" displayFolder="" measureGroup="CHASIS" count="0" hidden="1">
      <extLst>
        <ext xmlns:x15="http://schemas.microsoft.com/office/spreadsheetml/2010/11/main" uri="{B97F6D7D-B522-45F9-BDA1-12C45D357490}">
          <x15:cacheHierarchy aggregatedColumn="15"/>
        </ext>
      </extLst>
    </cacheHierarchy>
  </cacheHierarchies>
  <kpis count="0"/>
  <dimensions count="15">
    <dimension name="ACERO 1" uniqueName="[ACERO 1]" caption="ACERO 1"/>
    <dimension name="CHASIS" uniqueName="[CHASIS]" caption="CHASIS"/>
    <dimension name="clientes" uniqueName="[clientes]" caption="clientes"/>
    <dimension name="extras" uniqueName="[extras]" caption="extras"/>
    <dimension measure="1" name="Measures" uniqueName="[Measures]" caption="Measures"/>
    <dimension name="otros" uniqueName="[otros]" caption="otros"/>
    <dimension name="Page001" uniqueName="[Page001]" caption="Page001"/>
    <dimension name="Page002" uniqueName="[Page002]" caption="Page002"/>
    <dimension name="Page003" uniqueName="[Page003]" caption="Page003"/>
    <dimension name="piramide" uniqueName="[piramide]" caption="piramide"/>
    <dimension name="Tabla24" uniqueName="[Tabla24]" caption="Tabla24"/>
    <dimension name="Table001  Page 1" uniqueName="[Table001  Page 1]" caption="Table001  Page 1"/>
    <dimension name="Table002  Page 3" uniqueName="[Table002  Page 3]" caption="Table002  Page 3"/>
    <dimension name="Table004  Page 3" uniqueName="[Table004  Page 3]" caption="Table004  Page 3"/>
    <dimension name="truckzone" uniqueName="[truckzone]" caption="truckzone"/>
  </dimensions>
  <measureGroups count="14">
    <measureGroup name="ACERO 1" caption="ACERO 1"/>
    <measureGroup name="CHASIS" caption="CHASIS"/>
    <measureGroup name="clientes" caption="clientes"/>
    <measureGroup name="extras" caption="extras"/>
    <measureGroup name="otros" caption="otros"/>
    <measureGroup name="Page001" caption="Page001"/>
    <measureGroup name="Page002" caption="Page002"/>
    <measureGroup name="Page003" caption="Page003"/>
    <measureGroup name="piramide" caption="piramide"/>
    <measureGroup name="Tabla24" caption="Tabla24"/>
    <measureGroup name="Table001  Page 1" caption="Table001  Page 1"/>
    <measureGroup name="Table002  Page 3" caption="Table002  Page 3"/>
    <measureGroup name="Table004  Page 3" caption="Table004  Page 3"/>
    <measureGroup name="truckzone" caption="truckzone"/>
  </measureGroups>
  <maps count="19">
    <map measureGroup="0" dimension="0"/>
    <map measureGroup="0" dimension="10"/>
    <map measureGroup="1" dimension="1"/>
    <map measureGroup="2" dimension="2"/>
    <map measureGroup="3" dimension="3"/>
    <map measureGroup="3" dimension="10"/>
    <map measureGroup="4" dimension="5"/>
    <map measureGroup="4" dimension="10"/>
    <map measureGroup="5" dimension="6"/>
    <map measureGroup="6" dimension="7"/>
    <map measureGroup="7" dimension="8"/>
    <map measureGroup="8" dimension="9"/>
    <map measureGroup="8" dimension="10"/>
    <map measureGroup="9" dimension="10"/>
    <map measureGroup="10" dimension="11"/>
    <map measureGroup="11" dimension="12"/>
    <map measureGroup="12" dimension="13"/>
    <map measureGroup="13" dimension="10"/>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madora Leolca" refreshedDate="45337.471550347225" backgroundQuery="1" createdVersion="8" refreshedVersion="8" minRefreshableVersion="3" recordCount="0" supportSubquery="1" supportAdvancedDrill="1" xr:uid="{5DC2ABE2-2379-492E-875A-66167CDB6797}">
  <cacheSource type="external" connectionId="8"/>
  <cacheFields count="1">
    <cacheField name="[clientes].[CLIENTE].[CLIENTE]" caption="CLIENTE" numFmtId="0" hierarchy="21" level="1">
      <sharedItems containsSemiMixedTypes="0" containsNonDate="0" containsString="0"/>
    </cacheField>
  </cacheFields>
  <cacheHierarchies count="130">
    <cacheHierarchy uniqueName="[ACERO 1].[PZAS]" caption="PZAS" attribute="1" defaultMemberUniqueName="[ACERO 1].[PZAS].[All]" allUniqueName="[ACERO 1].[PZAS].[All]" dimensionUniqueName="[ACERO 1]" displayFolder="" count="0" memberValueDatatype="5" unbalanced="0"/>
    <cacheHierarchy uniqueName="[ACERO 1].[TIPO]" caption="TIPO" attribute="1" defaultMemberUniqueName="[ACERO 1].[TIPO].[All]" allUniqueName="[ACERO 1].[TIPO].[All]" dimensionUniqueName="[ACERO 1]" displayFolder="" count="0" memberValueDatatype="130" unbalanced="0"/>
    <cacheHierarchy uniqueName="[ACERO 1].[NOMBRE]" caption="NOMBRE" attribute="1" defaultMemberUniqueName="[ACERO 1].[NOMBRE].[All]" allUniqueName="[ACERO 1].[NOMBRE].[All]" dimensionUniqueName="[ACERO 1]" displayFolder="" count="0" memberValueDatatype="130" unbalanced="0"/>
    <cacheHierarchy uniqueName="[ACERO 1].[MATERIAL / ACCESORIO]" caption="MATERIAL / ACCESORIO" attribute="1" defaultMemberUniqueName="[ACERO 1].[MATERIAL / ACCESORIO].[All]" allUniqueName="[ACERO 1].[MATERIAL / ACCESORIO].[All]" dimensionUniqueName="[ACERO 1]" displayFolder="" count="0" memberValueDatatype="130" unbalanced="0"/>
    <cacheHierarchy uniqueName="[ACERO 1].[PRECIO $ C/U]" caption="PRECIO $ C/U" attribute="1" defaultMemberUniqueName="[ACERO 1].[PRECIO $ C/U].[All]" allUniqueName="[ACERO 1].[PRECIO $ C/U].[All]" dimensionUniqueName="[ACERO 1]" displayFolder="" count="0" memberValueDatatype="5" unbalanced="0"/>
    <cacheHierarchy uniqueName="[ACERO 1].[IMP POR POYECTO]" caption="IMP POR POYECTO" attribute="1" defaultMemberUniqueName="[ACERO 1].[IMP POR POYECTO].[All]" allUniqueName="[ACERO 1].[IMP POR POYECTO].[All]" dimensionUniqueName="[ACERO 1]" displayFolder="" count="0" memberValueDatatype="5" unbalanced="0"/>
    <cacheHierarchy uniqueName="[ACERO 1].[NUM. DE EJES]" caption="NUM. DE EJES" attribute="1" defaultMemberUniqueName="[ACERO 1].[NUM. DE EJES].[All]" allUniqueName="[ACERO 1].[NUM. DE EJES].[All]" dimensionUniqueName="[ACERO 1]" displayFolder="" count="0" memberValueDatatype="20" unbalanced="0"/>
    <cacheHierarchy uniqueName="[ACERO 1].[LARGO]" caption="LARGO" attribute="1" defaultMemberUniqueName="[ACERO 1].[LARGO].[All]" allUniqueName="[ACERO 1].[LARGO].[All]" dimensionUniqueName="[ACERO 1]" displayFolder="" count="0" memberValueDatatype="130" unbalanced="0"/>
    <cacheHierarchy uniqueName="[ACERO 1].[CLASE]" caption="CLASE" attribute="1" defaultMemberUniqueName="[ACERO 1].[CLASE].[All]" allUniqueName="[ACERO 1].[CLASE].[All]" dimensionUniqueName="[ACERO 1]" displayFolder="" count="0" memberValueDatatype="130" unbalanced="0"/>
    <cacheHierarchy uniqueName="[ACERO 1].[OBSERVACION]" caption="OBSERVACION" attribute="1" defaultMemberUniqueName="[ACERO 1].[OBSERVACION].[All]" allUniqueName="[ACERO 1].[OBSERVACION].[All]" dimensionUniqueName="[ACERO 1]" displayFolder="" count="0" memberValueDatatype="130" unbalanced="0"/>
    <cacheHierarchy uniqueName="[CHASIS].[CLIENTE]" caption="CLIENTE" attribute="1" defaultMemberUniqueName="[CHASIS].[CLIENTE].[All]" allUniqueName="[CHASIS].[CLIENTE].[All]" dimensionUniqueName="[CHASIS]" displayFolder="" count="0" memberValueDatatype="130" unbalanced="0"/>
    <cacheHierarchy uniqueName="[CHASIS].[CHASIS]" caption="CHASIS" attribute="1" defaultMemberUniqueName="[CHASIS].[CHASIS].[All]" allUniqueName="[CHASIS].[CHASIS].[All]" dimensionUniqueName="[CHASIS]" displayFolder="" count="0" memberValueDatatype="130" unbalanced="0"/>
    <cacheHierarchy uniqueName="[CHASIS].[AÑO MODELO]" caption="AÑO MODELO" attribute="1" defaultMemberUniqueName="[CHASIS].[AÑO MODELO].[All]" allUniqueName="[CHASIS].[AÑO MODELO].[All]" dimensionUniqueName="[CHASIS]" displayFolder="" count="0" memberValueDatatype="20" unbalanced="0"/>
    <cacheHierarchy uniqueName="[CHASIS].[P/U]" caption="P/U" attribute="1" defaultMemberUniqueName="[CHASIS].[P/U].[All]" allUniqueName="[CHASIS].[P/U].[All]" dimensionUniqueName="[CHASIS]" displayFolder="" count="0" memberValueDatatype="20" unbalanced="0"/>
    <cacheHierarchy uniqueName="[CHASIS].[PAGO]" caption="PAGO" attribute="1" defaultMemberUniqueName="[CHASIS].[PAGO].[All]" allUniqueName="[CHASIS].[PAGO].[All]" dimensionUniqueName="[CHASIS]" displayFolder="" count="0" memberValueDatatype="20" unbalanced="0"/>
    <cacheHierarchy uniqueName="[CHASIS].[ADEUDO]" caption="ADEUDO" attribute="1" defaultMemberUniqueName="[CHASIS].[ADEUDO].[All]" allUniqueName="[CHASIS].[ADEUDO].[All]" dimensionUniqueName="[CHASIS]" displayFolder="" count="0" memberValueDatatype="20" unbalanced="0"/>
    <cacheHierarchy uniqueName="[CHASIS].[FACTURA]" caption="FACTURA" attribute="1" defaultMemberUniqueName="[CHASIS].[FACTURA].[All]" allUniqueName="[CHASIS].[FACTURA].[All]" dimensionUniqueName="[CHASIS]" displayFolder="" count="0" memberValueDatatype="130" unbalanced="0"/>
    <cacheHierarchy uniqueName="[CHASIS].[FECHE/ENTRGA]" caption="FECHE/ENTRGA" attribute="1" time="1" defaultMemberUniqueName="[CHASIS].[FECHE/ENTRGA].[All]" allUniqueName="[CHASIS].[FECHE/ENTRGA].[All]" dimensionUniqueName="[CHASIS]" displayFolder="" count="0" memberValueDatatype="7" unbalanced="0"/>
    <cacheHierarchy uniqueName="[CHASIS].[PAGADO]" caption="PAGADO" attribute="1" defaultMemberUniqueName="[CHASIS].[PAGADO].[All]" allUniqueName="[CHASIS].[PAGADO].[All]" dimensionUniqueName="[CHASIS]" displayFolder="" count="0" memberValueDatatype="130" unbalanced="0"/>
    <cacheHierarchy uniqueName="[CHASIS].[EQUI. ENTREGADOS]" caption="EQUI. ENTREGADOS" attribute="1" defaultMemberUniqueName="[CHASIS].[EQUI. ENTREGADOS].[All]" allUniqueName="[CHASIS].[EQUI. ENTREGADOS].[All]" dimensionUniqueName="[CHASIS]" displayFolder="" count="0" memberValueDatatype="130" unbalanced="0"/>
    <cacheHierarchy uniqueName="[CHASIS].[FECHE/ENTRGA (mes)]" caption="FECHE/ENTRGA (mes)" attribute="1" defaultMemberUniqueName="[CHASIS].[FECHE/ENTRGA (mes)].[All]" allUniqueName="[CHASIS].[FECHE/ENTRGA (mes)].[All]" dimensionUniqueName="[CHASIS]" displayFolder="" count="0" memberValueDatatype="130" unbalanced="0"/>
    <cacheHierarchy uniqueName="[clientes].[CLIENTE]" caption="CLIENTE" attribute="1" defaultMemberUniqueName="[clientes].[CLIENTE].[All]" allUniqueName="[clientes].[CLIENTE].[All]" dimensionUniqueName="[clientes]" displayFolder="" count="2" memberValueDatatype="130" unbalanced="0">
      <fieldsUsage count="2">
        <fieldUsage x="-1"/>
        <fieldUsage x="0"/>
      </fieldsUsage>
    </cacheHierarchy>
    <cacheHierarchy uniqueName="[clientes].[R. F. C.]" caption="R. F. C." attribute="1" defaultMemberUniqueName="[clientes].[R. F. C.].[All]" allUniqueName="[clientes].[R. F. C.].[All]" dimensionUniqueName="[clientes]" displayFolder="" count="0" memberValueDatatype="130" unbalanced="0"/>
    <cacheHierarchy uniqueName="[clientes].[EMPRESA]" caption="EMPRESA" attribute="1" defaultMemberUniqueName="[clientes].[EMPRESA].[All]" allUniqueName="[clientes].[EMPRESA].[All]" dimensionUniqueName="[clientes]" displayFolder="" count="0" memberValueDatatype="130" unbalanced="0"/>
    <cacheHierarchy uniqueName="[clientes].[CALLE, No., COLONIA]" caption="CALLE, No., COLONIA" attribute="1" defaultMemberUniqueName="[clientes].[CALLE, No., COLONIA].[All]" allUniqueName="[clientes].[CALLE, No., COLONIA].[All]" dimensionUniqueName="[clientes]" displayFolder="" count="0" memberValueDatatype="130" unbalanced="0"/>
    <cacheHierarchy uniqueName="[clientes].[MUNICIPIO, ESTADO, PAIS.]" caption="MUNICIPIO, ESTADO, PAIS." attribute="1" defaultMemberUniqueName="[clientes].[MUNICIPIO, ESTADO, PAIS.].[All]" allUniqueName="[clientes].[MUNICIPIO, ESTADO, PAIS.].[All]" dimensionUniqueName="[clientes]" displayFolder="" count="0" memberValueDatatype="130" unbalanced="0"/>
    <cacheHierarchy uniqueName="[clientes].[C.P.]" caption="C.P." attribute="1" defaultMemberUniqueName="[clientes].[C.P.].[All]" allUniqueName="[clientes].[C.P.].[All]" dimensionUniqueName="[clientes]" displayFolder="" count="0" memberValueDatatype="130" unbalanced="0"/>
    <cacheHierarchy uniqueName="[clientes].[TEL/CEL]" caption="TEL/CEL" attribute="1" defaultMemberUniqueName="[clientes].[TEL/CEL].[All]" allUniqueName="[clientes].[TEL/CEL].[All]" dimensionUniqueName="[clientes]" displayFolder="" count="0" memberValueDatatype="130" unbalanced="0"/>
    <cacheHierarchy uniqueName="[clientes].[CORREO]" caption="CORREO" attribute="1" defaultMemberUniqueName="[clientes].[CORREO].[All]" allUniqueName="[clientes].[CORREO].[All]" dimensionUniqueName="[clientes]" displayFolder="" count="0" memberValueDatatype="130" unbalanced="0"/>
    <cacheHierarchy uniqueName="[extras].[PZAS]" caption="PZAS" attribute="1" defaultMemberUniqueName="[extras].[PZAS].[All]" allUniqueName="[extras].[PZAS].[All]" dimensionUniqueName="[extras]" displayFolder="" count="0" memberValueDatatype="20" unbalanced="0"/>
    <cacheHierarchy uniqueName="[extras].[TIPO]" caption="TIPO" attribute="1" defaultMemberUniqueName="[extras].[TIPO].[All]" allUniqueName="[extras].[TIPO].[All]" dimensionUniqueName="[extras]" displayFolder="" count="0" memberValueDatatype="130" unbalanced="0"/>
    <cacheHierarchy uniqueName="[extras].[NOMBRE]" caption="NOMBRE" attribute="1" defaultMemberUniqueName="[extras].[NOMBRE].[All]" allUniqueName="[extras].[NOMBRE].[All]" dimensionUniqueName="[extras]" displayFolder="" count="0" memberValueDatatype="130" unbalanced="0"/>
    <cacheHierarchy uniqueName="[extras].[MATERIAL / ACCESORIO]" caption="MATERIAL / ACCESORIO" attribute="1" defaultMemberUniqueName="[extras].[MATERIAL / ACCESORIO].[All]" allUniqueName="[extras].[MATERIAL / ACCESORIO].[All]" dimensionUniqueName="[extras]" displayFolder="" count="0" memberValueDatatype="130" unbalanced="0"/>
    <cacheHierarchy uniqueName="[extras].[CLASE]" caption="CLASE" attribute="1" defaultMemberUniqueName="[extras].[CLASE].[All]" allUniqueName="[extras].[CLASE].[All]" dimensionUniqueName="[extras]" displayFolder="" count="0" memberValueDatatype="130" unbalanced="0"/>
    <cacheHierarchy uniqueName="[extras].[PRECIO $ C/U]" caption="PRECIO $ C/U" attribute="1" defaultMemberUniqueName="[extras].[PRECIO $ C/U].[All]" allUniqueName="[extras].[PRECIO $ C/U].[All]" dimensionUniqueName="[extras]" displayFolder="" count="0" memberValueDatatype="20" unbalanced="0"/>
    <cacheHierarchy uniqueName="[extras].[IMP POR POYECTO]" caption="IMP POR POYECTO" attribute="1" defaultMemberUniqueName="[extras].[IMP POR POYECTO].[All]" allUniqueName="[extras].[IMP POR POYECTO].[All]" dimensionUniqueName="[extras]" displayFolder="" count="0" memberValueDatatype="20" unbalanced="0"/>
    <cacheHierarchy uniqueName="[extras].[NUM. DE EJES]" caption="NUM. DE EJES" attribute="1" defaultMemberUniqueName="[extras].[NUM. DE EJES].[All]" allUniqueName="[extras].[NUM. DE EJES].[All]" dimensionUniqueName="[extras]" displayFolder="" count="0" memberValueDatatype="20" unbalanced="0"/>
    <cacheHierarchy uniqueName="[extras].[LARGO]" caption="LARGO" attribute="1" defaultMemberUniqueName="[extras].[LARGO].[All]" allUniqueName="[extras].[LARGO].[All]" dimensionUniqueName="[extras]" displayFolder="" count="0" memberValueDatatype="130" unbalanced="0"/>
    <cacheHierarchy uniqueName="[extras].[OBSERVACION]" caption="OBSERVACION" attribute="1" defaultMemberUniqueName="[extras].[OBSERVACION].[All]" allUniqueName="[extras].[OBSERVACION].[All]" dimensionUniqueName="[extras]" displayFolder="" count="0" memberValueDatatype="130" unbalanced="0"/>
    <cacheHierarchy uniqueName="[otros].[PZAS]" caption="PZAS" attribute="1" defaultMemberUniqueName="[otros].[PZAS].[All]" allUniqueName="[otros].[PZAS].[All]" dimensionUniqueName="[otros]" displayFolder="" count="0" memberValueDatatype="5" unbalanced="0"/>
    <cacheHierarchy uniqueName="[otros].[TIPO]" caption="TIPO" attribute="1" defaultMemberUniqueName="[otros].[TIPO].[All]" allUniqueName="[otros].[TIPO].[All]" dimensionUniqueName="[otros]" displayFolder="" count="0" memberValueDatatype="130" unbalanced="0"/>
    <cacheHierarchy uniqueName="[otros].[NOMBRE]" caption="NOMBRE" attribute="1" defaultMemberUniqueName="[otros].[NOMBRE].[All]" allUniqueName="[otros].[NOMBRE].[All]" dimensionUniqueName="[otros]" displayFolder="" count="0" memberValueDatatype="130" unbalanced="0"/>
    <cacheHierarchy uniqueName="[otros].[MATERIAL / ACCESORIO]" caption="MATERIAL / ACCESORIO" attribute="1" defaultMemberUniqueName="[otros].[MATERIAL / ACCESORIO].[All]" allUniqueName="[otros].[MATERIAL / ACCESORIO].[All]" dimensionUniqueName="[otros]" displayFolder="" count="0" memberValueDatatype="130" unbalanced="0"/>
    <cacheHierarchy uniqueName="[otros].[PRECIO $ C/U]" caption="PRECIO $ C/U" attribute="1" defaultMemberUniqueName="[otros].[PRECIO $ C/U].[All]" allUniqueName="[otros].[PRECIO $ C/U].[All]" dimensionUniqueName="[otros]" displayFolder="" count="0" memberValueDatatype="20" unbalanced="0"/>
    <cacheHierarchy uniqueName="[otros].[IMP POR POYECTO]" caption="IMP POR POYECTO" attribute="1" defaultMemberUniqueName="[otros].[IMP POR POYECTO].[All]" allUniqueName="[otros].[IMP POR POYECTO].[All]" dimensionUniqueName="[otros]" displayFolder="" count="0" memberValueDatatype="5" unbalanced="0"/>
    <cacheHierarchy uniqueName="[otros].[NUM. DE EJES]" caption="NUM. DE EJES" attribute="1" defaultMemberUniqueName="[otros].[NUM. DE EJES].[All]" allUniqueName="[otros].[NUM. DE EJES].[All]" dimensionUniqueName="[otros]" displayFolder="" count="0" memberValueDatatype="20" unbalanced="0"/>
    <cacheHierarchy uniqueName="[otros].[LARGO]" caption="LARGO" attribute="1" defaultMemberUniqueName="[otros].[LARGO].[All]" allUniqueName="[otros].[LARGO].[All]" dimensionUniqueName="[otros]" displayFolder="" count="0" memberValueDatatype="130" unbalanced="0"/>
    <cacheHierarchy uniqueName="[otros].[CLASE]" caption="CLASE" attribute="1" defaultMemberUniqueName="[otros].[CLASE].[All]" allUniqueName="[otros].[CLASE].[All]" dimensionUniqueName="[otros]" displayFolder="" count="0" memberValueDatatype="130" unbalanced="0"/>
    <cacheHierarchy uniqueName="[otros].[OBSERVACION]" caption="OBSERVACION" attribute="1" defaultMemberUniqueName="[otros].[OBSERVACION].[All]" allUniqueName="[otros].[OBSERVACION].[All]" dimensionUniqueName="[otros]" displayFolder="" count="0" memberValueDatatype="130" unbalanced="0"/>
    <cacheHierarchy uniqueName="[Page001].[Column1]" caption="Column1" attribute="1" defaultMemberUniqueName="[Page001].[Column1].[All]" allUniqueName="[Page001].[Column1].[All]" dimensionUniqueName="[Page001]" displayFolder="" count="0" memberValueDatatype="130" unbalanced="0"/>
    <cacheHierarchy uniqueName="[Page001].[Column2]" caption="Column2" attribute="1" defaultMemberUniqueName="[Page001].[Column2].[All]" allUniqueName="[Page001].[Column2].[All]" dimensionUniqueName="[Page001]" displayFolder="" count="0" memberValueDatatype="130" unbalanced="0"/>
    <cacheHierarchy uniqueName="[Page001].[Column3]" caption="Column3" attribute="1" defaultMemberUniqueName="[Page001].[Column3].[All]" allUniqueName="[Page001].[Column3].[All]" dimensionUniqueName="[Page001]" displayFolder="" count="0" memberValueDatatype="130" unbalanced="0"/>
    <cacheHierarchy uniqueName="[Page001].[Column4]" caption="Column4" attribute="1" defaultMemberUniqueName="[Page001].[Column4].[All]" allUniqueName="[Page001].[Column4].[All]" dimensionUniqueName="[Page001]" displayFolder="" count="0" memberValueDatatype="130" unbalanced="0"/>
    <cacheHierarchy uniqueName="[Page001].[Column5]" caption="Column5" attribute="1" defaultMemberUniqueName="[Page001].[Column5].[All]" allUniqueName="[Page001].[Column5].[All]" dimensionUniqueName="[Page001]" displayFolder="" count="0" memberValueDatatype="130" unbalanced="0"/>
    <cacheHierarchy uniqueName="[Page002].[Column1]" caption="Column1" attribute="1" defaultMemberUniqueName="[Page002].[Column1].[All]" allUniqueName="[Page002].[Column1].[All]" dimensionUniqueName="[Page002]" displayFolder="" count="0" memberValueDatatype="130" unbalanced="0"/>
    <cacheHierarchy uniqueName="[Page002].[Column2]" caption="Column2" attribute="1" defaultMemberUniqueName="[Page002].[Column2].[All]" allUniqueName="[Page002].[Column2].[All]" dimensionUniqueName="[Page002]" displayFolder="" count="0" memberValueDatatype="130" unbalanced="0"/>
    <cacheHierarchy uniqueName="[Page003].[Column1]" caption="Column1" attribute="1" defaultMemberUniqueName="[Page003].[Column1].[All]" allUniqueName="[Page003].[Column1].[All]" dimensionUniqueName="[Page003]" displayFolder="" count="0" memberValueDatatype="130" unbalanced="0"/>
    <cacheHierarchy uniqueName="[Page003].[Column2]" caption="Column2" attribute="1" defaultMemberUniqueName="[Page003].[Column2].[All]" allUniqueName="[Page003].[Column2].[All]" dimensionUniqueName="[Page003]" displayFolder="" count="0" memberValueDatatype="130" unbalanced="0"/>
    <cacheHierarchy uniqueName="[Page003].[Column3]" caption="Column3" attribute="1" defaultMemberUniqueName="[Page003].[Column3].[All]" allUniqueName="[Page003].[Column3].[All]" dimensionUniqueName="[Page003]" displayFolder="" count="0" memberValueDatatype="130" unbalanced="0"/>
    <cacheHierarchy uniqueName="[Page003].[Column4]" caption="Column4" attribute="1" defaultMemberUniqueName="[Page003].[Column4].[All]" allUniqueName="[Page003].[Column4].[All]" dimensionUniqueName="[Page003]" displayFolder="" count="0" memberValueDatatype="130" unbalanced="0"/>
    <cacheHierarchy uniqueName="[Page003].[Column5]" caption="Column5" attribute="1" defaultMemberUniqueName="[Page003].[Column5].[All]" allUniqueName="[Page003].[Column5].[All]" dimensionUniqueName="[Page003]" displayFolder="" count="0" memberValueDatatype="130" unbalanced="0"/>
    <cacheHierarchy uniqueName="[piramide].[PZAS]" caption="PZAS" attribute="1" defaultMemberUniqueName="[piramide].[PZAS].[All]" allUniqueName="[piramide].[PZAS].[All]" dimensionUniqueName="[piramide]" displayFolder="" count="0" memberValueDatatype="5" unbalanced="0"/>
    <cacheHierarchy uniqueName="[piramide].[TIPO]" caption="TIPO" attribute="1" defaultMemberUniqueName="[piramide].[TIPO].[All]" allUniqueName="[piramide].[TIPO].[All]" dimensionUniqueName="[piramide]" displayFolder="" count="0" memberValueDatatype="130" unbalanced="0"/>
    <cacheHierarchy uniqueName="[piramide].[NOMBRE]" caption="NOMBRE" attribute="1" defaultMemberUniqueName="[piramide].[NOMBRE].[All]" allUniqueName="[piramide].[NOMBRE].[All]" dimensionUniqueName="[piramide]" displayFolder="" count="0" memberValueDatatype="130" unbalanced="0"/>
    <cacheHierarchy uniqueName="[piramide].[MATERIAL / ACCESORIO]" caption="MATERIAL / ACCESORIO" attribute="1" defaultMemberUniqueName="[piramide].[MATERIAL / ACCESORIO].[All]" allUniqueName="[piramide].[MATERIAL / ACCESORIO].[All]" dimensionUniqueName="[piramide]" displayFolder="" count="0" memberValueDatatype="130" unbalanced="0"/>
    <cacheHierarchy uniqueName="[piramide].[PRECIO $ C/U]" caption="PRECIO $ C/U" attribute="1" defaultMemberUniqueName="[piramide].[PRECIO $ C/U].[All]" allUniqueName="[piramide].[PRECIO $ C/U].[All]" dimensionUniqueName="[piramide]" displayFolder="" count="0" memberValueDatatype="5" unbalanced="0"/>
    <cacheHierarchy uniqueName="[piramide].[IMP POR POYECTO]" caption="IMP POR POYECTO" attribute="1" defaultMemberUniqueName="[piramide].[IMP POR POYECTO].[All]" allUniqueName="[piramide].[IMP POR POYECTO].[All]" dimensionUniqueName="[piramide]" displayFolder="" count="0" memberValueDatatype="5" unbalanced="0"/>
    <cacheHierarchy uniqueName="[piramide].[NUM. DE EJES]" caption="NUM. DE EJES" attribute="1" defaultMemberUniqueName="[piramide].[NUM. DE EJES].[All]" allUniqueName="[piramide].[NUM. DE EJES].[All]" dimensionUniqueName="[piramide]" displayFolder="" count="0" memberValueDatatype="20" unbalanced="0"/>
    <cacheHierarchy uniqueName="[piramide].[LARGO]" caption="LARGO" attribute="1" defaultMemberUniqueName="[piramide].[LARGO].[All]" allUniqueName="[piramide].[LARGO].[All]" dimensionUniqueName="[piramide]" displayFolder="" count="0" memberValueDatatype="130" unbalanced="0"/>
    <cacheHierarchy uniqueName="[piramide].[CLASE]" caption="CLASE" attribute="1" defaultMemberUniqueName="[piramide].[CLASE].[All]" allUniqueName="[piramide].[CLASE].[All]" dimensionUniqueName="[piramide]" displayFolder="" count="0" memberValueDatatype="130" unbalanced="0"/>
    <cacheHierarchy uniqueName="[piramide].[OBSERVACION]" caption="OBSERVACION" attribute="1" defaultMemberUniqueName="[piramide].[OBSERVACION].[All]" allUniqueName="[piramide].[OBSERVACION].[All]" dimensionUniqueName="[piramide]" displayFolder="" count="0" memberValueDatatype="130" unbalanced="0"/>
    <cacheHierarchy uniqueName="[Tabla24].[NOMBRE]" caption="NOMBRE" attribute="1" defaultMemberUniqueName="[Tabla24].[NOMBRE].[All]" allUniqueName="[Tabla24].[NOMBRE].[All]" dimensionUniqueName="[Tabla24]" displayFolder="" count="0" memberValueDatatype="130" unbalanced="0"/>
    <cacheHierarchy uniqueName="[Tabla24].[TIPO]" caption="TIPO" attribute="1" defaultMemberUniqueName="[Tabla24].[TIPO].[All]" allUniqueName="[Tabla24].[TIPO].[All]" dimensionUniqueName="[Tabla24]" displayFolder="" count="0" memberValueDatatype="130" unbalanced="0"/>
    <cacheHierarchy uniqueName="[Tabla24].[NUM. DE EJES]" caption="NUM. DE EJES" attribute="1" defaultMemberUniqueName="[Tabla24].[NUM. DE EJES].[All]" allUniqueName="[Tabla24].[NUM. DE EJES].[All]" dimensionUniqueName="[Tabla24]" displayFolder="" count="0" memberValueDatatype="20" unbalanced="0"/>
    <cacheHierarchy uniqueName="[Tabla24].[LARGO]" caption="LARGO" attribute="1" defaultMemberUniqueName="[Tabla24].[LARGO].[All]" allUniqueName="[Tabla24].[LARGO].[All]" dimensionUniqueName="[Tabla24]" displayFolder="" count="0" memberValueDatatype="130" unbalanced="0"/>
    <cacheHierarchy uniqueName="[Tabla24].[CONCAT]" caption="CONCAT" attribute="1" defaultMemberUniqueName="[Tabla24].[CONCAT].[All]" allUniqueName="[Tabla24].[CONCAT].[All]" dimensionUniqueName="[Tabla24]" displayFolder="" count="0" memberValueDatatype="130" unbalanced="0"/>
    <cacheHierarchy uniqueName="[Tabla24].[Peso Vehicular]" caption="Peso Vehicular" attribute="1" defaultMemberUniqueName="[Tabla24].[Peso Vehicular].[All]" allUniqueName="[Tabla24].[Peso Vehicular].[All]" dimensionUniqueName="[Tabla24]" displayFolder="" count="0" memberValueDatatype="20" unbalanced="0"/>
    <cacheHierarchy uniqueName="[Tabla24].[PBVD:]" caption="PBVD:" attribute="1" defaultMemberUniqueName="[Tabla24].[PBVD:].[All]" allUniqueName="[Tabla24].[PBVD:].[All]" dimensionUniqueName="[Tabla24]" displayFolder="" count="0" memberValueDatatype="20" unbalanced="0"/>
    <cacheHierarchy uniqueName="[Tabla24].[Modelo ABS:]" caption="Modelo ABS:" attribute="1" defaultMemberUniqueName="[Tabla24].[Modelo ABS:].[All]" allUniqueName="[Tabla24].[Modelo ABS:].[All]" dimensionUniqueName="[Tabla24]" displayFolder="" count="0" memberValueDatatype="130" unbalanced="0"/>
    <cacheHierarchy uniqueName="[Tabla24].[CDE ejes traseros:]" caption="CDE ejes traseros:" attribute="1" defaultMemberUniqueName="[Tabla24].[CDE ejes traseros:].[All]" allUniqueName="[Tabla24].[CDE ejes traseros:].[All]" dimensionUniqueName="[Tabla24]" displayFolder="" count="0" memberValueDatatype="20" unbalanced="0"/>
    <cacheHierarchy uniqueName="[Tabla24].[Número de llantas:]" caption="Número de llantas:" attribute="1" defaultMemberUniqueName="[Tabla24].[Número de llantas:].[All]" allUniqueName="[Tabla24].[Número de llantas:].[All]" dimensionUniqueName="[Tabla24]" displayFolder="" count="0" memberValueDatatype="20" unbalanced="0"/>
    <cacheHierarchy uniqueName="[Tabla24].[Capacidad de eje en posición de montaje:]" caption="Capacidad de eje en posición de montaje:" attribute="1" defaultMemberUniqueName="[Tabla24].[Capacidad de eje en posición de montaje:].[All]" allUniqueName="[Tabla24].[Capacidad de eje en posición de montaje:].[All]" dimensionUniqueName="[Tabla24]" displayFolder="" count="0" memberValueDatatype="20" unbalanced="0"/>
    <cacheHierarchy uniqueName="[Tabla24].[Capacidad de espigas de eje:]" caption="Capacidad de espigas de eje:" attribute="1" defaultMemberUniqueName="[Tabla24].[Capacidad de espigas de eje:].[All]" allUniqueName="[Tabla24].[Capacidad de espigas de eje:].[All]" dimensionUniqueName="[Tabla24]" displayFolder="" count="0" memberValueDatatype="20" unbalanced="0"/>
    <cacheHierarchy uniqueName="[Tabla24].[Longitud]" caption="Longitud" attribute="1" defaultMemberUniqueName="[Tabla24].[Longitud].[All]" allUniqueName="[Tabla24].[Longitud].[All]" dimensionUniqueName="[Tabla24]" displayFolder="" count="0" memberValueDatatype="5" unbalanced="0"/>
    <cacheHierarchy uniqueName="[Table001  Page 1].[Column1]" caption="Column1" attribute="1" defaultMemberUniqueName="[Table001  Page 1].[Column1].[All]" allUniqueName="[Table001  Page 1].[Column1].[All]" dimensionUniqueName="[Table001  Page 1]" displayFolder="" count="0" memberValueDatatype="130" unbalanced="0"/>
    <cacheHierarchy uniqueName="[Table002  Page 3].[Column1]" caption="Column1" attribute="1" defaultMemberUniqueName="[Table002  Page 3].[Column1].[All]" allUniqueName="[Table002  Page 3].[Column1].[All]" dimensionUniqueName="[Table002  Page 3]" displayFolder="" count="0" memberValueDatatype="130" unbalanced="0"/>
    <cacheHierarchy uniqueName="[Table002  Page 3].[Column2]" caption="Column2" attribute="1" defaultMemberUniqueName="[Table002  Page 3].[Column2].[All]" allUniqueName="[Table002  Page 3].[Column2].[All]" dimensionUniqueName="[Table002  Page 3]" displayFolder="" count="0" memberValueDatatype="130" unbalanced="0"/>
    <cacheHierarchy uniqueName="[Table004  Page 3].[Column1]" caption="Column1" attribute="1" defaultMemberUniqueName="[Table004  Page 3].[Column1].[All]" allUniqueName="[Table004  Page 3].[Column1].[All]" dimensionUniqueName="[Table004  Page 3]" displayFolder="" count="0" memberValueDatatype="130" unbalanced="0"/>
    <cacheHierarchy uniqueName="[Table004  Page 3].[Column2]" caption="Column2" attribute="1" defaultMemberUniqueName="[Table004  Page 3].[Column2].[All]" allUniqueName="[Table004  Page 3].[Column2].[All]" dimensionUniqueName="[Table004  Page 3]" displayFolder="" count="0" memberValueDatatype="130" unbalanced="0"/>
    <cacheHierarchy uniqueName="[truckzone].[PZAS]" caption="PZAS" attribute="1" defaultMemberUniqueName="[truckzone].[PZAS].[All]" allUniqueName="[truckzone].[PZAS].[All]" dimensionUniqueName="[truckzone]" displayFolder="" count="0" memberValueDatatype="5" unbalanced="0"/>
    <cacheHierarchy uniqueName="[truckzone].[TIPO]" caption="TIPO" attribute="1" defaultMemberUniqueName="[truckzone].[TIPO].[All]" allUniqueName="[truckzone].[TIPO].[All]" dimensionUniqueName="[truckzone]" displayFolder="" count="0" memberValueDatatype="130" unbalanced="0"/>
    <cacheHierarchy uniqueName="[truckzone].[NOMBRE]" caption="NOMBRE" attribute="1" defaultMemberUniqueName="[truckzone].[NOMBRE].[All]" allUniqueName="[truckzone].[NOMBRE].[All]" dimensionUniqueName="[truckzone]" displayFolder="" count="0" memberValueDatatype="130" unbalanced="0"/>
    <cacheHierarchy uniqueName="[truckzone].[MATERIAL / ACCESORIO]" caption="MATERIAL / ACCESORIO" attribute="1" defaultMemberUniqueName="[truckzone].[MATERIAL / ACCESORIO].[All]" allUniqueName="[truckzone].[MATERIAL / ACCESORIO].[All]" dimensionUniqueName="[truckzone]" displayFolder="" count="0" memberValueDatatype="130" unbalanced="0"/>
    <cacheHierarchy uniqueName="[truckzone].[PRECIO $ C/U]" caption="PRECIO $ C/U" attribute="1" defaultMemberUniqueName="[truckzone].[PRECIO $ C/U].[All]" allUniqueName="[truckzone].[PRECIO $ C/U].[All]" dimensionUniqueName="[truckzone]" displayFolder="" count="0" memberValueDatatype="5" unbalanced="0"/>
    <cacheHierarchy uniqueName="[truckzone].[IMP POR POYECTO]" caption="IMP POR POYECTO" attribute="1" defaultMemberUniqueName="[truckzone].[IMP POR POYECTO].[All]" allUniqueName="[truckzone].[IMP POR POYECTO].[All]" dimensionUniqueName="[truckzone]" displayFolder="" count="0" memberValueDatatype="5" unbalanced="0"/>
    <cacheHierarchy uniqueName="[truckzone].[NUM. DE EJES]" caption="NUM. DE EJES" attribute="1" defaultMemberUniqueName="[truckzone].[NUM. DE EJES].[All]" allUniqueName="[truckzone].[NUM. DE EJES].[All]" dimensionUniqueName="[truckzone]" displayFolder="" count="0" memberValueDatatype="20" unbalanced="0"/>
    <cacheHierarchy uniqueName="[truckzone].[LARGO]" caption="LARGO" attribute="1" defaultMemberUniqueName="[truckzone].[LARGO].[All]" allUniqueName="[truckzone].[LARGO].[All]" dimensionUniqueName="[truckzone]" displayFolder="" count="0" memberValueDatatype="130" unbalanced="0"/>
    <cacheHierarchy uniqueName="[truckzone].[CLASE]" caption="CLASE" attribute="1" defaultMemberUniqueName="[truckzone].[CLASE].[All]" allUniqueName="[truckzone].[CLASE].[All]" dimensionUniqueName="[truckzone]" displayFolder="" count="0" memberValueDatatype="130" unbalanced="0"/>
    <cacheHierarchy uniqueName="[truckzone].[OBSERVACION]" caption="OBSERVACION" attribute="1" defaultMemberUniqueName="[truckzone].[OBSERVACION].[All]" allUniqueName="[truckzone].[OBSERVACION].[All]" dimensionUniqueName="[truckzone]" displayFolder="" count="0" memberValueDatatype="130" unbalanced="0"/>
    <cacheHierarchy uniqueName="[CHASIS].[FECHE/ENTRGA (índice de meses)]" caption="FECHE/ENTRGA (índice de meses)" attribute="1" defaultMemberUniqueName="[CHASIS].[FECHE/ENTRGA (índice de meses)].[All]" allUniqueName="[CHASIS].[FECHE/ENTRGA (índice de meses)].[All]" dimensionUniqueName="[CHASIS]" displayFolder="" count="0" memberValueDatatype="20" unbalanced="0" hidden="1"/>
    <cacheHierarchy uniqueName="[Measures].[__XL_Count extras]" caption="__XL_Count extras" measure="1" displayFolder="" measureGroup="extras" count="0" hidden="1"/>
    <cacheHierarchy uniqueName="[Measures].[__XL_Count otros]" caption="__XL_Count otros" measure="1" displayFolder="" measureGroup="otros" count="0" hidden="1"/>
    <cacheHierarchy uniqueName="[Measures].[__XL_Count piramide]" caption="__XL_Count piramide" measure="1" displayFolder="" measureGroup="piramide" count="0" hidden="1"/>
    <cacheHierarchy uniqueName="[Measures].[__XL_Count truckzone]" caption="__XL_Count truckzone" measure="1" displayFolder="" measureGroup="truckzone" count="0" hidden="1"/>
    <cacheHierarchy uniqueName="[Measures].[__XL_Count Tabla24]" caption="__XL_Count Tabla24" measure="1" displayFolder="" measureGroup="Tabla24" count="0" hidden="1"/>
    <cacheHierarchy uniqueName="[Measures].[__XL_Count ACERO 1]" caption="__XL_Count ACERO 1" measure="1" displayFolder="" measureGroup="ACERO 1" count="0" hidden="1"/>
    <cacheHierarchy uniqueName="[Measures].[__XL_Count Table001  Page 1]" caption="__XL_Count Table001  Page 1" measure="1" displayFolder="" measureGroup="Table001  Page 1" count="0" hidden="1"/>
    <cacheHierarchy uniqueName="[Measures].[__XL_Count Table002  Page 3]" caption="__XL_Count Table002  Page 3" measure="1" displayFolder="" measureGroup="Table002  Page 3" count="0" hidden="1"/>
    <cacheHierarchy uniqueName="[Measures].[__XL_Count Table004  Page 3]" caption="__XL_Count Table004  Page 3" measure="1" displayFolder="" measureGroup="Table004  Page 3" count="0" hidden="1"/>
    <cacheHierarchy uniqueName="[Measures].[__XL_Count Page001]" caption="__XL_Count Page001" measure="1" displayFolder="" measureGroup="Page001" count="0" hidden="1"/>
    <cacheHierarchy uniqueName="[Measures].[__XL_Count Page003]" caption="__XL_Count Page003" measure="1" displayFolder="" measureGroup="Page003" count="0" hidden="1"/>
    <cacheHierarchy uniqueName="[Measures].[__XL_Count Page002]" caption="__XL_Count Page002" measure="1" displayFolder="" measureGroup="Page002" count="0" hidden="1"/>
    <cacheHierarchy uniqueName="[Measures].[__XL_Count CHASIS]" caption="__XL_Count CHASIS" measure="1" displayFolder="" measureGroup="CHASIS" count="0" hidden="1"/>
    <cacheHierarchy uniqueName="[Measures].[__XL_Count clientes]" caption="__XL_Count clientes" measure="1" displayFolder="" measureGroup="clientes" count="0" hidden="1"/>
    <cacheHierarchy uniqueName="[Measures].[__No measures defined]" caption="__No measures defined" measure="1" displayFolder="" count="0" hidden="1"/>
    <cacheHierarchy uniqueName="[Measures].[Suma de IMP POR POYECTO 3]" caption="Suma de IMP POR POYECTO 3" measure="1" displayFolder="" measureGroup="otros" count="0" hidden="1">
      <extLst>
        <ext xmlns:x15="http://schemas.microsoft.com/office/spreadsheetml/2010/11/main" uri="{B97F6D7D-B522-45F9-BDA1-12C45D357490}">
          <x15:cacheHierarchy aggregatedColumn="44"/>
        </ext>
      </extLst>
    </cacheHierarchy>
    <cacheHierarchy uniqueName="[Measures].[Suma de IMP POR POYECTO 4]" caption="Suma de IMP POR POYECTO 4" measure="1" displayFolder="" measureGroup="piramide" count="0" hidden="1">
      <extLst>
        <ext xmlns:x15="http://schemas.microsoft.com/office/spreadsheetml/2010/11/main" uri="{B97F6D7D-B522-45F9-BDA1-12C45D357490}">
          <x15:cacheHierarchy aggregatedColumn="66"/>
        </ext>
      </extLst>
    </cacheHierarchy>
    <cacheHierarchy uniqueName="[Measures].[Suma de IMP POR POYECTO 5]" caption="Suma de IMP POR POYECTO 5" measure="1" displayFolder="" measureGroup="extras" count="0" hidden="1">
      <extLst>
        <ext xmlns:x15="http://schemas.microsoft.com/office/spreadsheetml/2010/11/main" uri="{B97F6D7D-B522-45F9-BDA1-12C45D357490}">
          <x15:cacheHierarchy aggregatedColumn="35"/>
        </ext>
      </extLst>
    </cacheHierarchy>
    <cacheHierarchy uniqueName="[Measures].[Suma de IMP POR POYECTO 6]" caption="Suma de IMP POR POYECTO 6" measure="1" displayFolder="" measureGroup="truckzone" count="0" hidden="1">
      <extLst>
        <ext xmlns:x15="http://schemas.microsoft.com/office/spreadsheetml/2010/11/main" uri="{B97F6D7D-B522-45F9-BDA1-12C45D357490}">
          <x15:cacheHierarchy aggregatedColumn="94"/>
        </ext>
      </extLst>
    </cacheHierarchy>
    <cacheHierarchy uniqueName="[Measures].[Suma de PZAS 2]" caption="Suma de PZAS 2" measure="1" displayFolder="" measureGroup="otros" count="0" hidden="1">
      <extLst>
        <ext xmlns:x15="http://schemas.microsoft.com/office/spreadsheetml/2010/11/main" uri="{B97F6D7D-B522-45F9-BDA1-12C45D357490}">
          <x15:cacheHierarchy aggregatedColumn="39"/>
        </ext>
      </extLst>
    </cacheHierarchy>
    <cacheHierarchy uniqueName="[Measures].[Suma de PZAS 3]" caption="Suma de PZAS 3" measure="1" displayFolder="" measureGroup="extras" count="0" hidden="1">
      <extLst>
        <ext xmlns:x15="http://schemas.microsoft.com/office/spreadsheetml/2010/11/main" uri="{B97F6D7D-B522-45F9-BDA1-12C45D357490}">
          <x15:cacheHierarchy aggregatedColumn="29"/>
        </ext>
      </extLst>
    </cacheHierarchy>
    <cacheHierarchy uniqueName="[Measures].[Suma de PZAS 4]" caption="Suma de PZAS 4" measure="1" displayFolder="" measureGroup="piramide" count="0" hidden="1">
      <extLst>
        <ext xmlns:x15="http://schemas.microsoft.com/office/spreadsheetml/2010/11/main" uri="{B97F6D7D-B522-45F9-BDA1-12C45D357490}">
          <x15:cacheHierarchy aggregatedColumn="61"/>
        </ext>
      </extLst>
    </cacheHierarchy>
    <cacheHierarchy uniqueName="[Measures].[Suma de PZAS 5]" caption="Suma de PZAS 5" measure="1" displayFolder="" measureGroup="truckzone" count="0" hidden="1">
      <extLst>
        <ext xmlns:x15="http://schemas.microsoft.com/office/spreadsheetml/2010/11/main" uri="{B97F6D7D-B522-45F9-BDA1-12C45D357490}">
          <x15:cacheHierarchy aggregatedColumn="89"/>
        </ext>
      </extLst>
    </cacheHierarchy>
    <cacheHierarchy uniqueName="[Measures].[Suma de IMP POR POYECTO]" caption="Suma de IMP POR POYECTO" measure="1" displayFolder="" measureGroup="ACERO 1" count="0" hidden="1">
      <extLst>
        <ext xmlns:x15="http://schemas.microsoft.com/office/spreadsheetml/2010/11/main" uri="{B97F6D7D-B522-45F9-BDA1-12C45D357490}">
          <x15:cacheHierarchy aggregatedColumn="5"/>
        </ext>
      </extLst>
    </cacheHierarchy>
    <cacheHierarchy uniqueName="[Measures].[Suma de PZAS 6]" caption="Suma de PZAS 6" measure="1" displayFolder="" measureGroup="ACERO 1" count="0" hidden="1">
      <extLst>
        <ext xmlns:x15="http://schemas.microsoft.com/office/spreadsheetml/2010/11/main" uri="{B97F6D7D-B522-45F9-BDA1-12C45D357490}">
          <x15:cacheHierarchy aggregatedColumn="0"/>
        </ext>
      </extLst>
    </cacheHierarchy>
    <cacheHierarchy uniqueName="[Measures].[Recuento de MATERIAL / ACCESORIO]" caption="Recuento de MATERIAL / ACCESORIO" measure="1" displayFolder="" measureGroup="extras" count="0" hidden="1">
      <extLst>
        <ext xmlns:x15="http://schemas.microsoft.com/office/spreadsheetml/2010/11/main" uri="{B97F6D7D-B522-45F9-BDA1-12C45D357490}">
          <x15:cacheHierarchy aggregatedColumn="32"/>
        </ext>
      </extLst>
    </cacheHierarchy>
    <cacheHierarchy uniqueName="[Measures].[Recuento de TIPO]" caption="Recuento de TIPO" measure="1" displayFolder="" measureGroup="extras" count="0" hidden="1">
      <extLst>
        <ext xmlns:x15="http://schemas.microsoft.com/office/spreadsheetml/2010/11/main" uri="{B97F6D7D-B522-45F9-BDA1-12C45D357490}">
          <x15:cacheHierarchy aggregatedColumn="30"/>
        </ext>
      </extLst>
    </cacheHierarchy>
    <cacheHierarchy uniqueName="[Measures].[Suma de PAGO]" caption="Suma de PAGO" measure="1" displayFolder="" measureGroup="CHASIS" count="0" hidden="1">
      <extLst>
        <ext xmlns:x15="http://schemas.microsoft.com/office/spreadsheetml/2010/11/main" uri="{B97F6D7D-B522-45F9-BDA1-12C45D357490}">
          <x15:cacheHierarchy aggregatedColumn="14"/>
        </ext>
      </extLst>
    </cacheHierarchy>
    <cacheHierarchy uniqueName="[Measures].[Suma de P/U]" caption="Suma de P/U" measure="1" displayFolder="" measureGroup="CHASIS" count="0" hidden="1">
      <extLst>
        <ext xmlns:x15="http://schemas.microsoft.com/office/spreadsheetml/2010/11/main" uri="{B97F6D7D-B522-45F9-BDA1-12C45D357490}">
          <x15:cacheHierarchy aggregatedColumn="13"/>
        </ext>
      </extLst>
    </cacheHierarchy>
    <cacheHierarchy uniqueName="[Measures].[Suma de ADEUDO]" caption="Suma de ADEUDO" measure="1" displayFolder="" measureGroup="CHASIS" count="0" hidden="1">
      <extLst>
        <ext xmlns:x15="http://schemas.microsoft.com/office/spreadsheetml/2010/11/main" uri="{B97F6D7D-B522-45F9-BDA1-12C45D357490}">
          <x15:cacheHierarchy aggregatedColumn="15"/>
        </ext>
      </extLst>
    </cacheHierarchy>
  </cacheHierarchies>
  <kpis count="0"/>
  <dimensions count="15">
    <dimension name="ACERO 1" uniqueName="[ACERO 1]" caption="ACERO 1"/>
    <dimension name="CHASIS" uniqueName="[CHASIS]" caption="CHASIS"/>
    <dimension name="clientes" uniqueName="[clientes]" caption="clientes"/>
    <dimension name="extras" uniqueName="[extras]" caption="extras"/>
    <dimension measure="1" name="Measures" uniqueName="[Measures]" caption="Measures"/>
    <dimension name="otros" uniqueName="[otros]" caption="otros"/>
    <dimension name="Page001" uniqueName="[Page001]" caption="Page001"/>
    <dimension name="Page002" uniqueName="[Page002]" caption="Page002"/>
    <dimension name="Page003" uniqueName="[Page003]" caption="Page003"/>
    <dimension name="piramide" uniqueName="[piramide]" caption="piramide"/>
    <dimension name="Tabla24" uniqueName="[Tabla24]" caption="Tabla24"/>
    <dimension name="Table001  Page 1" uniqueName="[Table001  Page 1]" caption="Table001  Page 1"/>
    <dimension name="Table002  Page 3" uniqueName="[Table002  Page 3]" caption="Table002  Page 3"/>
    <dimension name="Table004  Page 3" uniqueName="[Table004  Page 3]" caption="Table004  Page 3"/>
    <dimension name="truckzone" uniqueName="[truckzone]" caption="truckzone"/>
  </dimensions>
  <measureGroups count="14">
    <measureGroup name="ACERO 1" caption="ACERO 1"/>
    <measureGroup name="CHASIS" caption="CHASIS"/>
    <measureGroup name="clientes" caption="clientes"/>
    <measureGroup name="extras" caption="extras"/>
    <measureGroup name="otros" caption="otros"/>
    <measureGroup name="Page001" caption="Page001"/>
    <measureGroup name="Page002" caption="Page002"/>
    <measureGroup name="Page003" caption="Page003"/>
    <measureGroup name="piramide" caption="piramide"/>
    <measureGroup name="Tabla24" caption="Tabla24"/>
    <measureGroup name="Table001  Page 1" caption="Table001  Page 1"/>
    <measureGroup name="Table002  Page 3" caption="Table002  Page 3"/>
    <measureGroup name="Table004  Page 3" caption="Table004  Page 3"/>
    <measureGroup name="truckzone" caption="truckzone"/>
  </measureGroups>
  <maps count="19">
    <map measureGroup="0" dimension="0"/>
    <map measureGroup="0" dimension="10"/>
    <map measureGroup="1" dimension="1"/>
    <map measureGroup="2" dimension="2"/>
    <map measureGroup="3" dimension="3"/>
    <map measureGroup="3" dimension="10"/>
    <map measureGroup="4" dimension="5"/>
    <map measureGroup="4" dimension="10"/>
    <map measureGroup="5" dimension="6"/>
    <map measureGroup="6" dimension="7"/>
    <map measureGroup="7" dimension="8"/>
    <map measureGroup="8" dimension="9"/>
    <map measureGroup="8" dimension="10"/>
    <map measureGroup="9" dimension="10"/>
    <map measureGroup="10" dimension="11"/>
    <map measureGroup="11" dimension="12"/>
    <map measureGroup="12" dimension="13"/>
    <map measureGroup="13" dimension="10"/>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onardo lozada" refreshedDate="45432.603857523151" backgroundQuery="1" createdVersion="8" refreshedVersion="8" minRefreshableVersion="3" recordCount="0" supportSubquery="1" supportAdvancedDrill="1" xr:uid="{09FFDE6F-C750-4764-A156-10D90A2B8FE5}">
  <cacheSource type="external" connectionId="8"/>
  <cacheFields count="1">
    <cacheField name="[clientes].[CLIENTE].[CLIENTE]" caption="CLIENTE" numFmtId="0" hierarchy="21" level="1">
      <sharedItems containsSemiMixedTypes="0" containsNonDate="0" containsString="0"/>
    </cacheField>
  </cacheFields>
  <cacheHierarchies count="130">
    <cacheHierarchy uniqueName="[ACERO 1].[PZAS]" caption="PZAS" attribute="1" defaultMemberUniqueName="[ACERO 1].[PZAS].[All]" allUniqueName="[ACERO 1].[PZAS].[All]" dimensionUniqueName="[ACERO 1]" displayFolder="" count="0" memberValueDatatype="5" unbalanced="0"/>
    <cacheHierarchy uniqueName="[ACERO 1].[TIPO]" caption="TIPO" attribute="1" defaultMemberUniqueName="[ACERO 1].[TIPO].[All]" allUniqueName="[ACERO 1].[TIPO].[All]" dimensionUniqueName="[ACERO 1]" displayFolder="" count="0" memberValueDatatype="130" unbalanced="0"/>
    <cacheHierarchy uniqueName="[ACERO 1].[NOMBRE]" caption="NOMBRE" attribute="1" defaultMemberUniqueName="[ACERO 1].[NOMBRE].[All]" allUniqueName="[ACERO 1].[NOMBRE].[All]" dimensionUniqueName="[ACERO 1]" displayFolder="" count="0" memberValueDatatype="130" unbalanced="0"/>
    <cacheHierarchy uniqueName="[ACERO 1].[MATERIAL / ACCESORIO]" caption="MATERIAL / ACCESORIO" attribute="1" defaultMemberUniqueName="[ACERO 1].[MATERIAL / ACCESORIO].[All]" allUniqueName="[ACERO 1].[MATERIAL / ACCESORIO].[All]" dimensionUniqueName="[ACERO 1]" displayFolder="" count="0" memberValueDatatype="130" unbalanced="0"/>
    <cacheHierarchy uniqueName="[ACERO 1].[PRECIO $ C/U]" caption="PRECIO $ C/U" attribute="1" defaultMemberUniqueName="[ACERO 1].[PRECIO $ C/U].[All]" allUniqueName="[ACERO 1].[PRECIO $ C/U].[All]" dimensionUniqueName="[ACERO 1]" displayFolder="" count="0" memberValueDatatype="5" unbalanced="0"/>
    <cacheHierarchy uniqueName="[ACERO 1].[IMP POR POYECTO]" caption="IMP POR POYECTO" attribute="1" defaultMemberUniqueName="[ACERO 1].[IMP POR POYECTO].[All]" allUniqueName="[ACERO 1].[IMP POR POYECTO].[All]" dimensionUniqueName="[ACERO 1]" displayFolder="" count="0" memberValueDatatype="5" unbalanced="0"/>
    <cacheHierarchy uniqueName="[ACERO 1].[NUM. DE EJES]" caption="NUM. DE EJES" attribute="1" defaultMemberUniqueName="[ACERO 1].[NUM. DE EJES].[All]" allUniqueName="[ACERO 1].[NUM. DE EJES].[All]" dimensionUniqueName="[ACERO 1]" displayFolder="" count="0" memberValueDatatype="20" unbalanced="0"/>
    <cacheHierarchy uniqueName="[ACERO 1].[LARGO]" caption="LARGO" attribute="1" defaultMemberUniqueName="[ACERO 1].[LARGO].[All]" allUniqueName="[ACERO 1].[LARGO].[All]" dimensionUniqueName="[ACERO 1]" displayFolder="" count="0" memberValueDatatype="130" unbalanced="0"/>
    <cacheHierarchy uniqueName="[ACERO 1].[CLASE]" caption="CLASE" attribute="1" defaultMemberUniqueName="[ACERO 1].[CLASE].[All]" allUniqueName="[ACERO 1].[CLASE].[All]" dimensionUniqueName="[ACERO 1]" displayFolder="" count="0" memberValueDatatype="130" unbalanced="0"/>
    <cacheHierarchy uniqueName="[ACERO 1].[OBSERVACION]" caption="OBSERVACION" attribute="1" defaultMemberUniqueName="[ACERO 1].[OBSERVACION].[All]" allUniqueName="[ACERO 1].[OBSERVACION].[All]" dimensionUniqueName="[ACERO 1]" displayFolder="" count="0" memberValueDatatype="130" unbalanced="0"/>
    <cacheHierarchy uniqueName="[CHASIS].[CLIENTE]" caption="CLIENTE" attribute="1" defaultMemberUniqueName="[CHASIS].[CLIENTE].[All]" allUniqueName="[CHASIS].[CLIENTE].[All]" dimensionUniqueName="[CHASIS]" displayFolder="" count="0" memberValueDatatype="130" unbalanced="0"/>
    <cacheHierarchy uniqueName="[CHASIS].[CHASIS]" caption="CHASIS" attribute="1" defaultMemberUniqueName="[CHASIS].[CHASIS].[All]" allUniqueName="[CHASIS].[CHASIS].[All]" dimensionUniqueName="[CHASIS]" displayFolder="" count="0" memberValueDatatype="130" unbalanced="0"/>
    <cacheHierarchy uniqueName="[CHASIS].[AÑO MODELO]" caption="AÑO MODELO" attribute="1" defaultMemberUniqueName="[CHASIS].[AÑO MODELO].[All]" allUniqueName="[CHASIS].[AÑO MODELO].[All]" dimensionUniqueName="[CHASIS]" displayFolder="" count="0" memberValueDatatype="20" unbalanced="0"/>
    <cacheHierarchy uniqueName="[CHASIS].[P/U]" caption="P/U" attribute="1" defaultMemberUniqueName="[CHASIS].[P/U].[All]" allUniqueName="[CHASIS].[P/U].[All]" dimensionUniqueName="[CHASIS]" displayFolder="" count="0" memberValueDatatype="20" unbalanced="0"/>
    <cacheHierarchy uniqueName="[CHASIS].[PAGO]" caption="PAGO" attribute="1" defaultMemberUniqueName="[CHASIS].[PAGO].[All]" allUniqueName="[CHASIS].[PAGO].[All]" dimensionUniqueName="[CHASIS]" displayFolder="" count="0" memberValueDatatype="20" unbalanced="0"/>
    <cacheHierarchy uniqueName="[CHASIS].[ADEUDO]" caption="ADEUDO" attribute="1" defaultMemberUniqueName="[CHASIS].[ADEUDO].[All]" allUniqueName="[CHASIS].[ADEUDO].[All]" dimensionUniqueName="[CHASIS]" displayFolder="" count="0" memberValueDatatype="20" unbalanced="0"/>
    <cacheHierarchy uniqueName="[CHASIS].[FACTURA]" caption="FACTURA" attribute="1" defaultMemberUniqueName="[CHASIS].[FACTURA].[All]" allUniqueName="[CHASIS].[FACTURA].[All]" dimensionUniqueName="[CHASIS]" displayFolder="" count="0" memberValueDatatype="130" unbalanced="0"/>
    <cacheHierarchy uniqueName="[CHASIS].[FECHE/ENTRGA]" caption="FECHE/ENTRGA" attribute="1" time="1" defaultMemberUniqueName="[CHASIS].[FECHE/ENTRGA].[All]" allUniqueName="[CHASIS].[FECHE/ENTRGA].[All]" dimensionUniqueName="[CHASIS]" displayFolder="" count="0" memberValueDatatype="7" unbalanced="0"/>
    <cacheHierarchy uniqueName="[CHASIS].[PAGADO]" caption="PAGADO" attribute="1" defaultMemberUniqueName="[CHASIS].[PAGADO].[All]" allUniqueName="[CHASIS].[PAGADO].[All]" dimensionUniqueName="[CHASIS]" displayFolder="" count="0" memberValueDatatype="130" unbalanced="0"/>
    <cacheHierarchy uniqueName="[CHASIS].[EQUI. ENTREGADOS]" caption="EQUI. ENTREGADOS" attribute="1" defaultMemberUniqueName="[CHASIS].[EQUI. ENTREGADOS].[All]" allUniqueName="[CHASIS].[EQUI. ENTREGADOS].[All]" dimensionUniqueName="[CHASIS]" displayFolder="" count="0" memberValueDatatype="130" unbalanced="0"/>
    <cacheHierarchy uniqueName="[CHASIS].[FECHE/ENTRGA (mes)]" caption="FECHE/ENTRGA (mes)" attribute="1" defaultMemberUniqueName="[CHASIS].[FECHE/ENTRGA (mes)].[All]" allUniqueName="[CHASIS].[FECHE/ENTRGA (mes)].[All]" dimensionUniqueName="[CHASIS]" displayFolder="" count="0" memberValueDatatype="130" unbalanced="0"/>
    <cacheHierarchy uniqueName="[clientes].[CLIENTE]" caption="CLIENTE" attribute="1" defaultMemberUniqueName="[clientes].[CLIENTE].[All]" allUniqueName="[clientes].[CLIENTE].[All]" dimensionUniqueName="[clientes]" displayFolder="" count="2" memberValueDatatype="130" unbalanced="0">
      <fieldsUsage count="2">
        <fieldUsage x="-1"/>
        <fieldUsage x="0"/>
      </fieldsUsage>
    </cacheHierarchy>
    <cacheHierarchy uniqueName="[clientes].[R. F. C.]" caption="R. F. C." attribute="1" defaultMemberUniqueName="[clientes].[R. F. C.].[All]" allUniqueName="[clientes].[R. F. C.].[All]" dimensionUniqueName="[clientes]" displayFolder="" count="0" memberValueDatatype="130" unbalanced="0"/>
    <cacheHierarchy uniqueName="[clientes].[EMPRESA]" caption="EMPRESA" attribute="1" defaultMemberUniqueName="[clientes].[EMPRESA].[All]" allUniqueName="[clientes].[EMPRESA].[All]" dimensionUniqueName="[clientes]" displayFolder="" count="0" memberValueDatatype="130" unbalanced="0"/>
    <cacheHierarchy uniqueName="[clientes].[CALLE, No., COLONIA]" caption="CALLE, No., COLONIA" attribute="1" defaultMemberUniqueName="[clientes].[CALLE, No., COLONIA].[All]" allUniqueName="[clientes].[CALLE, No., COLONIA].[All]" dimensionUniqueName="[clientes]" displayFolder="" count="0" memberValueDatatype="130" unbalanced="0"/>
    <cacheHierarchy uniqueName="[clientes].[MUNICIPIO, ESTADO, PAIS.]" caption="MUNICIPIO, ESTADO, PAIS." attribute="1" defaultMemberUniqueName="[clientes].[MUNICIPIO, ESTADO, PAIS.].[All]" allUniqueName="[clientes].[MUNICIPIO, ESTADO, PAIS.].[All]" dimensionUniqueName="[clientes]" displayFolder="" count="0" memberValueDatatype="130" unbalanced="0"/>
    <cacheHierarchy uniqueName="[clientes].[C.P.]" caption="C.P." attribute="1" defaultMemberUniqueName="[clientes].[C.P.].[All]" allUniqueName="[clientes].[C.P.].[All]" dimensionUniqueName="[clientes]" displayFolder="" count="0" memberValueDatatype="130" unbalanced="0"/>
    <cacheHierarchy uniqueName="[clientes].[TEL/CEL]" caption="TEL/CEL" attribute="1" defaultMemberUniqueName="[clientes].[TEL/CEL].[All]" allUniqueName="[clientes].[TEL/CEL].[All]" dimensionUniqueName="[clientes]" displayFolder="" count="0" memberValueDatatype="130" unbalanced="0"/>
    <cacheHierarchy uniqueName="[clientes].[CORREO]" caption="CORREO" attribute="1" defaultMemberUniqueName="[clientes].[CORREO].[All]" allUniqueName="[clientes].[CORREO].[All]" dimensionUniqueName="[clientes]" displayFolder="" count="0" memberValueDatatype="130" unbalanced="0"/>
    <cacheHierarchy uniqueName="[extras].[PZAS]" caption="PZAS" attribute="1" defaultMemberUniqueName="[extras].[PZAS].[All]" allUniqueName="[extras].[PZAS].[All]" dimensionUniqueName="[extras]" displayFolder="" count="0" memberValueDatatype="20" unbalanced="0"/>
    <cacheHierarchy uniqueName="[extras].[TIPO]" caption="TIPO" attribute="1" defaultMemberUniqueName="[extras].[TIPO].[All]" allUniqueName="[extras].[TIPO].[All]" dimensionUniqueName="[extras]" displayFolder="" count="0" memberValueDatatype="130" unbalanced="0"/>
    <cacheHierarchy uniqueName="[extras].[NOMBRE]" caption="NOMBRE" attribute="1" defaultMemberUniqueName="[extras].[NOMBRE].[All]" allUniqueName="[extras].[NOMBRE].[All]" dimensionUniqueName="[extras]" displayFolder="" count="0" memberValueDatatype="130" unbalanced="0"/>
    <cacheHierarchy uniqueName="[extras].[MATERIAL / ACCESORIO]" caption="MATERIAL / ACCESORIO" attribute="1" defaultMemberUniqueName="[extras].[MATERIAL / ACCESORIO].[All]" allUniqueName="[extras].[MATERIAL / ACCESORIO].[All]" dimensionUniqueName="[extras]" displayFolder="" count="0" memberValueDatatype="130" unbalanced="0"/>
    <cacheHierarchy uniqueName="[extras].[CLASE]" caption="CLASE" attribute="1" defaultMemberUniqueName="[extras].[CLASE].[All]" allUniqueName="[extras].[CLASE].[All]" dimensionUniqueName="[extras]" displayFolder="" count="0" memberValueDatatype="130" unbalanced="0"/>
    <cacheHierarchy uniqueName="[extras].[PRECIO $ C/U]" caption="PRECIO $ C/U" attribute="1" defaultMemberUniqueName="[extras].[PRECIO $ C/U].[All]" allUniqueName="[extras].[PRECIO $ C/U].[All]" dimensionUniqueName="[extras]" displayFolder="" count="0" memberValueDatatype="20" unbalanced="0"/>
    <cacheHierarchy uniqueName="[extras].[IMP POR POYECTO]" caption="IMP POR POYECTO" attribute="1" defaultMemberUniqueName="[extras].[IMP POR POYECTO].[All]" allUniqueName="[extras].[IMP POR POYECTO].[All]" dimensionUniqueName="[extras]" displayFolder="" count="0" memberValueDatatype="20" unbalanced="0"/>
    <cacheHierarchy uniqueName="[extras].[NUM. DE EJES]" caption="NUM. DE EJES" attribute="1" defaultMemberUniqueName="[extras].[NUM. DE EJES].[All]" allUniqueName="[extras].[NUM. DE EJES].[All]" dimensionUniqueName="[extras]" displayFolder="" count="0" memberValueDatatype="20" unbalanced="0"/>
    <cacheHierarchy uniqueName="[extras].[LARGO]" caption="LARGO" attribute="1" defaultMemberUniqueName="[extras].[LARGO].[All]" allUniqueName="[extras].[LARGO].[All]" dimensionUniqueName="[extras]" displayFolder="" count="0" memberValueDatatype="130" unbalanced="0"/>
    <cacheHierarchy uniqueName="[extras].[OBSERVACION]" caption="OBSERVACION" attribute="1" defaultMemberUniqueName="[extras].[OBSERVACION].[All]" allUniqueName="[extras].[OBSERVACION].[All]" dimensionUniqueName="[extras]" displayFolder="" count="0" memberValueDatatype="130" unbalanced="0"/>
    <cacheHierarchy uniqueName="[otros].[PZAS]" caption="PZAS" attribute="1" defaultMemberUniqueName="[otros].[PZAS].[All]" allUniqueName="[otros].[PZAS].[All]" dimensionUniqueName="[otros]" displayFolder="" count="0" memberValueDatatype="5" unbalanced="0"/>
    <cacheHierarchy uniqueName="[otros].[TIPO]" caption="TIPO" attribute="1" defaultMemberUniqueName="[otros].[TIPO].[All]" allUniqueName="[otros].[TIPO].[All]" dimensionUniqueName="[otros]" displayFolder="" count="0" memberValueDatatype="130" unbalanced="0"/>
    <cacheHierarchy uniqueName="[otros].[NOMBRE]" caption="NOMBRE" attribute="1" defaultMemberUniqueName="[otros].[NOMBRE].[All]" allUniqueName="[otros].[NOMBRE].[All]" dimensionUniqueName="[otros]" displayFolder="" count="0" memberValueDatatype="130" unbalanced="0"/>
    <cacheHierarchy uniqueName="[otros].[MATERIAL / ACCESORIO]" caption="MATERIAL / ACCESORIO" attribute="1" defaultMemberUniqueName="[otros].[MATERIAL / ACCESORIO].[All]" allUniqueName="[otros].[MATERIAL / ACCESORIO].[All]" dimensionUniqueName="[otros]" displayFolder="" count="0" memberValueDatatype="130" unbalanced="0"/>
    <cacheHierarchy uniqueName="[otros].[PRECIO $ C/U]" caption="PRECIO $ C/U" attribute="1" defaultMemberUniqueName="[otros].[PRECIO $ C/U].[All]" allUniqueName="[otros].[PRECIO $ C/U].[All]" dimensionUniqueName="[otros]" displayFolder="" count="0" memberValueDatatype="20" unbalanced="0"/>
    <cacheHierarchy uniqueName="[otros].[IMP POR POYECTO]" caption="IMP POR POYECTO" attribute="1" defaultMemberUniqueName="[otros].[IMP POR POYECTO].[All]" allUniqueName="[otros].[IMP POR POYECTO].[All]" dimensionUniqueName="[otros]" displayFolder="" count="0" memberValueDatatype="5" unbalanced="0"/>
    <cacheHierarchy uniqueName="[otros].[NUM. DE EJES]" caption="NUM. DE EJES" attribute="1" defaultMemberUniqueName="[otros].[NUM. DE EJES].[All]" allUniqueName="[otros].[NUM. DE EJES].[All]" dimensionUniqueName="[otros]" displayFolder="" count="0" memberValueDatatype="20" unbalanced="0"/>
    <cacheHierarchy uniqueName="[otros].[LARGO]" caption="LARGO" attribute="1" defaultMemberUniqueName="[otros].[LARGO].[All]" allUniqueName="[otros].[LARGO].[All]" dimensionUniqueName="[otros]" displayFolder="" count="0" memberValueDatatype="130" unbalanced="0"/>
    <cacheHierarchy uniqueName="[otros].[CLASE]" caption="CLASE" attribute="1" defaultMemberUniqueName="[otros].[CLASE].[All]" allUniqueName="[otros].[CLASE].[All]" dimensionUniqueName="[otros]" displayFolder="" count="0" memberValueDatatype="130" unbalanced="0"/>
    <cacheHierarchy uniqueName="[otros].[OBSERVACION]" caption="OBSERVACION" attribute="1" defaultMemberUniqueName="[otros].[OBSERVACION].[All]" allUniqueName="[otros].[OBSERVACION].[All]" dimensionUniqueName="[otros]" displayFolder="" count="0" memberValueDatatype="130" unbalanced="0"/>
    <cacheHierarchy uniqueName="[Page001].[Column1]" caption="Column1" attribute="1" defaultMemberUniqueName="[Page001].[Column1].[All]" allUniqueName="[Page001].[Column1].[All]" dimensionUniqueName="[Page001]" displayFolder="" count="0" memberValueDatatype="130" unbalanced="0"/>
    <cacheHierarchy uniqueName="[Page001].[Column2]" caption="Column2" attribute="1" defaultMemberUniqueName="[Page001].[Column2].[All]" allUniqueName="[Page001].[Column2].[All]" dimensionUniqueName="[Page001]" displayFolder="" count="0" memberValueDatatype="130" unbalanced="0"/>
    <cacheHierarchy uniqueName="[Page001].[Column3]" caption="Column3" attribute="1" defaultMemberUniqueName="[Page001].[Column3].[All]" allUniqueName="[Page001].[Column3].[All]" dimensionUniqueName="[Page001]" displayFolder="" count="0" memberValueDatatype="130" unbalanced="0"/>
    <cacheHierarchy uniqueName="[Page001].[Column4]" caption="Column4" attribute="1" defaultMemberUniqueName="[Page001].[Column4].[All]" allUniqueName="[Page001].[Column4].[All]" dimensionUniqueName="[Page001]" displayFolder="" count="0" memberValueDatatype="130" unbalanced="0"/>
    <cacheHierarchy uniqueName="[Page001].[Column5]" caption="Column5" attribute="1" defaultMemberUniqueName="[Page001].[Column5].[All]" allUniqueName="[Page001].[Column5].[All]" dimensionUniqueName="[Page001]" displayFolder="" count="0" memberValueDatatype="130" unbalanced="0"/>
    <cacheHierarchy uniqueName="[Page002].[Column1]" caption="Column1" attribute="1" defaultMemberUniqueName="[Page002].[Column1].[All]" allUniqueName="[Page002].[Column1].[All]" dimensionUniqueName="[Page002]" displayFolder="" count="0" memberValueDatatype="130" unbalanced="0"/>
    <cacheHierarchy uniqueName="[Page002].[Column2]" caption="Column2" attribute="1" defaultMemberUniqueName="[Page002].[Column2].[All]" allUniqueName="[Page002].[Column2].[All]" dimensionUniqueName="[Page002]" displayFolder="" count="0" memberValueDatatype="130" unbalanced="0"/>
    <cacheHierarchy uniqueName="[Page003].[Column1]" caption="Column1" attribute="1" defaultMemberUniqueName="[Page003].[Column1].[All]" allUniqueName="[Page003].[Column1].[All]" dimensionUniqueName="[Page003]" displayFolder="" count="0" memberValueDatatype="130" unbalanced="0"/>
    <cacheHierarchy uniqueName="[Page003].[Column2]" caption="Column2" attribute="1" defaultMemberUniqueName="[Page003].[Column2].[All]" allUniqueName="[Page003].[Column2].[All]" dimensionUniqueName="[Page003]" displayFolder="" count="0" memberValueDatatype="130" unbalanced="0"/>
    <cacheHierarchy uniqueName="[Page003].[Column3]" caption="Column3" attribute="1" defaultMemberUniqueName="[Page003].[Column3].[All]" allUniqueName="[Page003].[Column3].[All]" dimensionUniqueName="[Page003]" displayFolder="" count="0" memberValueDatatype="130" unbalanced="0"/>
    <cacheHierarchy uniqueName="[Page003].[Column4]" caption="Column4" attribute="1" defaultMemberUniqueName="[Page003].[Column4].[All]" allUniqueName="[Page003].[Column4].[All]" dimensionUniqueName="[Page003]" displayFolder="" count="0" memberValueDatatype="130" unbalanced="0"/>
    <cacheHierarchy uniqueName="[Page003].[Column5]" caption="Column5" attribute="1" defaultMemberUniqueName="[Page003].[Column5].[All]" allUniqueName="[Page003].[Column5].[All]" dimensionUniqueName="[Page003]" displayFolder="" count="0" memberValueDatatype="130" unbalanced="0"/>
    <cacheHierarchy uniqueName="[piramide].[PZAS]" caption="PZAS" attribute="1" defaultMemberUniqueName="[piramide].[PZAS].[All]" allUniqueName="[piramide].[PZAS].[All]" dimensionUniqueName="[piramide]" displayFolder="" count="0" memberValueDatatype="5" unbalanced="0"/>
    <cacheHierarchy uniqueName="[piramide].[TIPO]" caption="TIPO" attribute="1" defaultMemberUniqueName="[piramide].[TIPO].[All]" allUniqueName="[piramide].[TIPO].[All]" dimensionUniqueName="[piramide]" displayFolder="" count="0" memberValueDatatype="130" unbalanced="0"/>
    <cacheHierarchy uniqueName="[piramide].[NOMBRE]" caption="NOMBRE" attribute="1" defaultMemberUniqueName="[piramide].[NOMBRE].[All]" allUniqueName="[piramide].[NOMBRE].[All]" dimensionUniqueName="[piramide]" displayFolder="" count="0" memberValueDatatype="130" unbalanced="0"/>
    <cacheHierarchy uniqueName="[piramide].[MATERIAL / ACCESORIO]" caption="MATERIAL / ACCESORIO" attribute="1" defaultMemberUniqueName="[piramide].[MATERIAL / ACCESORIO].[All]" allUniqueName="[piramide].[MATERIAL / ACCESORIO].[All]" dimensionUniqueName="[piramide]" displayFolder="" count="0" memberValueDatatype="130" unbalanced="0"/>
    <cacheHierarchy uniqueName="[piramide].[PRECIO $ C/U]" caption="PRECIO $ C/U" attribute="1" defaultMemberUniqueName="[piramide].[PRECIO $ C/U].[All]" allUniqueName="[piramide].[PRECIO $ C/U].[All]" dimensionUniqueName="[piramide]" displayFolder="" count="0" memberValueDatatype="5" unbalanced="0"/>
    <cacheHierarchy uniqueName="[piramide].[IMP POR POYECTO]" caption="IMP POR POYECTO" attribute="1" defaultMemberUniqueName="[piramide].[IMP POR POYECTO].[All]" allUniqueName="[piramide].[IMP POR POYECTO].[All]" dimensionUniqueName="[piramide]" displayFolder="" count="0" memberValueDatatype="5" unbalanced="0"/>
    <cacheHierarchy uniqueName="[piramide].[NUM. DE EJES]" caption="NUM. DE EJES" attribute="1" defaultMemberUniqueName="[piramide].[NUM. DE EJES].[All]" allUniqueName="[piramide].[NUM. DE EJES].[All]" dimensionUniqueName="[piramide]" displayFolder="" count="0" memberValueDatatype="20" unbalanced="0"/>
    <cacheHierarchy uniqueName="[piramide].[LARGO]" caption="LARGO" attribute="1" defaultMemberUniqueName="[piramide].[LARGO].[All]" allUniqueName="[piramide].[LARGO].[All]" dimensionUniqueName="[piramide]" displayFolder="" count="0" memberValueDatatype="130" unbalanced="0"/>
    <cacheHierarchy uniqueName="[piramide].[CLASE]" caption="CLASE" attribute="1" defaultMemberUniqueName="[piramide].[CLASE].[All]" allUniqueName="[piramide].[CLASE].[All]" dimensionUniqueName="[piramide]" displayFolder="" count="0" memberValueDatatype="130" unbalanced="0"/>
    <cacheHierarchy uniqueName="[piramide].[OBSERVACION]" caption="OBSERVACION" attribute="1" defaultMemberUniqueName="[piramide].[OBSERVACION].[All]" allUniqueName="[piramide].[OBSERVACION].[All]" dimensionUniqueName="[piramide]" displayFolder="" count="0" memberValueDatatype="130" unbalanced="0"/>
    <cacheHierarchy uniqueName="[Tabla24].[NOMBRE]" caption="NOMBRE" attribute="1" defaultMemberUniqueName="[Tabla24].[NOMBRE].[All]" allUniqueName="[Tabla24].[NOMBRE].[All]" dimensionUniqueName="[Tabla24]" displayFolder="" count="0" memberValueDatatype="130" unbalanced="0"/>
    <cacheHierarchy uniqueName="[Tabla24].[TIPO]" caption="TIPO" attribute="1" defaultMemberUniqueName="[Tabla24].[TIPO].[All]" allUniqueName="[Tabla24].[TIPO].[All]" dimensionUniqueName="[Tabla24]" displayFolder="" count="0" memberValueDatatype="130" unbalanced="0"/>
    <cacheHierarchy uniqueName="[Tabla24].[NUM. DE EJES]" caption="NUM. DE EJES" attribute="1" defaultMemberUniqueName="[Tabla24].[NUM. DE EJES].[All]" allUniqueName="[Tabla24].[NUM. DE EJES].[All]" dimensionUniqueName="[Tabla24]" displayFolder="" count="0" memberValueDatatype="20" unbalanced="0"/>
    <cacheHierarchy uniqueName="[Tabla24].[LARGO]" caption="LARGO" attribute="1" defaultMemberUniqueName="[Tabla24].[LARGO].[All]" allUniqueName="[Tabla24].[LARGO].[All]" dimensionUniqueName="[Tabla24]" displayFolder="" count="0" memberValueDatatype="130" unbalanced="0"/>
    <cacheHierarchy uniqueName="[Tabla24].[CONCAT]" caption="CONCAT" attribute="1" defaultMemberUniqueName="[Tabla24].[CONCAT].[All]" allUniqueName="[Tabla24].[CONCAT].[All]" dimensionUniqueName="[Tabla24]" displayFolder="" count="0" memberValueDatatype="130" unbalanced="0"/>
    <cacheHierarchy uniqueName="[Tabla24].[Peso Vehicular]" caption="Peso Vehicular" attribute="1" defaultMemberUniqueName="[Tabla24].[Peso Vehicular].[All]" allUniqueName="[Tabla24].[Peso Vehicular].[All]" dimensionUniqueName="[Tabla24]" displayFolder="" count="0" memberValueDatatype="20" unbalanced="0"/>
    <cacheHierarchy uniqueName="[Tabla24].[PBVD:]" caption="PBVD:" attribute="1" defaultMemberUniqueName="[Tabla24].[PBVD:].[All]" allUniqueName="[Tabla24].[PBVD:].[All]" dimensionUniqueName="[Tabla24]" displayFolder="" count="0" memberValueDatatype="20" unbalanced="0"/>
    <cacheHierarchy uniqueName="[Tabla24].[Modelo ABS:]" caption="Modelo ABS:" attribute="1" defaultMemberUniqueName="[Tabla24].[Modelo ABS:].[All]" allUniqueName="[Tabla24].[Modelo ABS:].[All]" dimensionUniqueName="[Tabla24]" displayFolder="" count="0" memberValueDatatype="130" unbalanced="0"/>
    <cacheHierarchy uniqueName="[Tabla24].[CDE ejes traseros:]" caption="CDE ejes traseros:" attribute="1" defaultMemberUniqueName="[Tabla24].[CDE ejes traseros:].[All]" allUniqueName="[Tabla24].[CDE ejes traseros:].[All]" dimensionUniqueName="[Tabla24]" displayFolder="" count="0" memberValueDatatype="20" unbalanced="0"/>
    <cacheHierarchy uniqueName="[Tabla24].[Número de llantas:]" caption="Número de llantas:" attribute="1" defaultMemberUniqueName="[Tabla24].[Número de llantas:].[All]" allUniqueName="[Tabla24].[Número de llantas:].[All]" dimensionUniqueName="[Tabla24]" displayFolder="" count="0" memberValueDatatype="20" unbalanced="0"/>
    <cacheHierarchy uniqueName="[Tabla24].[Capacidad de eje en posición de montaje:]" caption="Capacidad de eje en posición de montaje:" attribute="1" defaultMemberUniqueName="[Tabla24].[Capacidad de eje en posición de montaje:].[All]" allUniqueName="[Tabla24].[Capacidad de eje en posición de montaje:].[All]" dimensionUniqueName="[Tabla24]" displayFolder="" count="0" memberValueDatatype="20" unbalanced="0"/>
    <cacheHierarchy uniqueName="[Tabla24].[Capacidad de espigas de eje:]" caption="Capacidad de espigas de eje:" attribute="1" defaultMemberUniqueName="[Tabla24].[Capacidad de espigas de eje:].[All]" allUniqueName="[Tabla24].[Capacidad de espigas de eje:].[All]" dimensionUniqueName="[Tabla24]" displayFolder="" count="0" memberValueDatatype="20" unbalanced="0"/>
    <cacheHierarchy uniqueName="[Tabla24].[Longitud]" caption="Longitud" attribute="1" defaultMemberUniqueName="[Tabla24].[Longitud].[All]" allUniqueName="[Tabla24].[Longitud].[All]" dimensionUniqueName="[Tabla24]" displayFolder="" count="0" memberValueDatatype="5" unbalanced="0"/>
    <cacheHierarchy uniqueName="[Table001  Page 1].[Column1]" caption="Column1" attribute="1" defaultMemberUniqueName="[Table001  Page 1].[Column1].[All]" allUniqueName="[Table001  Page 1].[Column1].[All]" dimensionUniqueName="[Table001  Page 1]" displayFolder="" count="0" memberValueDatatype="130" unbalanced="0"/>
    <cacheHierarchy uniqueName="[Table002  Page 3].[Column1]" caption="Column1" attribute="1" defaultMemberUniqueName="[Table002  Page 3].[Column1].[All]" allUniqueName="[Table002  Page 3].[Column1].[All]" dimensionUniqueName="[Table002  Page 3]" displayFolder="" count="0" memberValueDatatype="130" unbalanced="0"/>
    <cacheHierarchy uniqueName="[Table002  Page 3].[Column2]" caption="Column2" attribute="1" defaultMemberUniqueName="[Table002  Page 3].[Column2].[All]" allUniqueName="[Table002  Page 3].[Column2].[All]" dimensionUniqueName="[Table002  Page 3]" displayFolder="" count="0" memberValueDatatype="130" unbalanced="0"/>
    <cacheHierarchy uniqueName="[Table004  Page 3].[Column1]" caption="Column1" attribute="1" defaultMemberUniqueName="[Table004  Page 3].[Column1].[All]" allUniqueName="[Table004  Page 3].[Column1].[All]" dimensionUniqueName="[Table004  Page 3]" displayFolder="" count="0" memberValueDatatype="130" unbalanced="0"/>
    <cacheHierarchy uniqueName="[Table004  Page 3].[Column2]" caption="Column2" attribute="1" defaultMemberUniqueName="[Table004  Page 3].[Column2].[All]" allUniqueName="[Table004  Page 3].[Column2].[All]" dimensionUniqueName="[Table004  Page 3]" displayFolder="" count="0" memberValueDatatype="130" unbalanced="0"/>
    <cacheHierarchy uniqueName="[truckzone].[PZAS]" caption="PZAS" attribute="1" defaultMemberUniqueName="[truckzone].[PZAS].[All]" allUniqueName="[truckzone].[PZAS].[All]" dimensionUniqueName="[truckzone]" displayFolder="" count="0" memberValueDatatype="5" unbalanced="0"/>
    <cacheHierarchy uniqueName="[truckzone].[TIPO]" caption="TIPO" attribute="1" defaultMemberUniqueName="[truckzone].[TIPO].[All]" allUniqueName="[truckzone].[TIPO].[All]" dimensionUniqueName="[truckzone]" displayFolder="" count="0" memberValueDatatype="130" unbalanced="0"/>
    <cacheHierarchy uniqueName="[truckzone].[NOMBRE]" caption="NOMBRE" attribute="1" defaultMemberUniqueName="[truckzone].[NOMBRE].[All]" allUniqueName="[truckzone].[NOMBRE].[All]" dimensionUniqueName="[truckzone]" displayFolder="" count="0" memberValueDatatype="130" unbalanced="0"/>
    <cacheHierarchy uniqueName="[truckzone].[MATERIAL / ACCESORIO]" caption="MATERIAL / ACCESORIO" attribute="1" defaultMemberUniqueName="[truckzone].[MATERIAL / ACCESORIO].[All]" allUniqueName="[truckzone].[MATERIAL / ACCESORIO].[All]" dimensionUniqueName="[truckzone]" displayFolder="" count="0" memberValueDatatype="130" unbalanced="0"/>
    <cacheHierarchy uniqueName="[truckzone].[PRECIO $ C/U]" caption="PRECIO $ C/U" attribute="1" defaultMemberUniqueName="[truckzone].[PRECIO $ C/U].[All]" allUniqueName="[truckzone].[PRECIO $ C/U].[All]" dimensionUniqueName="[truckzone]" displayFolder="" count="0" memberValueDatatype="5" unbalanced="0"/>
    <cacheHierarchy uniqueName="[truckzone].[IMP POR POYECTO]" caption="IMP POR POYECTO" attribute="1" defaultMemberUniqueName="[truckzone].[IMP POR POYECTO].[All]" allUniqueName="[truckzone].[IMP POR POYECTO].[All]" dimensionUniqueName="[truckzone]" displayFolder="" count="0" memberValueDatatype="5" unbalanced="0"/>
    <cacheHierarchy uniqueName="[truckzone].[NUM. DE EJES]" caption="NUM. DE EJES" attribute="1" defaultMemberUniqueName="[truckzone].[NUM. DE EJES].[All]" allUniqueName="[truckzone].[NUM. DE EJES].[All]" dimensionUniqueName="[truckzone]" displayFolder="" count="0" memberValueDatatype="20" unbalanced="0"/>
    <cacheHierarchy uniqueName="[truckzone].[LARGO]" caption="LARGO" attribute="1" defaultMemberUniqueName="[truckzone].[LARGO].[All]" allUniqueName="[truckzone].[LARGO].[All]" dimensionUniqueName="[truckzone]" displayFolder="" count="0" memberValueDatatype="130" unbalanced="0"/>
    <cacheHierarchy uniqueName="[truckzone].[CLASE]" caption="CLASE" attribute="1" defaultMemberUniqueName="[truckzone].[CLASE].[All]" allUniqueName="[truckzone].[CLASE].[All]" dimensionUniqueName="[truckzone]" displayFolder="" count="0" memberValueDatatype="130" unbalanced="0"/>
    <cacheHierarchy uniqueName="[truckzone].[OBSERVACION]" caption="OBSERVACION" attribute="1" defaultMemberUniqueName="[truckzone].[OBSERVACION].[All]" allUniqueName="[truckzone].[OBSERVACION].[All]" dimensionUniqueName="[truckzone]" displayFolder="" count="0" memberValueDatatype="130" unbalanced="0"/>
    <cacheHierarchy uniqueName="[CHASIS].[FECHE/ENTRGA (índice de meses)]" caption="FECHE/ENTRGA (índice de meses)" attribute="1" defaultMemberUniqueName="[CHASIS].[FECHE/ENTRGA (índice de meses)].[All]" allUniqueName="[CHASIS].[FECHE/ENTRGA (índice de meses)].[All]" dimensionUniqueName="[CHASIS]" displayFolder="" count="0" memberValueDatatype="20" unbalanced="0" hidden="1"/>
    <cacheHierarchy uniqueName="[Measures].[__XL_Count extras]" caption="__XL_Count extras" measure="1" displayFolder="" measureGroup="extras" count="0" hidden="1"/>
    <cacheHierarchy uniqueName="[Measures].[__XL_Count otros]" caption="__XL_Count otros" measure="1" displayFolder="" measureGroup="otros" count="0" hidden="1"/>
    <cacheHierarchy uniqueName="[Measures].[__XL_Count piramide]" caption="__XL_Count piramide" measure="1" displayFolder="" measureGroup="piramide" count="0" hidden="1"/>
    <cacheHierarchy uniqueName="[Measures].[__XL_Count truckzone]" caption="__XL_Count truckzone" measure="1" displayFolder="" measureGroup="truckzone" count="0" hidden="1"/>
    <cacheHierarchy uniqueName="[Measures].[__XL_Count Tabla24]" caption="__XL_Count Tabla24" measure="1" displayFolder="" measureGroup="Tabla24" count="0" hidden="1"/>
    <cacheHierarchy uniqueName="[Measures].[__XL_Count ACERO 1]" caption="__XL_Count ACERO 1" measure="1" displayFolder="" measureGroup="ACERO 1" count="0" hidden="1"/>
    <cacheHierarchy uniqueName="[Measures].[__XL_Count Table001  Page 1]" caption="__XL_Count Table001  Page 1" measure="1" displayFolder="" measureGroup="Table001  Page 1" count="0" hidden="1"/>
    <cacheHierarchy uniqueName="[Measures].[__XL_Count Table002  Page 3]" caption="__XL_Count Table002  Page 3" measure="1" displayFolder="" measureGroup="Table002  Page 3" count="0" hidden="1"/>
    <cacheHierarchy uniqueName="[Measures].[__XL_Count Table004  Page 3]" caption="__XL_Count Table004  Page 3" measure="1" displayFolder="" measureGroup="Table004  Page 3" count="0" hidden="1"/>
    <cacheHierarchy uniqueName="[Measures].[__XL_Count Page001]" caption="__XL_Count Page001" measure="1" displayFolder="" measureGroup="Page001" count="0" hidden="1"/>
    <cacheHierarchy uniqueName="[Measures].[__XL_Count Page003]" caption="__XL_Count Page003" measure="1" displayFolder="" measureGroup="Page003" count="0" hidden="1"/>
    <cacheHierarchy uniqueName="[Measures].[__XL_Count Page002]" caption="__XL_Count Page002" measure="1" displayFolder="" measureGroup="Page002" count="0" hidden="1"/>
    <cacheHierarchy uniqueName="[Measures].[__XL_Count CHASIS]" caption="__XL_Count CHASIS" measure="1" displayFolder="" measureGroup="CHASIS" count="0" hidden="1"/>
    <cacheHierarchy uniqueName="[Measures].[__XL_Count clientes]" caption="__XL_Count clientes" measure="1" displayFolder="" measureGroup="clientes" count="0" hidden="1"/>
    <cacheHierarchy uniqueName="[Measures].[__No measures defined]" caption="__No measures defined" measure="1" displayFolder="" count="0" hidden="1"/>
    <cacheHierarchy uniqueName="[Measures].[Suma de IMP POR POYECTO 3]" caption="Suma de IMP POR POYECTO 3" measure="1" displayFolder="" measureGroup="otros" count="0" hidden="1">
      <extLst>
        <ext xmlns:x15="http://schemas.microsoft.com/office/spreadsheetml/2010/11/main" uri="{B97F6D7D-B522-45F9-BDA1-12C45D357490}">
          <x15:cacheHierarchy aggregatedColumn="44"/>
        </ext>
      </extLst>
    </cacheHierarchy>
    <cacheHierarchy uniqueName="[Measures].[Suma de IMP POR POYECTO 4]" caption="Suma de IMP POR POYECTO 4" measure="1" displayFolder="" measureGroup="piramide" count="0" hidden="1">
      <extLst>
        <ext xmlns:x15="http://schemas.microsoft.com/office/spreadsheetml/2010/11/main" uri="{B97F6D7D-B522-45F9-BDA1-12C45D357490}">
          <x15:cacheHierarchy aggregatedColumn="66"/>
        </ext>
      </extLst>
    </cacheHierarchy>
    <cacheHierarchy uniqueName="[Measures].[Suma de IMP POR POYECTO 5]" caption="Suma de IMP POR POYECTO 5" measure="1" displayFolder="" measureGroup="extras" count="0" hidden="1">
      <extLst>
        <ext xmlns:x15="http://schemas.microsoft.com/office/spreadsheetml/2010/11/main" uri="{B97F6D7D-B522-45F9-BDA1-12C45D357490}">
          <x15:cacheHierarchy aggregatedColumn="35"/>
        </ext>
      </extLst>
    </cacheHierarchy>
    <cacheHierarchy uniqueName="[Measures].[Suma de IMP POR POYECTO 6]" caption="Suma de IMP POR POYECTO 6" measure="1" displayFolder="" measureGroup="truckzone" count="0" hidden="1">
      <extLst>
        <ext xmlns:x15="http://schemas.microsoft.com/office/spreadsheetml/2010/11/main" uri="{B97F6D7D-B522-45F9-BDA1-12C45D357490}">
          <x15:cacheHierarchy aggregatedColumn="94"/>
        </ext>
      </extLst>
    </cacheHierarchy>
    <cacheHierarchy uniqueName="[Measures].[Suma de PZAS 2]" caption="Suma de PZAS 2" measure="1" displayFolder="" measureGroup="otros" count="0" hidden="1">
      <extLst>
        <ext xmlns:x15="http://schemas.microsoft.com/office/spreadsheetml/2010/11/main" uri="{B97F6D7D-B522-45F9-BDA1-12C45D357490}">
          <x15:cacheHierarchy aggregatedColumn="39"/>
        </ext>
      </extLst>
    </cacheHierarchy>
    <cacheHierarchy uniqueName="[Measures].[Suma de PZAS 3]" caption="Suma de PZAS 3" measure="1" displayFolder="" measureGroup="extras" count="0" hidden="1">
      <extLst>
        <ext xmlns:x15="http://schemas.microsoft.com/office/spreadsheetml/2010/11/main" uri="{B97F6D7D-B522-45F9-BDA1-12C45D357490}">
          <x15:cacheHierarchy aggregatedColumn="29"/>
        </ext>
      </extLst>
    </cacheHierarchy>
    <cacheHierarchy uniqueName="[Measures].[Suma de PZAS 4]" caption="Suma de PZAS 4" measure="1" displayFolder="" measureGroup="piramide" count="0" hidden="1">
      <extLst>
        <ext xmlns:x15="http://schemas.microsoft.com/office/spreadsheetml/2010/11/main" uri="{B97F6D7D-B522-45F9-BDA1-12C45D357490}">
          <x15:cacheHierarchy aggregatedColumn="61"/>
        </ext>
      </extLst>
    </cacheHierarchy>
    <cacheHierarchy uniqueName="[Measures].[Suma de PZAS 5]" caption="Suma de PZAS 5" measure="1" displayFolder="" measureGroup="truckzone" count="0" hidden="1">
      <extLst>
        <ext xmlns:x15="http://schemas.microsoft.com/office/spreadsheetml/2010/11/main" uri="{B97F6D7D-B522-45F9-BDA1-12C45D357490}">
          <x15:cacheHierarchy aggregatedColumn="89"/>
        </ext>
      </extLst>
    </cacheHierarchy>
    <cacheHierarchy uniqueName="[Measures].[Suma de IMP POR POYECTO]" caption="Suma de IMP POR POYECTO" measure="1" displayFolder="" measureGroup="ACERO 1" count="0" hidden="1">
      <extLst>
        <ext xmlns:x15="http://schemas.microsoft.com/office/spreadsheetml/2010/11/main" uri="{B97F6D7D-B522-45F9-BDA1-12C45D357490}">
          <x15:cacheHierarchy aggregatedColumn="5"/>
        </ext>
      </extLst>
    </cacheHierarchy>
    <cacheHierarchy uniqueName="[Measures].[Suma de PZAS 6]" caption="Suma de PZAS 6" measure="1" displayFolder="" measureGroup="ACERO 1" count="0" hidden="1">
      <extLst>
        <ext xmlns:x15="http://schemas.microsoft.com/office/spreadsheetml/2010/11/main" uri="{B97F6D7D-B522-45F9-BDA1-12C45D357490}">
          <x15:cacheHierarchy aggregatedColumn="0"/>
        </ext>
      </extLst>
    </cacheHierarchy>
    <cacheHierarchy uniqueName="[Measures].[Recuento de MATERIAL / ACCESORIO]" caption="Recuento de MATERIAL / ACCESORIO" measure="1" displayFolder="" measureGroup="extras" count="0" hidden="1">
      <extLst>
        <ext xmlns:x15="http://schemas.microsoft.com/office/spreadsheetml/2010/11/main" uri="{B97F6D7D-B522-45F9-BDA1-12C45D357490}">
          <x15:cacheHierarchy aggregatedColumn="32"/>
        </ext>
      </extLst>
    </cacheHierarchy>
    <cacheHierarchy uniqueName="[Measures].[Recuento de TIPO]" caption="Recuento de TIPO" measure="1" displayFolder="" measureGroup="extras" count="0" hidden="1">
      <extLst>
        <ext xmlns:x15="http://schemas.microsoft.com/office/spreadsheetml/2010/11/main" uri="{B97F6D7D-B522-45F9-BDA1-12C45D357490}">
          <x15:cacheHierarchy aggregatedColumn="30"/>
        </ext>
      </extLst>
    </cacheHierarchy>
    <cacheHierarchy uniqueName="[Measures].[Suma de PAGO]" caption="Suma de PAGO" measure="1" displayFolder="" measureGroup="CHASIS" count="0" hidden="1">
      <extLst>
        <ext xmlns:x15="http://schemas.microsoft.com/office/spreadsheetml/2010/11/main" uri="{B97F6D7D-B522-45F9-BDA1-12C45D357490}">
          <x15:cacheHierarchy aggregatedColumn="14"/>
        </ext>
      </extLst>
    </cacheHierarchy>
    <cacheHierarchy uniqueName="[Measures].[Suma de P/U]" caption="Suma de P/U" measure="1" displayFolder="" measureGroup="CHASIS" count="0" hidden="1">
      <extLst>
        <ext xmlns:x15="http://schemas.microsoft.com/office/spreadsheetml/2010/11/main" uri="{B97F6D7D-B522-45F9-BDA1-12C45D357490}">
          <x15:cacheHierarchy aggregatedColumn="13"/>
        </ext>
      </extLst>
    </cacheHierarchy>
    <cacheHierarchy uniqueName="[Measures].[Suma de ADEUDO]" caption="Suma de ADEUDO" measure="1" displayFolder="" measureGroup="CHASIS" count="0" hidden="1">
      <extLst>
        <ext xmlns:x15="http://schemas.microsoft.com/office/spreadsheetml/2010/11/main" uri="{B97F6D7D-B522-45F9-BDA1-12C45D357490}">
          <x15:cacheHierarchy aggregatedColumn="15"/>
        </ext>
      </extLst>
    </cacheHierarchy>
  </cacheHierarchies>
  <kpis count="0"/>
  <dimensions count="15">
    <dimension name="ACERO 1" uniqueName="[ACERO 1]" caption="ACERO 1"/>
    <dimension name="CHASIS" uniqueName="[CHASIS]" caption="CHASIS"/>
    <dimension name="clientes" uniqueName="[clientes]" caption="clientes"/>
    <dimension name="extras" uniqueName="[extras]" caption="extras"/>
    <dimension measure="1" name="Measures" uniqueName="[Measures]" caption="Measures"/>
    <dimension name="otros" uniqueName="[otros]" caption="otros"/>
    <dimension name="Page001" uniqueName="[Page001]" caption="Page001"/>
    <dimension name="Page002" uniqueName="[Page002]" caption="Page002"/>
    <dimension name="Page003" uniqueName="[Page003]" caption="Page003"/>
    <dimension name="piramide" uniqueName="[piramide]" caption="piramide"/>
    <dimension name="Tabla24" uniqueName="[Tabla24]" caption="Tabla24"/>
    <dimension name="Table001  Page 1" uniqueName="[Table001  Page 1]" caption="Table001  Page 1"/>
    <dimension name="Table002  Page 3" uniqueName="[Table002  Page 3]" caption="Table002  Page 3"/>
    <dimension name="Table004  Page 3" uniqueName="[Table004  Page 3]" caption="Table004  Page 3"/>
    <dimension name="truckzone" uniqueName="[truckzone]" caption="truckzone"/>
  </dimensions>
  <measureGroups count="14">
    <measureGroup name="ACERO 1" caption="ACERO 1"/>
    <measureGroup name="CHASIS" caption="CHASIS"/>
    <measureGroup name="clientes" caption="clientes"/>
    <measureGroup name="extras" caption="extras"/>
    <measureGroup name="otros" caption="otros"/>
    <measureGroup name="Page001" caption="Page001"/>
    <measureGroup name="Page002" caption="Page002"/>
    <measureGroup name="Page003" caption="Page003"/>
    <measureGroup name="piramide" caption="piramide"/>
    <measureGroup name="Tabla24" caption="Tabla24"/>
    <measureGroup name="Table001  Page 1" caption="Table001  Page 1"/>
    <measureGroup name="Table002  Page 3" caption="Table002  Page 3"/>
    <measureGroup name="Table004  Page 3" caption="Table004  Page 3"/>
    <measureGroup name="truckzone" caption="truckzone"/>
  </measureGroups>
  <maps count="19">
    <map measureGroup="0" dimension="0"/>
    <map measureGroup="0" dimension="10"/>
    <map measureGroup="1" dimension="1"/>
    <map measureGroup="2" dimension="2"/>
    <map measureGroup="3" dimension="3"/>
    <map measureGroup="3" dimension="10"/>
    <map measureGroup="4" dimension="5"/>
    <map measureGroup="4" dimension="10"/>
    <map measureGroup="5" dimension="6"/>
    <map measureGroup="6" dimension="7"/>
    <map measureGroup="7" dimension="8"/>
    <map measureGroup="8" dimension="9"/>
    <map measureGroup="8" dimension="10"/>
    <map measureGroup="9" dimension="10"/>
    <map measureGroup="10" dimension="11"/>
    <map measureGroup="11" dimension="12"/>
    <map measureGroup="12" dimension="13"/>
    <map measureGroup="13" dimension="10"/>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lda" refreshedDate="46287.654465509258" backgroundQuery="1" createdVersion="8" refreshedVersion="8" minRefreshableVersion="3" recordCount="0" supportSubquery="1" supportAdvancedDrill="1" xr:uid="{2109E089-555F-43FF-B4B8-3E305E66B472}">
  <cacheSource type="external" connectionId="8"/>
  <cacheFields count="1">
    <cacheField name="[Tabla24].[NOMBRE].[NOMBRE]" caption="NOMBRE" numFmtId="0" hierarchy="71" level="1">
      <sharedItems containsSemiMixedTypes="0" containsNonDate="0" containsString="0"/>
    </cacheField>
  </cacheFields>
  <cacheHierarchies count="130">
    <cacheHierarchy uniqueName="[ACERO 1].[PZAS]" caption="PZAS" attribute="1" defaultMemberUniqueName="[ACERO 1].[PZAS].[All]" allUniqueName="[ACERO 1].[PZAS].[All]" dimensionUniqueName="[ACERO 1]" displayFolder="" count="0" memberValueDatatype="5" unbalanced="0"/>
    <cacheHierarchy uniqueName="[ACERO 1].[TIPO]" caption="TIPO" attribute="1" defaultMemberUniqueName="[ACERO 1].[TIPO].[All]" allUniqueName="[ACERO 1].[TIPO].[All]" dimensionUniqueName="[ACERO 1]" displayFolder="" count="0" memberValueDatatype="130" unbalanced="0"/>
    <cacheHierarchy uniqueName="[ACERO 1].[NOMBRE]" caption="NOMBRE" attribute="1" defaultMemberUniqueName="[ACERO 1].[NOMBRE].[All]" allUniqueName="[ACERO 1].[NOMBRE].[All]" dimensionUniqueName="[ACERO 1]" displayFolder="" count="0" memberValueDatatype="130" unbalanced="0"/>
    <cacheHierarchy uniqueName="[ACERO 1].[MATERIAL / ACCESORIO]" caption="MATERIAL / ACCESORIO" attribute="1" defaultMemberUniqueName="[ACERO 1].[MATERIAL / ACCESORIO].[All]" allUniqueName="[ACERO 1].[MATERIAL / ACCESORIO].[All]" dimensionUniqueName="[ACERO 1]" displayFolder="" count="0" memberValueDatatype="130" unbalanced="0"/>
    <cacheHierarchy uniqueName="[ACERO 1].[PRECIO $ C/U]" caption="PRECIO $ C/U" attribute="1" defaultMemberUniqueName="[ACERO 1].[PRECIO $ C/U].[All]" allUniqueName="[ACERO 1].[PRECIO $ C/U].[All]" dimensionUniqueName="[ACERO 1]" displayFolder="" count="0" memberValueDatatype="5" unbalanced="0"/>
    <cacheHierarchy uniqueName="[ACERO 1].[IMP POR POYECTO]" caption="IMP POR POYECTO" attribute="1" defaultMemberUniqueName="[ACERO 1].[IMP POR POYECTO].[All]" allUniqueName="[ACERO 1].[IMP POR POYECTO].[All]" dimensionUniqueName="[ACERO 1]" displayFolder="" count="0" memberValueDatatype="5" unbalanced="0"/>
    <cacheHierarchy uniqueName="[ACERO 1].[NUM. DE EJES]" caption="NUM. DE EJES" attribute="1" defaultMemberUniqueName="[ACERO 1].[NUM. DE EJES].[All]" allUniqueName="[ACERO 1].[NUM. DE EJES].[All]" dimensionUniqueName="[ACERO 1]" displayFolder="" count="0" memberValueDatatype="20" unbalanced="0"/>
    <cacheHierarchy uniqueName="[ACERO 1].[LARGO]" caption="LARGO" attribute="1" defaultMemberUniqueName="[ACERO 1].[LARGO].[All]" allUniqueName="[ACERO 1].[LARGO].[All]" dimensionUniqueName="[ACERO 1]" displayFolder="" count="0" memberValueDatatype="130" unbalanced="0"/>
    <cacheHierarchy uniqueName="[ACERO 1].[CLASE]" caption="CLASE" attribute="1" defaultMemberUniqueName="[ACERO 1].[CLASE].[All]" allUniqueName="[ACERO 1].[CLASE].[All]" dimensionUniqueName="[ACERO 1]" displayFolder="" count="0" memberValueDatatype="130" unbalanced="0"/>
    <cacheHierarchy uniqueName="[ACERO 1].[OBSERVACION]" caption="OBSERVACION" attribute="1" defaultMemberUniqueName="[ACERO 1].[OBSERVACION].[All]" allUniqueName="[ACERO 1].[OBSERVACION].[All]" dimensionUniqueName="[ACERO 1]" displayFolder="" count="0" memberValueDatatype="130" unbalanced="0"/>
    <cacheHierarchy uniqueName="[CHASIS].[CLIENTE]" caption="CLIENTE" attribute="1" defaultMemberUniqueName="[CHASIS].[CLIENTE].[All]" allUniqueName="[CHASIS].[CLIENTE].[All]" dimensionUniqueName="[CHASIS]" displayFolder="" count="0" memberValueDatatype="130" unbalanced="0"/>
    <cacheHierarchy uniqueName="[CHASIS].[CHASIS]" caption="CHASIS" attribute="1" defaultMemberUniqueName="[CHASIS].[CHASIS].[All]" allUniqueName="[CHASIS].[CHASIS].[All]" dimensionUniqueName="[CHASIS]" displayFolder="" count="0" memberValueDatatype="130" unbalanced="0"/>
    <cacheHierarchy uniqueName="[CHASIS].[AÑO MODELO]" caption="AÑO MODELO" attribute="1" defaultMemberUniqueName="[CHASIS].[AÑO MODELO].[All]" allUniqueName="[CHASIS].[AÑO MODELO].[All]" dimensionUniqueName="[CHASIS]" displayFolder="" count="0" memberValueDatatype="20" unbalanced="0"/>
    <cacheHierarchy uniqueName="[CHASIS].[P/U]" caption="P/U" attribute="1" defaultMemberUniqueName="[CHASIS].[P/U].[All]" allUniqueName="[CHASIS].[P/U].[All]" dimensionUniqueName="[CHASIS]" displayFolder="" count="0" memberValueDatatype="20" unbalanced="0"/>
    <cacheHierarchy uniqueName="[CHASIS].[PAGO]" caption="PAGO" attribute="1" defaultMemberUniqueName="[CHASIS].[PAGO].[All]" allUniqueName="[CHASIS].[PAGO].[All]" dimensionUniqueName="[CHASIS]" displayFolder="" count="0" memberValueDatatype="20" unbalanced="0"/>
    <cacheHierarchy uniqueName="[CHASIS].[ADEUDO]" caption="ADEUDO" attribute="1" defaultMemberUniqueName="[CHASIS].[ADEUDO].[All]" allUniqueName="[CHASIS].[ADEUDO].[All]" dimensionUniqueName="[CHASIS]" displayFolder="" count="0" memberValueDatatype="20" unbalanced="0"/>
    <cacheHierarchy uniqueName="[CHASIS].[FACTURA]" caption="FACTURA" attribute="1" defaultMemberUniqueName="[CHASIS].[FACTURA].[All]" allUniqueName="[CHASIS].[FACTURA].[All]" dimensionUniqueName="[CHASIS]" displayFolder="" count="0" memberValueDatatype="130" unbalanced="0"/>
    <cacheHierarchy uniqueName="[CHASIS].[FECHE/ENTRGA]" caption="FECHE/ENTRGA" attribute="1" time="1" defaultMemberUniqueName="[CHASIS].[FECHE/ENTRGA].[All]" allUniqueName="[CHASIS].[FECHE/ENTRGA].[All]" dimensionUniqueName="[CHASIS]" displayFolder="" count="0" memberValueDatatype="7" unbalanced="0"/>
    <cacheHierarchy uniqueName="[CHASIS].[PAGADO]" caption="PAGADO" attribute="1" defaultMemberUniqueName="[CHASIS].[PAGADO].[All]" allUniqueName="[CHASIS].[PAGADO].[All]" dimensionUniqueName="[CHASIS]" displayFolder="" count="0" memberValueDatatype="130" unbalanced="0"/>
    <cacheHierarchy uniqueName="[CHASIS].[EQUI. ENTREGADOS]" caption="EQUI. ENTREGADOS" attribute="1" defaultMemberUniqueName="[CHASIS].[EQUI. ENTREGADOS].[All]" allUniqueName="[CHASIS].[EQUI. ENTREGADOS].[All]" dimensionUniqueName="[CHASIS]" displayFolder="" count="0" memberValueDatatype="130" unbalanced="0"/>
    <cacheHierarchy uniqueName="[CHASIS].[FECHE/ENTRGA (mes)]" caption="FECHE/ENTRGA (mes)" attribute="1" defaultMemberUniqueName="[CHASIS].[FECHE/ENTRGA (mes)].[All]" allUniqueName="[CHASIS].[FECHE/ENTRGA (mes)].[All]" dimensionUniqueName="[CHASIS]" displayFolder="" count="0" memberValueDatatype="130" unbalanced="0"/>
    <cacheHierarchy uniqueName="[clientes].[CLIENTE]" caption="CLIENTE" attribute="1" defaultMemberUniqueName="[clientes].[CLIENTE].[All]" allUniqueName="[clientes].[CLIENTE].[All]" dimensionUniqueName="[clientes]" displayFolder="" count="0" memberValueDatatype="130" unbalanced="0"/>
    <cacheHierarchy uniqueName="[clientes].[R. F. C.]" caption="R. F. C." attribute="1" defaultMemberUniqueName="[clientes].[R. F. C.].[All]" allUniqueName="[clientes].[R. F. C.].[All]" dimensionUniqueName="[clientes]" displayFolder="" count="0" memberValueDatatype="130" unbalanced="0"/>
    <cacheHierarchy uniqueName="[clientes].[EMPRESA]" caption="EMPRESA" attribute="1" defaultMemberUniqueName="[clientes].[EMPRESA].[All]" allUniqueName="[clientes].[EMPRESA].[All]" dimensionUniqueName="[clientes]" displayFolder="" count="0" memberValueDatatype="130" unbalanced="0"/>
    <cacheHierarchy uniqueName="[clientes].[CALLE, No., COLONIA]" caption="CALLE, No., COLONIA" attribute="1" defaultMemberUniqueName="[clientes].[CALLE, No., COLONIA].[All]" allUniqueName="[clientes].[CALLE, No., COLONIA].[All]" dimensionUniqueName="[clientes]" displayFolder="" count="0" memberValueDatatype="130" unbalanced="0"/>
    <cacheHierarchy uniqueName="[clientes].[MUNICIPIO, ESTADO, PAIS.]" caption="MUNICIPIO, ESTADO, PAIS." attribute="1" defaultMemberUniqueName="[clientes].[MUNICIPIO, ESTADO, PAIS.].[All]" allUniqueName="[clientes].[MUNICIPIO, ESTADO, PAIS.].[All]" dimensionUniqueName="[clientes]" displayFolder="" count="0" memberValueDatatype="130" unbalanced="0"/>
    <cacheHierarchy uniqueName="[clientes].[C.P.]" caption="C.P." attribute="1" defaultMemberUniqueName="[clientes].[C.P.].[All]" allUniqueName="[clientes].[C.P.].[All]" dimensionUniqueName="[clientes]" displayFolder="" count="0" memberValueDatatype="130" unbalanced="0"/>
    <cacheHierarchy uniqueName="[clientes].[TEL/CEL]" caption="TEL/CEL" attribute="1" defaultMemberUniqueName="[clientes].[TEL/CEL].[All]" allUniqueName="[clientes].[TEL/CEL].[All]" dimensionUniqueName="[clientes]" displayFolder="" count="0" memberValueDatatype="130" unbalanced="0"/>
    <cacheHierarchy uniqueName="[clientes].[CORREO]" caption="CORREO" attribute="1" defaultMemberUniqueName="[clientes].[CORREO].[All]" allUniqueName="[clientes].[CORREO].[All]" dimensionUniqueName="[clientes]" displayFolder="" count="0" memberValueDatatype="130" unbalanced="0"/>
    <cacheHierarchy uniqueName="[extras].[PZAS]" caption="PZAS" attribute="1" defaultMemberUniqueName="[extras].[PZAS].[All]" allUniqueName="[extras].[PZAS].[All]" dimensionUniqueName="[extras]" displayFolder="" count="0" memberValueDatatype="20" unbalanced="0"/>
    <cacheHierarchy uniqueName="[extras].[TIPO]" caption="TIPO" attribute="1" defaultMemberUniqueName="[extras].[TIPO].[All]" allUniqueName="[extras].[TIPO].[All]" dimensionUniqueName="[extras]" displayFolder="" count="0" memberValueDatatype="130" unbalanced="0"/>
    <cacheHierarchy uniqueName="[extras].[NOMBRE]" caption="NOMBRE" attribute="1" defaultMemberUniqueName="[extras].[NOMBRE].[All]" allUniqueName="[extras].[NOMBRE].[All]" dimensionUniqueName="[extras]" displayFolder="" count="0" memberValueDatatype="130" unbalanced="0"/>
    <cacheHierarchy uniqueName="[extras].[MATERIAL / ACCESORIO]" caption="MATERIAL / ACCESORIO" attribute="1" defaultMemberUniqueName="[extras].[MATERIAL / ACCESORIO].[All]" allUniqueName="[extras].[MATERIAL / ACCESORIO].[All]" dimensionUniqueName="[extras]" displayFolder="" count="0" memberValueDatatype="130" unbalanced="0"/>
    <cacheHierarchy uniqueName="[extras].[CLASE]" caption="CLASE" attribute="1" defaultMemberUniqueName="[extras].[CLASE].[All]" allUniqueName="[extras].[CLASE].[All]" dimensionUniqueName="[extras]" displayFolder="" count="0" memberValueDatatype="130" unbalanced="0"/>
    <cacheHierarchy uniqueName="[extras].[PRECIO $ C/U]" caption="PRECIO $ C/U" attribute="1" defaultMemberUniqueName="[extras].[PRECIO $ C/U].[All]" allUniqueName="[extras].[PRECIO $ C/U].[All]" dimensionUniqueName="[extras]" displayFolder="" count="0" memberValueDatatype="20" unbalanced="0"/>
    <cacheHierarchy uniqueName="[extras].[IMP POR POYECTO]" caption="IMP POR POYECTO" attribute="1" defaultMemberUniqueName="[extras].[IMP POR POYECTO].[All]" allUniqueName="[extras].[IMP POR POYECTO].[All]" dimensionUniqueName="[extras]" displayFolder="" count="0" memberValueDatatype="20" unbalanced="0"/>
    <cacheHierarchy uniqueName="[extras].[NUM. DE EJES]" caption="NUM. DE EJES" attribute="1" defaultMemberUniqueName="[extras].[NUM. DE EJES].[All]" allUniqueName="[extras].[NUM. DE EJES].[All]" dimensionUniqueName="[extras]" displayFolder="" count="0" memberValueDatatype="20" unbalanced="0"/>
    <cacheHierarchy uniqueName="[extras].[LARGO]" caption="LARGO" attribute="1" defaultMemberUniqueName="[extras].[LARGO].[All]" allUniqueName="[extras].[LARGO].[All]" dimensionUniqueName="[extras]" displayFolder="" count="0" memberValueDatatype="130" unbalanced="0"/>
    <cacheHierarchy uniqueName="[extras].[OBSERVACION]" caption="OBSERVACION" attribute="1" defaultMemberUniqueName="[extras].[OBSERVACION].[All]" allUniqueName="[extras].[OBSERVACION].[All]" dimensionUniqueName="[extras]" displayFolder="" count="0" memberValueDatatype="130" unbalanced="0"/>
    <cacheHierarchy uniqueName="[otros].[PZAS]" caption="PZAS" attribute="1" defaultMemberUniqueName="[otros].[PZAS].[All]" allUniqueName="[otros].[PZAS].[All]" dimensionUniqueName="[otros]" displayFolder="" count="0" memberValueDatatype="5" unbalanced="0"/>
    <cacheHierarchy uniqueName="[otros].[TIPO]" caption="TIPO" attribute="1" defaultMemberUniqueName="[otros].[TIPO].[All]" allUniqueName="[otros].[TIPO].[All]" dimensionUniqueName="[otros]" displayFolder="" count="0" memberValueDatatype="130" unbalanced="0"/>
    <cacheHierarchy uniqueName="[otros].[NOMBRE]" caption="NOMBRE" attribute="1" defaultMemberUniqueName="[otros].[NOMBRE].[All]" allUniqueName="[otros].[NOMBRE].[All]" dimensionUniqueName="[otros]" displayFolder="" count="0" memberValueDatatype="130" unbalanced="0"/>
    <cacheHierarchy uniqueName="[otros].[MATERIAL / ACCESORIO]" caption="MATERIAL / ACCESORIO" attribute="1" defaultMemberUniqueName="[otros].[MATERIAL / ACCESORIO].[All]" allUniqueName="[otros].[MATERIAL / ACCESORIO].[All]" dimensionUniqueName="[otros]" displayFolder="" count="0" memberValueDatatype="130" unbalanced="0"/>
    <cacheHierarchy uniqueName="[otros].[PRECIO $ C/U]" caption="PRECIO $ C/U" attribute="1" defaultMemberUniqueName="[otros].[PRECIO $ C/U].[All]" allUniqueName="[otros].[PRECIO $ C/U].[All]" dimensionUniqueName="[otros]" displayFolder="" count="0" memberValueDatatype="20" unbalanced="0"/>
    <cacheHierarchy uniqueName="[otros].[IMP POR POYECTO]" caption="IMP POR POYECTO" attribute="1" defaultMemberUniqueName="[otros].[IMP POR POYECTO].[All]" allUniqueName="[otros].[IMP POR POYECTO].[All]" dimensionUniqueName="[otros]" displayFolder="" count="0" memberValueDatatype="5" unbalanced="0"/>
    <cacheHierarchy uniqueName="[otros].[NUM. DE EJES]" caption="NUM. DE EJES" attribute="1" defaultMemberUniqueName="[otros].[NUM. DE EJES].[All]" allUniqueName="[otros].[NUM. DE EJES].[All]" dimensionUniqueName="[otros]" displayFolder="" count="0" memberValueDatatype="20" unbalanced="0"/>
    <cacheHierarchy uniqueName="[otros].[LARGO]" caption="LARGO" attribute="1" defaultMemberUniqueName="[otros].[LARGO].[All]" allUniqueName="[otros].[LARGO].[All]" dimensionUniqueName="[otros]" displayFolder="" count="0" memberValueDatatype="130" unbalanced="0"/>
    <cacheHierarchy uniqueName="[otros].[CLASE]" caption="CLASE" attribute="1" defaultMemberUniqueName="[otros].[CLASE].[All]" allUniqueName="[otros].[CLASE].[All]" dimensionUniqueName="[otros]" displayFolder="" count="0" memberValueDatatype="130" unbalanced="0"/>
    <cacheHierarchy uniqueName="[otros].[OBSERVACION]" caption="OBSERVACION" attribute="1" defaultMemberUniqueName="[otros].[OBSERVACION].[All]" allUniqueName="[otros].[OBSERVACION].[All]" dimensionUniqueName="[otros]" displayFolder="" count="0" memberValueDatatype="130" unbalanced="0"/>
    <cacheHierarchy uniqueName="[Page001].[Column1]" caption="Column1" attribute="1" defaultMemberUniqueName="[Page001].[Column1].[All]" allUniqueName="[Page001].[Column1].[All]" dimensionUniqueName="[Page001]" displayFolder="" count="0" memberValueDatatype="130" unbalanced="0"/>
    <cacheHierarchy uniqueName="[Page001].[Column2]" caption="Column2" attribute="1" defaultMemberUniqueName="[Page001].[Column2].[All]" allUniqueName="[Page001].[Column2].[All]" dimensionUniqueName="[Page001]" displayFolder="" count="0" memberValueDatatype="130" unbalanced="0"/>
    <cacheHierarchy uniqueName="[Page001].[Column3]" caption="Column3" attribute="1" defaultMemberUniqueName="[Page001].[Column3].[All]" allUniqueName="[Page001].[Column3].[All]" dimensionUniqueName="[Page001]" displayFolder="" count="0" memberValueDatatype="130" unbalanced="0"/>
    <cacheHierarchy uniqueName="[Page001].[Column4]" caption="Column4" attribute="1" defaultMemberUniqueName="[Page001].[Column4].[All]" allUniqueName="[Page001].[Column4].[All]" dimensionUniqueName="[Page001]" displayFolder="" count="0" memberValueDatatype="130" unbalanced="0"/>
    <cacheHierarchy uniqueName="[Page001].[Column5]" caption="Column5" attribute="1" defaultMemberUniqueName="[Page001].[Column5].[All]" allUniqueName="[Page001].[Column5].[All]" dimensionUniqueName="[Page001]" displayFolder="" count="0" memberValueDatatype="130" unbalanced="0"/>
    <cacheHierarchy uniqueName="[Page002].[Column1]" caption="Column1" attribute="1" defaultMemberUniqueName="[Page002].[Column1].[All]" allUniqueName="[Page002].[Column1].[All]" dimensionUniqueName="[Page002]" displayFolder="" count="0" memberValueDatatype="130" unbalanced="0"/>
    <cacheHierarchy uniqueName="[Page002].[Column2]" caption="Column2" attribute="1" defaultMemberUniqueName="[Page002].[Column2].[All]" allUniqueName="[Page002].[Column2].[All]" dimensionUniqueName="[Page002]" displayFolder="" count="0" memberValueDatatype="130" unbalanced="0"/>
    <cacheHierarchy uniqueName="[Page003].[Column1]" caption="Column1" attribute="1" defaultMemberUniqueName="[Page003].[Column1].[All]" allUniqueName="[Page003].[Column1].[All]" dimensionUniqueName="[Page003]" displayFolder="" count="0" memberValueDatatype="130" unbalanced="0"/>
    <cacheHierarchy uniqueName="[Page003].[Column2]" caption="Column2" attribute="1" defaultMemberUniqueName="[Page003].[Column2].[All]" allUniqueName="[Page003].[Column2].[All]" dimensionUniqueName="[Page003]" displayFolder="" count="0" memberValueDatatype="130" unbalanced="0"/>
    <cacheHierarchy uniqueName="[Page003].[Column3]" caption="Column3" attribute="1" defaultMemberUniqueName="[Page003].[Column3].[All]" allUniqueName="[Page003].[Column3].[All]" dimensionUniqueName="[Page003]" displayFolder="" count="0" memberValueDatatype="130" unbalanced="0"/>
    <cacheHierarchy uniqueName="[Page003].[Column4]" caption="Column4" attribute="1" defaultMemberUniqueName="[Page003].[Column4].[All]" allUniqueName="[Page003].[Column4].[All]" dimensionUniqueName="[Page003]" displayFolder="" count="0" memberValueDatatype="130" unbalanced="0"/>
    <cacheHierarchy uniqueName="[Page003].[Column5]" caption="Column5" attribute="1" defaultMemberUniqueName="[Page003].[Column5].[All]" allUniqueName="[Page003].[Column5].[All]" dimensionUniqueName="[Page003]" displayFolder="" count="0" memberValueDatatype="130" unbalanced="0"/>
    <cacheHierarchy uniqueName="[piramide].[PZAS]" caption="PZAS" attribute="1" defaultMemberUniqueName="[piramide].[PZAS].[All]" allUniqueName="[piramide].[PZAS].[All]" dimensionUniqueName="[piramide]" displayFolder="" count="0" memberValueDatatype="5" unbalanced="0"/>
    <cacheHierarchy uniqueName="[piramide].[TIPO]" caption="TIPO" attribute="1" defaultMemberUniqueName="[piramide].[TIPO].[All]" allUniqueName="[piramide].[TIPO].[All]" dimensionUniqueName="[piramide]" displayFolder="" count="0" memberValueDatatype="130" unbalanced="0"/>
    <cacheHierarchy uniqueName="[piramide].[NOMBRE]" caption="NOMBRE" attribute="1" defaultMemberUniqueName="[piramide].[NOMBRE].[All]" allUniqueName="[piramide].[NOMBRE].[All]" dimensionUniqueName="[piramide]" displayFolder="" count="0" memberValueDatatype="130" unbalanced="0"/>
    <cacheHierarchy uniqueName="[piramide].[MATERIAL / ACCESORIO]" caption="MATERIAL / ACCESORIO" attribute="1" defaultMemberUniqueName="[piramide].[MATERIAL / ACCESORIO].[All]" allUniqueName="[piramide].[MATERIAL / ACCESORIO].[All]" dimensionUniqueName="[piramide]" displayFolder="" count="0" memberValueDatatype="130" unbalanced="0"/>
    <cacheHierarchy uniqueName="[piramide].[PRECIO $ C/U]" caption="PRECIO $ C/U" attribute="1" defaultMemberUniqueName="[piramide].[PRECIO $ C/U].[All]" allUniqueName="[piramide].[PRECIO $ C/U].[All]" dimensionUniqueName="[piramide]" displayFolder="" count="0" memberValueDatatype="5" unbalanced="0"/>
    <cacheHierarchy uniqueName="[piramide].[IMP POR POYECTO]" caption="IMP POR POYECTO" attribute="1" defaultMemberUniqueName="[piramide].[IMP POR POYECTO].[All]" allUniqueName="[piramide].[IMP POR POYECTO].[All]" dimensionUniqueName="[piramide]" displayFolder="" count="0" memberValueDatatype="5" unbalanced="0"/>
    <cacheHierarchy uniqueName="[piramide].[NUM. DE EJES]" caption="NUM. DE EJES" attribute="1" defaultMemberUniqueName="[piramide].[NUM. DE EJES].[All]" allUniqueName="[piramide].[NUM. DE EJES].[All]" dimensionUniqueName="[piramide]" displayFolder="" count="0" memberValueDatatype="20" unbalanced="0"/>
    <cacheHierarchy uniqueName="[piramide].[LARGO]" caption="LARGO" attribute="1" defaultMemberUniqueName="[piramide].[LARGO].[All]" allUniqueName="[piramide].[LARGO].[All]" dimensionUniqueName="[piramide]" displayFolder="" count="0" memberValueDatatype="130" unbalanced="0"/>
    <cacheHierarchy uniqueName="[piramide].[CLASE]" caption="CLASE" attribute="1" defaultMemberUniqueName="[piramide].[CLASE].[All]" allUniqueName="[piramide].[CLASE].[All]" dimensionUniqueName="[piramide]" displayFolder="" count="0" memberValueDatatype="130" unbalanced="0"/>
    <cacheHierarchy uniqueName="[piramide].[OBSERVACION]" caption="OBSERVACION" attribute="1" defaultMemberUniqueName="[piramide].[OBSERVACION].[All]" allUniqueName="[piramide].[OBSERVACION].[All]" dimensionUniqueName="[piramide]" displayFolder="" count="0" memberValueDatatype="130" unbalanced="0"/>
    <cacheHierarchy uniqueName="[Tabla24].[NOMBRE]" caption="NOMBRE" attribute="1" defaultMemberUniqueName="[Tabla24].[NOMBRE].[All]" allUniqueName="[Tabla24].[NOMBRE].[All]" dimensionUniqueName="[Tabla24]" displayFolder="" count="2" memberValueDatatype="130" unbalanced="0">
      <fieldsUsage count="2">
        <fieldUsage x="-1"/>
        <fieldUsage x="0"/>
      </fieldsUsage>
    </cacheHierarchy>
    <cacheHierarchy uniqueName="[Tabla24].[TIPO]" caption="TIPO" attribute="1" defaultMemberUniqueName="[Tabla24].[TIPO].[All]" allUniqueName="[Tabla24].[TIPO].[All]" dimensionUniqueName="[Tabla24]" displayFolder="" count="0" memberValueDatatype="130" unbalanced="0"/>
    <cacheHierarchy uniqueName="[Tabla24].[NUM. DE EJES]" caption="NUM. DE EJES" attribute="1" defaultMemberUniqueName="[Tabla24].[NUM. DE EJES].[All]" allUniqueName="[Tabla24].[NUM. DE EJES].[All]" dimensionUniqueName="[Tabla24]" displayFolder="" count="0" memberValueDatatype="20" unbalanced="0"/>
    <cacheHierarchy uniqueName="[Tabla24].[LARGO]" caption="LARGO" attribute="1" defaultMemberUniqueName="[Tabla24].[LARGO].[All]" allUniqueName="[Tabla24].[LARGO].[All]" dimensionUniqueName="[Tabla24]" displayFolder="" count="0" memberValueDatatype="130" unbalanced="0"/>
    <cacheHierarchy uniqueName="[Tabla24].[CONCAT]" caption="CONCAT" attribute="1" defaultMemberUniqueName="[Tabla24].[CONCAT].[All]" allUniqueName="[Tabla24].[CONCAT].[All]" dimensionUniqueName="[Tabla24]" displayFolder="" count="0" memberValueDatatype="130" unbalanced="0"/>
    <cacheHierarchy uniqueName="[Tabla24].[Peso Vehicular]" caption="Peso Vehicular" attribute="1" defaultMemberUniqueName="[Tabla24].[Peso Vehicular].[All]" allUniqueName="[Tabla24].[Peso Vehicular].[All]" dimensionUniqueName="[Tabla24]" displayFolder="" count="0" memberValueDatatype="20" unbalanced="0"/>
    <cacheHierarchy uniqueName="[Tabla24].[PBVD:]" caption="PBVD:" attribute="1" defaultMemberUniqueName="[Tabla24].[PBVD:].[All]" allUniqueName="[Tabla24].[PBVD:].[All]" dimensionUniqueName="[Tabla24]" displayFolder="" count="0" memberValueDatatype="20" unbalanced="0"/>
    <cacheHierarchy uniqueName="[Tabla24].[Modelo ABS:]" caption="Modelo ABS:" attribute="1" defaultMemberUniqueName="[Tabla24].[Modelo ABS:].[All]" allUniqueName="[Tabla24].[Modelo ABS:].[All]" dimensionUniqueName="[Tabla24]" displayFolder="" count="0" memberValueDatatype="130" unbalanced="0"/>
    <cacheHierarchy uniqueName="[Tabla24].[CDE ejes traseros:]" caption="CDE ejes traseros:" attribute="1" defaultMemberUniqueName="[Tabla24].[CDE ejes traseros:].[All]" allUniqueName="[Tabla24].[CDE ejes traseros:].[All]" dimensionUniqueName="[Tabla24]" displayFolder="" count="0" memberValueDatatype="20" unbalanced="0"/>
    <cacheHierarchy uniqueName="[Tabla24].[Número de llantas:]" caption="Número de llantas:" attribute="1" defaultMemberUniqueName="[Tabla24].[Número de llantas:].[All]" allUniqueName="[Tabla24].[Número de llantas:].[All]" dimensionUniqueName="[Tabla24]" displayFolder="" count="0" memberValueDatatype="20" unbalanced="0"/>
    <cacheHierarchy uniqueName="[Tabla24].[Capacidad de eje en posición de montaje:]" caption="Capacidad de eje en posición de montaje:" attribute="1" defaultMemberUniqueName="[Tabla24].[Capacidad de eje en posición de montaje:].[All]" allUniqueName="[Tabla24].[Capacidad de eje en posición de montaje:].[All]" dimensionUniqueName="[Tabla24]" displayFolder="" count="0" memberValueDatatype="20" unbalanced="0"/>
    <cacheHierarchy uniqueName="[Tabla24].[Capacidad de espigas de eje:]" caption="Capacidad de espigas de eje:" attribute="1" defaultMemberUniqueName="[Tabla24].[Capacidad de espigas de eje:].[All]" allUniqueName="[Tabla24].[Capacidad de espigas de eje:].[All]" dimensionUniqueName="[Tabla24]" displayFolder="" count="0" memberValueDatatype="20" unbalanced="0"/>
    <cacheHierarchy uniqueName="[Tabla24].[Longitud]" caption="Longitud" attribute="1" defaultMemberUniqueName="[Tabla24].[Longitud].[All]" allUniqueName="[Tabla24].[Longitud].[All]" dimensionUniqueName="[Tabla24]" displayFolder="" count="0" memberValueDatatype="5" unbalanced="0"/>
    <cacheHierarchy uniqueName="[Table001  Page 1].[Column1]" caption="Column1" attribute="1" defaultMemberUniqueName="[Table001  Page 1].[Column1].[All]" allUniqueName="[Table001  Page 1].[Column1].[All]" dimensionUniqueName="[Table001  Page 1]" displayFolder="" count="0" memberValueDatatype="130" unbalanced="0"/>
    <cacheHierarchy uniqueName="[Table002  Page 3].[Column1]" caption="Column1" attribute="1" defaultMemberUniqueName="[Table002  Page 3].[Column1].[All]" allUniqueName="[Table002  Page 3].[Column1].[All]" dimensionUniqueName="[Table002  Page 3]" displayFolder="" count="0" memberValueDatatype="130" unbalanced="0"/>
    <cacheHierarchy uniqueName="[Table002  Page 3].[Column2]" caption="Column2" attribute="1" defaultMemberUniqueName="[Table002  Page 3].[Column2].[All]" allUniqueName="[Table002  Page 3].[Column2].[All]" dimensionUniqueName="[Table002  Page 3]" displayFolder="" count="0" memberValueDatatype="130" unbalanced="0"/>
    <cacheHierarchy uniqueName="[Table004  Page 3].[Column1]" caption="Column1" attribute="1" defaultMemberUniqueName="[Table004  Page 3].[Column1].[All]" allUniqueName="[Table004  Page 3].[Column1].[All]" dimensionUniqueName="[Table004  Page 3]" displayFolder="" count="0" memberValueDatatype="130" unbalanced="0"/>
    <cacheHierarchy uniqueName="[Table004  Page 3].[Column2]" caption="Column2" attribute="1" defaultMemberUniqueName="[Table004  Page 3].[Column2].[All]" allUniqueName="[Table004  Page 3].[Column2].[All]" dimensionUniqueName="[Table004  Page 3]" displayFolder="" count="0" memberValueDatatype="130" unbalanced="0"/>
    <cacheHierarchy uniqueName="[truckzone].[PZAS]" caption="PZAS" attribute="1" defaultMemberUniqueName="[truckzone].[PZAS].[All]" allUniqueName="[truckzone].[PZAS].[All]" dimensionUniqueName="[truckzone]" displayFolder="" count="0" memberValueDatatype="5" unbalanced="0"/>
    <cacheHierarchy uniqueName="[truckzone].[TIPO]" caption="TIPO" attribute="1" defaultMemberUniqueName="[truckzone].[TIPO].[All]" allUniqueName="[truckzone].[TIPO].[All]" dimensionUniqueName="[truckzone]" displayFolder="" count="0" memberValueDatatype="130" unbalanced="0"/>
    <cacheHierarchy uniqueName="[truckzone].[NOMBRE]" caption="NOMBRE" attribute="1" defaultMemberUniqueName="[truckzone].[NOMBRE].[All]" allUniqueName="[truckzone].[NOMBRE].[All]" dimensionUniqueName="[truckzone]" displayFolder="" count="0" memberValueDatatype="130" unbalanced="0"/>
    <cacheHierarchy uniqueName="[truckzone].[MATERIAL / ACCESORIO]" caption="MATERIAL / ACCESORIO" attribute="1" defaultMemberUniqueName="[truckzone].[MATERIAL / ACCESORIO].[All]" allUniqueName="[truckzone].[MATERIAL / ACCESORIO].[All]" dimensionUniqueName="[truckzone]" displayFolder="" count="0" memberValueDatatype="130" unbalanced="0"/>
    <cacheHierarchy uniqueName="[truckzone].[PRECIO $ C/U]" caption="PRECIO $ C/U" attribute="1" defaultMemberUniqueName="[truckzone].[PRECIO $ C/U].[All]" allUniqueName="[truckzone].[PRECIO $ C/U].[All]" dimensionUniqueName="[truckzone]" displayFolder="" count="0" memberValueDatatype="5" unbalanced="0"/>
    <cacheHierarchy uniqueName="[truckzone].[IMP POR POYECTO]" caption="IMP POR POYECTO" attribute="1" defaultMemberUniqueName="[truckzone].[IMP POR POYECTO].[All]" allUniqueName="[truckzone].[IMP POR POYECTO].[All]" dimensionUniqueName="[truckzone]" displayFolder="" count="0" memberValueDatatype="5" unbalanced="0"/>
    <cacheHierarchy uniqueName="[truckzone].[NUM. DE EJES]" caption="NUM. DE EJES" attribute="1" defaultMemberUniqueName="[truckzone].[NUM. DE EJES].[All]" allUniqueName="[truckzone].[NUM. DE EJES].[All]" dimensionUniqueName="[truckzone]" displayFolder="" count="0" memberValueDatatype="20" unbalanced="0"/>
    <cacheHierarchy uniqueName="[truckzone].[LARGO]" caption="LARGO" attribute="1" defaultMemberUniqueName="[truckzone].[LARGO].[All]" allUniqueName="[truckzone].[LARGO].[All]" dimensionUniqueName="[truckzone]" displayFolder="" count="0" memberValueDatatype="130" unbalanced="0"/>
    <cacheHierarchy uniqueName="[truckzone].[CLASE]" caption="CLASE" attribute="1" defaultMemberUniqueName="[truckzone].[CLASE].[All]" allUniqueName="[truckzone].[CLASE].[All]" dimensionUniqueName="[truckzone]" displayFolder="" count="0" memberValueDatatype="130" unbalanced="0"/>
    <cacheHierarchy uniqueName="[truckzone].[OBSERVACION]" caption="OBSERVACION" attribute="1" defaultMemberUniqueName="[truckzone].[OBSERVACION].[All]" allUniqueName="[truckzone].[OBSERVACION].[All]" dimensionUniqueName="[truckzone]" displayFolder="" count="0" memberValueDatatype="130" unbalanced="0"/>
    <cacheHierarchy uniqueName="[CHASIS].[FECHE/ENTRGA (índice de meses)]" caption="FECHE/ENTRGA (índice de meses)" attribute="1" defaultMemberUniqueName="[CHASIS].[FECHE/ENTRGA (índice de meses)].[All]" allUniqueName="[CHASIS].[FECHE/ENTRGA (índice de meses)].[All]" dimensionUniqueName="[CHASIS]" displayFolder="" count="0" memberValueDatatype="20" unbalanced="0" hidden="1"/>
    <cacheHierarchy uniqueName="[Measures].[__XL_Count extras]" caption="__XL_Count extras" measure="1" displayFolder="" measureGroup="extras" count="0" hidden="1"/>
    <cacheHierarchy uniqueName="[Measures].[__XL_Count otros]" caption="__XL_Count otros" measure="1" displayFolder="" measureGroup="otros" count="0" hidden="1"/>
    <cacheHierarchy uniqueName="[Measures].[__XL_Count piramide]" caption="__XL_Count piramide" measure="1" displayFolder="" measureGroup="piramide" count="0" hidden="1"/>
    <cacheHierarchy uniqueName="[Measures].[__XL_Count truckzone]" caption="__XL_Count truckzone" measure="1" displayFolder="" measureGroup="truckzone" count="0" hidden="1"/>
    <cacheHierarchy uniqueName="[Measures].[__XL_Count Tabla24]" caption="__XL_Count Tabla24" measure="1" displayFolder="" measureGroup="Tabla24" count="0" hidden="1"/>
    <cacheHierarchy uniqueName="[Measures].[__XL_Count ACERO 1]" caption="__XL_Count ACERO 1" measure="1" displayFolder="" measureGroup="ACERO 1" count="0" hidden="1"/>
    <cacheHierarchy uniqueName="[Measures].[__XL_Count Table001  Page 1]" caption="__XL_Count Table001  Page 1" measure="1" displayFolder="" measureGroup="Table001  Page 1" count="0" hidden="1"/>
    <cacheHierarchy uniqueName="[Measures].[__XL_Count Table002  Page 3]" caption="__XL_Count Table002  Page 3" measure="1" displayFolder="" measureGroup="Table002  Page 3" count="0" hidden="1"/>
    <cacheHierarchy uniqueName="[Measures].[__XL_Count Table004  Page 3]" caption="__XL_Count Table004  Page 3" measure="1" displayFolder="" measureGroup="Table004  Page 3" count="0" hidden="1"/>
    <cacheHierarchy uniqueName="[Measures].[__XL_Count Page001]" caption="__XL_Count Page001" measure="1" displayFolder="" measureGroup="Page001" count="0" hidden="1"/>
    <cacheHierarchy uniqueName="[Measures].[__XL_Count Page003]" caption="__XL_Count Page003" measure="1" displayFolder="" measureGroup="Page003" count="0" hidden="1"/>
    <cacheHierarchy uniqueName="[Measures].[__XL_Count Page002]" caption="__XL_Count Page002" measure="1" displayFolder="" measureGroup="Page002" count="0" hidden="1"/>
    <cacheHierarchy uniqueName="[Measures].[__XL_Count CHASIS]" caption="__XL_Count CHASIS" measure="1" displayFolder="" measureGroup="CHASIS" count="0" hidden="1"/>
    <cacheHierarchy uniqueName="[Measures].[__XL_Count clientes]" caption="__XL_Count clientes" measure="1" displayFolder="" measureGroup="clientes" count="0" hidden="1"/>
    <cacheHierarchy uniqueName="[Measures].[__No measures defined]" caption="__No measures defined" measure="1" displayFolder="" count="0" hidden="1"/>
    <cacheHierarchy uniqueName="[Measures].[Suma de IMP POR POYECTO 3]" caption="Suma de IMP POR POYECTO 3" measure="1" displayFolder="" measureGroup="otros" count="0" hidden="1">
      <extLst>
        <ext xmlns:x15="http://schemas.microsoft.com/office/spreadsheetml/2010/11/main" uri="{B97F6D7D-B522-45F9-BDA1-12C45D357490}">
          <x15:cacheHierarchy aggregatedColumn="44"/>
        </ext>
      </extLst>
    </cacheHierarchy>
    <cacheHierarchy uniqueName="[Measures].[Suma de IMP POR POYECTO 4]" caption="Suma de IMP POR POYECTO 4" measure="1" displayFolder="" measureGroup="piramide" count="0" hidden="1">
      <extLst>
        <ext xmlns:x15="http://schemas.microsoft.com/office/spreadsheetml/2010/11/main" uri="{B97F6D7D-B522-45F9-BDA1-12C45D357490}">
          <x15:cacheHierarchy aggregatedColumn="66"/>
        </ext>
      </extLst>
    </cacheHierarchy>
    <cacheHierarchy uniqueName="[Measures].[Suma de IMP POR POYECTO 5]" caption="Suma de IMP POR POYECTO 5" measure="1" displayFolder="" measureGroup="extras" count="0" hidden="1">
      <extLst>
        <ext xmlns:x15="http://schemas.microsoft.com/office/spreadsheetml/2010/11/main" uri="{B97F6D7D-B522-45F9-BDA1-12C45D357490}">
          <x15:cacheHierarchy aggregatedColumn="35"/>
        </ext>
      </extLst>
    </cacheHierarchy>
    <cacheHierarchy uniqueName="[Measures].[Suma de IMP POR POYECTO 6]" caption="Suma de IMP POR POYECTO 6" measure="1" displayFolder="" measureGroup="truckzone" count="0" hidden="1">
      <extLst>
        <ext xmlns:x15="http://schemas.microsoft.com/office/spreadsheetml/2010/11/main" uri="{B97F6D7D-B522-45F9-BDA1-12C45D357490}">
          <x15:cacheHierarchy aggregatedColumn="94"/>
        </ext>
      </extLst>
    </cacheHierarchy>
    <cacheHierarchy uniqueName="[Measures].[Suma de PZAS 2]" caption="Suma de PZAS 2" measure="1" displayFolder="" measureGroup="otros" count="0" hidden="1">
      <extLst>
        <ext xmlns:x15="http://schemas.microsoft.com/office/spreadsheetml/2010/11/main" uri="{B97F6D7D-B522-45F9-BDA1-12C45D357490}">
          <x15:cacheHierarchy aggregatedColumn="39"/>
        </ext>
      </extLst>
    </cacheHierarchy>
    <cacheHierarchy uniqueName="[Measures].[Suma de PZAS 3]" caption="Suma de PZAS 3" measure="1" displayFolder="" measureGroup="extras" count="0" hidden="1">
      <extLst>
        <ext xmlns:x15="http://schemas.microsoft.com/office/spreadsheetml/2010/11/main" uri="{B97F6D7D-B522-45F9-BDA1-12C45D357490}">
          <x15:cacheHierarchy aggregatedColumn="29"/>
        </ext>
      </extLst>
    </cacheHierarchy>
    <cacheHierarchy uniqueName="[Measures].[Suma de PZAS 4]" caption="Suma de PZAS 4" measure="1" displayFolder="" measureGroup="piramide" count="0" hidden="1">
      <extLst>
        <ext xmlns:x15="http://schemas.microsoft.com/office/spreadsheetml/2010/11/main" uri="{B97F6D7D-B522-45F9-BDA1-12C45D357490}">
          <x15:cacheHierarchy aggregatedColumn="61"/>
        </ext>
      </extLst>
    </cacheHierarchy>
    <cacheHierarchy uniqueName="[Measures].[Suma de PZAS 5]" caption="Suma de PZAS 5" measure="1" displayFolder="" measureGroup="truckzone" count="0" hidden="1">
      <extLst>
        <ext xmlns:x15="http://schemas.microsoft.com/office/spreadsheetml/2010/11/main" uri="{B97F6D7D-B522-45F9-BDA1-12C45D357490}">
          <x15:cacheHierarchy aggregatedColumn="89"/>
        </ext>
      </extLst>
    </cacheHierarchy>
    <cacheHierarchy uniqueName="[Measures].[Suma de IMP POR POYECTO]" caption="Suma de IMP POR POYECTO" measure="1" displayFolder="" measureGroup="ACERO 1" count="0" hidden="1">
      <extLst>
        <ext xmlns:x15="http://schemas.microsoft.com/office/spreadsheetml/2010/11/main" uri="{B97F6D7D-B522-45F9-BDA1-12C45D357490}">
          <x15:cacheHierarchy aggregatedColumn="5"/>
        </ext>
      </extLst>
    </cacheHierarchy>
    <cacheHierarchy uniqueName="[Measures].[Suma de PZAS 6]" caption="Suma de PZAS 6" measure="1" displayFolder="" measureGroup="ACERO 1" count="0" hidden="1">
      <extLst>
        <ext xmlns:x15="http://schemas.microsoft.com/office/spreadsheetml/2010/11/main" uri="{B97F6D7D-B522-45F9-BDA1-12C45D357490}">
          <x15:cacheHierarchy aggregatedColumn="0"/>
        </ext>
      </extLst>
    </cacheHierarchy>
    <cacheHierarchy uniqueName="[Measures].[Recuento de MATERIAL / ACCESORIO]" caption="Recuento de MATERIAL / ACCESORIO" measure="1" displayFolder="" measureGroup="extras" count="0" hidden="1">
      <extLst>
        <ext xmlns:x15="http://schemas.microsoft.com/office/spreadsheetml/2010/11/main" uri="{B97F6D7D-B522-45F9-BDA1-12C45D357490}">
          <x15:cacheHierarchy aggregatedColumn="32"/>
        </ext>
      </extLst>
    </cacheHierarchy>
    <cacheHierarchy uniqueName="[Measures].[Recuento de TIPO]" caption="Recuento de TIPO" measure="1" displayFolder="" measureGroup="extras" count="0" hidden="1">
      <extLst>
        <ext xmlns:x15="http://schemas.microsoft.com/office/spreadsheetml/2010/11/main" uri="{B97F6D7D-B522-45F9-BDA1-12C45D357490}">
          <x15:cacheHierarchy aggregatedColumn="30"/>
        </ext>
      </extLst>
    </cacheHierarchy>
    <cacheHierarchy uniqueName="[Measures].[Suma de PAGO]" caption="Suma de PAGO" measure="1" displayFolder="" measureGroup="CHASIS" count="0" hidden="1">
      <extLst>
        <ext xmlns:x15="http://schemas.microsoft.com/office/spreadsheetml/2010/11/main" uri="{B97F6D7D-B522-45F9-BDA1-12C45D357490}">
          <x15:cacheHierarchy aggregatedColumn="14"/>
        </ext>
      </extLst>
    </cacheHierarchy>
    <cacheHierarchy uniqueName="[Measures].[Suma de P/U]" caption="Suma de P/U" measure="1" displayFolder="" measureGroup="CHASIS" count="0" hidden="1">
      <extLst>
        <ext xmlns:x15="http://schemas.microsoft.com/office/spreadsheetml/2010/11/main" uri="{B97F6D7D-B522-45F9-BDA1-12C45D357490}">
          <x15:cacheHierarchy aggregatedColumn="13"/>
        </ext>
      </extLst>
    </cacheHierarchy>
    <cacheHierarchy uniqueName="[Measures].[Suma de ADEUDO]" caption="Suma de ADEUDO" measure="1" displayFolder="" measureGroup="CHASIS" count="0" hidden="1">
      <extLst>
        <ext xmlns:x15="http://schemas.microsoft.com/office/spreadsheetml/2010/11/main" uri="{B97F6D7D-B522-45F9-BDA1-12C45D357490}">
          <x15:cacheHierarchy aggregatedColumn="15"/>
        </ext>
      </extLst>
    </cacheHierarchy>
  </cacheHierarchies>
  <kpis count="0"/>
  <dimensions count="15">
    <dimension name="ACERO 1" uniqueName="[ACERO 1]" caption="ACERO 1"/>
    <dimension name="CHASIS" uniqueName="[CHASIS]" caption="CHASIS"/>
    <dimension name="clientes" uniqueName="[clientes]" caption="clientes"/>
    <dimension name="extras" uniqueName="[extras]" caption="extras"/>
    <dimension measure="1" name="Measures" uniqueName="[Measures]" caption="Measures"/>
    <dimension name="otros" uniqueName="[otros]" caption="otros"/>
    <dimension name="Page001" uniqueName="[Page001]" caption="Page001"/>
    <dimension name="Page002" uniqueName="[Page002]" caption="Page002"/>
    <dimension name="Page003" uniqueName="[Page003]" caption="Page003"/>
    <dimension name="piramide" uniqueName="[piramide]" caption="piramide"/>
    <dimension name="Tabla24" uniqueName="[Tabla24]" caption="Tabla24"/>
    <dimension name="Table001  Page 1" uniqueName="[Table001  Page 1]" caption="Table001  Page 1"/>
    <dimension name="Table002  Page 3" uniqueName="[Table002  Page 3]" caption="Table002  Page 3"/>
    <dimension name="Table004  Page 3" uniqueName="[Table004  Page 3]" caption="Table004  Page 3"/>
    <dimension name="truckzone" uniqueName="[truckzone]" caption="truckzone"/>
  </dimensions>
  <measureGroups count="14">
    <measureGroup name="ACERO 1" caption="ACERO 1"/>
    <measureGroup name="CHASIS" caption="CHASIS"/>
    <measureGroup name="clientes" caption="clientes"/>
    <measureGroup name="extras" caption="extras"/>
    <measureGroup name="otros" caption="otros"/>
    <measureGroup name="Page001" caption="Page001"/>
    <measureGroup name="Page002" caption="Page002"/>
    <measureGroup name="Page003" caption="Page003"/>
    <measureGroup name="piramide" caption="piramide"/>
    <measureGroup name="Tabla24" caption="Tabla24"/>
    <measureGroup name="Table001  Page 1" caption="Table001  Page 1"/>
    <measureGroup name="Table002  Page 3" caption="Table002  Page 3"/>
    <measureGroup name="Table004  Page 3" caption="Table004  Page 3"/>
    <measureGroup name="truckzone" caption="truckzone"/>
  </measureGroups>
  <maps count="19">
    <map measureGroup="0" dimension="0"/>
    <map measureGroup="0" dimension="10"/>
    <map measureGroup="1" dimension="1"/>
    <map measureGroup="2" dimension="2"/>
    <map measureGroup="3" dimension="3"/>
    <map measureGroup="3" dimension="10"/>
    <map measureGroup="4" dimension="5"/>
    <map measureGroup="4" dimension="10"/>
    <map measureGroup="5" dimension="6"/>
    <map measureGroup="6" dimension="7"/>
    <map measureGroup="7" dimension="8"/>
    <map measureGroup="8" dimension="9"/>
    <map measureGroup="8" dimension="10"/>
    <map measureGroup="9" dimension="10"/>
    <map measureGroup="10" dimension="11"/>
    <map measureGroup="11" dimension="12"/>
    <map measureGroup="12" dimension="13"/>
    <map measureGroup="13" dimension="10"/>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HINKPAD" refreshedDate="45074.037192592594" backgroundQuery="1" createdVersion="3" refreshedVersion="8" minRefreshableVersion="3" recordCount="0" supportSubquery="1" supportAdvancedDrill="1" xr:uid="{AC4026D8-DF28-4B9E-AFD3-6AB9604BA136}">
  <cacheSource type="external" connectionId="8">
    <extLst>
      <ext xmlns:x14="http://schemas.microsoft.com/office/spreadsheetml/2009/9/main" uri="{F057638F-6D5F-4e77-A914-E7F072B9BCA8}">
        <x14:sourceConnection name="ThisWorkbookDataModel"/>
      </ext>
    </extLst>
  </cacheSource>
  <cacheFields count="0"/>
  <cacheHierarchies count="73">
    <cacheHierarchy uniqueName="[acero].[PZAS]" caption="PZAS" attribute="1" defaultMemberUniqueName="[acero].[PZAS].[All]" allUniqueName="[acero].[PZAS].[All]" dimensionUniqueName="[acero]" displayFolder="" count="0" memberValueDatatype="130" unbalanced="0"/>
    <cacheHierarchy uniqueName="[acero].[TIPO]" caption="TIPO" attribute="1" defaultMemberUniqueName="[acero].[TIPO].[All]" allUniqueName="[acero].[TIPO].[All]" dimensionUniqueName="[acero]" displayFolder="" count="0" memberValueDatatype="130" unbalanced="0"/>
    <cacheHierarchy uniqueName="[acero].[NOMBRE]" caption="NOMBRE" attribute="1" defaultMemberUniqueName="[acero].[NOMBRE].[All]" allUniqueName="[acero].[NOMBRE].[All]" dimensionUniqueName="[acero]" displayFolder="" count="0" memberValueDatatype="130" unbalanced="0"/>
    <cacheHierarchy uniqueName="[acero].[MATERIAL / ACCESORIO]" caption="MATERIAL / ACCESORIO" attribute="1" defaultMemberUniqueName="[acero].[MATERIAL / ACCESORIO].[All]" allUniqueName="[acero].[MATERIAL / ACCESORIO].[All]" dimensionUniqueName="[acero]" displayFolder="" count="0" memberValueDatatype="130" unbalanced="0"/>
    <cacheHierarchy uniqueName="[acero].[CLASE]" caption="CLASE" attribute="1" defaultMemberUniqueName="[acero].[CLASE].[All]" allUniqueName="[acero].[CLASE].[All]" dimensionUniqueName="[acero]" displayFolder="" count="0" memberValueDatatype="130" unbalanced="0"/>
    <cacheHierarchy uniqueName="[acero].[PRECIO $ C/U]" caption="PRECIO $ C/U" attribute="1" defaultMemberUniqueName="[acero].[PRECIO $ C/U].[All]" allUniqueName="[acero].[PRECIO $ C/U].[All]" dimensionUniqueName="[acero]" displayFolder="" count="0" memberValueDatatype="20" unbalanced="0"/>
    <cacheHierarchy uniqueName="[acero].[IMP POR POYECTO]" caption="IMP POR POYECTO" attribute="1" defaultMemberUniqueName="[acero].[IMP POR POYECTO].[All]" allUniqueName="[acero].[IMP POR POYECTO].[All]" dimensionUniqueName="[acero]" displayFolder="" count="0" memberValueDatatype="20" unbalanced="0"/>
    <cacheHierarchy uniqueName="[acero].[NUM. DE EJES]" caption="NUM. DE EJES" attribute="1" defaultMemberUniqueName="[acero].[NUM. DE EJES].[All]" allUniqueName="[acero].[NUM. DE EJES].[All]" dimensionUniqueName="[acero]" displayFolder="" count="0" memberValueDatatype="20" unbalanced="0"/>
    <cacheHierarchy uniqueName="[acero].[LARGO]" caption="LARGO" attribute="1" defaultMemberUniqueName="[acero].[LARGO].[All]" allUniqueName="[acero].[LARGO].[All]" dimensionUniqueName="[acero]" displayFolder="" count="0" memberValueDatatype="130" unbalanced="0"/>
    <cacheHierarchy uniqueName="[acero].[OBSERVACION]" caption="OBSERVACION" attribute="1" defaultMemberUniqueName="[acero].[OBSERVACION].[All]" allUniqueName="[acero].[OBSERVACION].[All]" dimensionUniqueName="[acero]" displayFolder="" count="0" memberValueDatatype="130" unbalanced="0"/>
    <cacheHierarchy uniqueName="[extras].[PZAS]" caption="PZAS" attribute="1" defaultMemberUniqueName="[extras].[PZAS].[All]" allUniqueName="[extras].[PZAS].[All]" dimensionUniqueName="[extras]" displayFolder="" count="0" memberValueDatatype="130" unbalanced="0"/>
    <cacheHierarchy uniqueName="[extras].[TIPO]" caption="TIPO" attribute="1" defaultMemberUniqueName="[extras].[TIPO].[All]" allUniqueName="[extras].[TIPO].[All]" dimensionUniqueName="[extras]" displayFolder="" count="0" memberValueDatatype="130" unbalanced="0"/>
    <cacheHierarchy uniqueName="[extras].[NOMBRE]" caption="NOMBRE" attribute="1" defaultMemberUniqueName="[extras].[NOMBRE].[All]" allUniqueName="[extras].[NOMBRE].[All]" dimensionUniqueName="[extras]" displayFolder="" count="0" memberValueDatatype="130" unbalanced="0"/>
    <cacheHierarchy uniqueName="[extras].[MATERIAL / ACCESORIO]" caption="MATERIAL / ACCESORIO" attribute="1" defaultMemberUniqueName="[extras].[MATERIAL / ACCESORIO].[All]" allUniqueName="[extras].[MATERIAL / ACCESORIO].[All]" dimensionUniqueName="[extras]" displayFolder="" count="0" memberValueDatatype="130" unbalanced="0"/>
    <cacheHierarchy uniqueName="[extras].[CLASE]" caption="CLASE" attribute="1" defaultMemberUniqueName="[extras].[CLASE].[All]" allUniqueName="[extras].[CLASE].[All]" dimensionUniqueName="[extras]" displayFolder="" count="0" memberValueDatatype="130" unbalanced="0"/>
    <cacheHierarchy uniqueName="[extras].[PRECIO $ C/U]" caption="PRECIO $ C/U" attribute="1" defaultMemberUniqueName="[extras].[PRECIO $ C/U].[All]" allUniqueName="[extras].[PRECIO $ C/U].[All]" dimensionUniqueName="[extras]" displayFolder="" count="0" memberValueDatatype="20" unbalanced="0"/>
    <cacheHierarchy uniqueName="[extras].[IMP POR POYECTO]" caption="IMP POR POYECTO" attribute="1" defaultMemberUniqueName="[extras].[IMP POR POYECTO].[All]" allUniqueName="[extras].[IMP POR POYECTO].[All]" dimensionUniqueName="[extras]" displayFolder="" count="0" memberValueDatatype="20" unbalanced="0"/>
    <cacheHierarchy uniqueName="[extras].[NUM. DE EJES]" caption="NUM. DE EJES" attribute="1" defaultMemberUniqueName="[extras].[NUM. DE EJES].[All]" allUniqueName="[extras].[NUM. DE EJES].[All]" dimensionUniqueName="[extras]" displayFolder="" count="0" memberValueDatatype="20" unbalanced="0"/>
    <cacheHierarchy uniqueName="[extras].[LARGO]" caption="LARGO" attribute="1" defaultMemberUniqueName="[extras].[LARGO].[All]" allUniqueName="[extras].[LARGO].[All]" dimensionUniqueName="[extras]" displayFolder="" count="0" memberValueDatatype="130" unbalanced="0"/>
    <cacheHierarchy uniqueName="[extras].[OBSERVACION]" caption="OBSERVACION" attribute="1" defaultMemberUniqueName="[extras].[OBSERVACION].[All]" allUniqueName="[extras].[OBSERVACION].[All]" dimensionUniqueName="[extras]" displayFolder="" count="0" memberValueDatatype="130" unbalanced="0"/>
    <cacheHierarchy uniqueName="[otros].[PZAS]" caption="PZAS" attribute="1" defaultMemberUniqueName="[otros].[PZAS].[All]" allUniqueName="[otros].[PZAS].[All]" dimensionUniqueName="[otros]" displayFolder="" count="0" memberValueDatatype="130" unbalanced="0"/>
    <cacheHierarchy uniqueName="[otros].[TIPO]" caption="TIPO" attribute="1" defaultMemberUniqueName="[otros].[TIPO].[All]" allUniqueName="[otros].[TIPO].[All]" dimensionUniqueName="[otros]" displayFolder="" count="0" memberValueDatatype="130" unbalanced="0"/>
    <cacheHierarchy uniqueName="[otros].[NOMBRE]" caption="NOMBRE" attribute="1" defaultMemberUniqueName="[otros].[NOMBRE].[All]" allUniqueName="[otros].[NOMBRE].[All]" dimensionUniqueName="[otros]" displayFolder="" count="0" memberValueDatatype="130" unbalanced="0"/>
    <cacheHierarchy uniqueName="[otros].[MATERIAL / ACCESORIO]" caption="MATERIAL / ACCESORIO" attribute="1" defaultMemberUniqueName="[otros].[MATERIAL / ACCESORIO].[All]" allUniqueName="[otros].[MATERIAL / ACCESORIO].[All]" dimensionUniqueName="[otros]" displayFolder="" count="0" memberValueDatatype="130" unbalanced="0"/>
    <cacheHierarchy uniqueName="[otros].[CLASE]" caption="CLASE" attribute="1" defaultMemberUniqueName="[otros].[CLASE].[All]" allUniqueName="[otros].[CLASE].[All]" dimensionUniqueName="[otros]" displayFolder="" count="0" memberValueDatatype="130" unbalanced="0"/>
    <cacheHierarchy uniqueName="[otros].[PRECIO $ C/U]" caption="PRECIO $ C/U" attribute="1" defaultMemberUniqueName="[otros].[PRECIO $ C/U].[All]" allUniqueName="[otros].[PRECIO $ C/U].[All]" dimensionUniqueName="[otros]" displayFolder="" count="0" memberValueDatatype="20" unbalanced="0"/>
    <cacheHierarchy uniqueName="[otros].[IMP POR POYECTO]" caption="IMP POR POYECTO" attribute="1" defaultMemberUniqueName="[otros].[IMP POR POYECTO].[All]" allUniqueName="[otros].[IMP POR POYECTO].[All]" dimensionUniqueName="[otros]" displayFolder="" count="0" memberValueDatatype="20" unbalanced="0"/>
    <cacheHierarchy uniqueName="[otros].[NUM. DE EJES]" caption="NUM. DE EJES" attribute="1" defaultMemberUniqueName="[otros].[NUM. DE EJES].[All]" allUniqueName="[otros].[NUM. DE EJES].[All]" dimensionUniqueName="[otros]" displayFolder="" count="0" memberValueDatatype="20" unbalanced="0"/>
    <cacheHierarchy uniqueName="[otros].[LARGO]" caption="LARGO" attribute="1" defaultMemberUniqueName="[otros].[LARGO].[All]" allUniqueName="[otros].[LARGO].[All]" dimensionUniqueName="[otros]" displayFolder="" count="0" memberValueDatatype="130" unbalanced="0"/>
    <cacheHierarchy uniqueName="[otros].[OBSERVACION]" caption="OBSERVACION" attribute="1" defaultMemberUniqueName="[otros].[OBSERVACION].[All]" allUniqueName="[otros].[OBSERVACION].[All]" dimensionUniqueName="[otros]" displayFolder="" count="0" memberValueDatatype="130" unbalanced="0"/>
    <cacheHierarchy uniqueName="[piramide].[PZAS]" caption="PZAS" attribute="1" defaultMemberUniqueName="[piramide].[PZAS].[All]" allUniqueName="[piramide].[PZAS].[All]" dimensionUniqueName="[piramide]" displayFolder="" count="0" memberValueDatatype="130" unbalanced="0"/>
    <cacheHierarchy uniqueName="[piramide].[TIPO]" caption="TIPO" attribute="1" defaultMemberUniqueName="[piramide].[TIPO].[All]" allUniqueName="[piramide].[TIPO].[All]" dimensionUniqueName="[piramide]" displayFolder="" count="0" memberValueDatatype="130" unbalanced="0"/>
    <cacheHierarchy uniqueName="[piramide].[NOMBRE]" caption="NOMBRE" attribute="1" defaultMemberUniqueName="[piramide].[NOMBRE].[All]" allUniqueName="[piramide].[NOMBRE].[All]" dimensionUniqueName="[piramide]" displayFolder="" count="0" memberValueDatatype="130" unbalanced="0"/>
    <cacheHierarchy uniqueName="[piramide].[MATERIAL / ACCESORIO]" caption="MATERIAL / ACCESORIO" attribute="1" defaultMemberUniqueName="[piramide].[MATERIAL / ACCESORIO].[All]" allUniqueName="[piramide].[MATERIAL / ACCESORIO].[All]" dimensionUniqueName="[piramide]" displayFolder="" count="0" memberValueDatatype="130" unbalanced="0"/>
    <cacheHierarchy uniqueName="[piramide].[CLASE]" caption="CLASE" attribute="1" defaultMemberUniqueName="[piramide].[CLASE].[All]" allUniqueName="[piramide].[CLASE].[All]" dimensionUniqueName="[piramide]" displayFolder="" count="0" memberValueDatatype="130" unbalanced="0"/>
    <cacheHierarchy uniqueName="[piramide].[PRECIO $ C/U]" caption="PRECIO $ C/U" attribute="1" defaultMemberUniqueName="[piramide].[PRECIO $ C/U].[All]" allUniqueName="[piramide].[PRECIO $ C/U].[All]" dimensionUniqueName="[piramide]" displayFolder="" count="0" memberValueDatatype="20" unbalanced="0"/>
    <cacheHierarchy uniqueName="[piramide].[IMP POR POYECTO]" caption="IMP POR POYECTO" attribute="1" defaultMemberUniqueName="[piramide].[IMP POR POYECTO].[All]" allUniqueName="[piramide].[IMP POR POYECTO].[All]" dimensionUniqueName="[piramide]" displayFolder="" count="0" memberValueDatatype="5" unbalanced="0"/>
    <cacheHierarchy uniqueName="[piramide].[NUM. DE EJES]" caption="NUM. DE EJES" attribute="1" defaultMemberUniqueName="[piramide].[NUM. DE EJES].[All]" allUniqueName="[piramide].[NUM. DE EJES].[All]" dimensionUniqueName="[piramide]" displayFolder="" count="0" memberValueDatatype="20" unbalanced="0"/>
    <cacheHierarchy uniqueName="[piramide].[LARGO]" caption="LARGO" attribute="1" defaultMemberUniqueName="[piramide].[LARGO].[All]" allUniqueName="[piramide].[LARGO].[All]" dimensionUniqueName="[piramide]" displayFolder="" count="0" memberValueDatatype="130" unbalanced="0"/>
    <cacheHierarchy uniqueName="[piramide].[OBSERVACION]" caption="OBSERVACION" attribute="1" defaultMemberUniqueName="[piramide].[OBSERVACION].[All]" allUniqueName="[piramide].[OBSERVACION].[All]" dimensionUniqueName="[piramide]" displayFolder="" count="0" memberValueDatatype="130" unbalanced="0"/>
    <cacheHierarchy uniqueName="[PRESUP].[PZAS]" caption="PZAS" attribute="1" defaultMemberUniqueName="[PRESUP].[PZAS].[All]" allUniqueName="[PRESUP].[PZAS].[All]" dimensionUniqueName="[PRESUP]" displayFolder="" count="0" memberValueDatatype="5" unbalanced="0"/>
    <cacheHierarchy uniqueName="[PRESUP].[TIPO]" caption="TIPO" attribute="1" defaultMemberUniqueName="[PRESUP].[TIPO].[All]" allUniqueName="[PRESUP].[TIPO].[All]" dimensionUniqueName="[PRESUP]" displayFolder="" count="0" memberValueDatatype="130" unbalanced="0"/>
    <cacheHierarchy uniqueName="[PRESUP].[NOMBRE]" caption="NOMBRE" attribute="1" defaultMemberUniqueName="[PRESUP].[NOMBRE].[All]" allUniqueName="[PRESUP].[NOMBRE].[All]" dimensionUniqueName="[PRESUP]" displayFolder="" count="2" memberValueDatatype="130" unbalanced="0"/>
    <cacheHierarchy uniqueName="[PRESUP].[MATERIAL / ACCESORIO]" caption="MATERIAL / ACCESORIO" attribute="1" defaultMemberUniqueName="[PRESUP].[MATERIAL / ACCESORIO].[All]" allUniqueName="[PRESUP].[MATERIAL / ACCESORIO].[All]" dimensionUniqueName="[PRESUP]" displayFolder="" count="0" memberValueDatatype="130" unbalanced="0"/>
    <cacheHierarchy uniqueName="[PRESUP].[CLASE]" caption="CLASE" attribute="1" defaultMemberUniqueName="[PRESUP].[CLASE].[All]" allUniqueName="[PRESUP].[CLASE].[All]" dimensionUniqueName="[PRESUP]" displayFolder="" count="0" memberValueDatatype="130" unbalanced="0"/>
    <cacheHierarchy uniqueName="[PRESUP].[PRECIO $ C/U]" caption="PRECIO $ C/U" attribute="1" defaultMemberUniqueName="[PRESUP].[PRECIO $ C/U].[All]" allUniqueName="[PRESUP].[PRECIO $ C/U].[All]" dimensionUniqueName="[PRESUP]" displayFolder="" count="0" memberValueDatatype="5" unbalanced="0"/>
    <cacheHierarchy uniqueName="[PRESUP].[IMP POR POYECTO]" caption="IMP POR POYECTO" attribute="1" defaultMemberUniqueName="[PRESUP].[IMP POR POYECTO].[All]" allUniqueName="[PRESUP].[IMP POR POYECTO].[All]" dimensionUniqueName="[PRESUP]" displayFolder="" count="0" memberValueDatatype="5" unbalanced="0"/>
    <cacheHierarchy uniqueName="[PRESUP].[NUM. DE EJES]" caption="NUM. DE EJES" attribute="1" defaultMemberUniqueName="[PRESUP].[NUM. DE EJES].[All]" allUniqueName="[PRESUP].[NUM. DE EJES].[All]" dimensionUniqueName="[PRESUP]" displayFolder="" count="2" memberValueDatatype="20" unbalanced="0"/>
    <cacheHierarchy uniqueName="[PRESUP].[LARGO]" caption="LARGO" attribute="1" defaultMemberUniqueName="[PRESUP].[LARGO].[All]" allUniqueName="[PRESUP].[LARGO].[All]" dimensionUniqueName="[PRESUP]" displayFolder="" count="2" memberValueDatatype="130" unbalanced="0"/>
    <cacheHierarchy uniqueName="[PRESUP].[OBSERVACION]" caption="OBSERVACION" attribute="1" defaultMemberUniqueName="[PRESUP].[OBSERVACION].[All]" allUniqueName="[PRESUP].[OBSERVACION].[All]" dimensionUniqueName="[PRESUP]" displayFolder="" count="0" memberValueDatatype="130" unbalanced="0"/>
    <cacheHierarchy uniqueName="[truckzone].[PZAS]" caption="PZAS" attribute="1" defaultMemberUniqueName="[truckzone].[PZAS].[All]" allUniqueName="[truckzone].[PZAS].[All]" dimensionUniqueName="[truckzone]" displayFolder="" count="0" memberValueDatatype="130" unbalanced="0"/>
    <cacheHierarchy uniqueName="[truckzone].[TIPO]" caption="TIPO" attribute="1" defaultMemberUniqueName="[truckzone].[TIPO].[All]" allUniqueName="[truckzone].[TIPO].[All]" dimensionUniqueName="[truckzone]" displayFolder="" count="0" memberValueDatatype="130" unbalanced="0"/>
    <cacheHierarchy uniqueName="[truckzone].[NOMBRE]" caption="NOMBRE" attribute="1" defaultMemberUniqueName="[truckzone].[NOMBRE].[All]" allUniqueName="[truckzone].[NOMBRE].[All]" dimensionUniqueName="[truckzone]" displayFolder="" count="0" memberValueDatatype="130" unbalanced="0"/>
    <cacheHierarchy uniqueName="[truckzone].[MATERIAL / ACCESORIO]" caption="MATERIAL / ACCESORIO" attribute="1" defaultMemberUniqueName="[truckzone].[MATERIAL / ACCESORIO].[All]" allUniqueName="[truckzone].[MATERIAL / ACCESORIO].[All]" dimensionUniqueName="[truckzone]" displayFolder="" count="0" memberValueDatatype="130" unbalanced="0"/>
    <cacheHierarchy uniqueName="[truckzone].[CLASE]" caption="CLASE" attribute="1" defaultMemberUniqueName="[truckzone].[CLASE].[All]" allUniqueName="[truckzone].[CLASE].[All]" dimensionUniqueName="[truckzone]" displayFolder="" count="0" memberValueDatatype="130" unbalanced="0"/>
    <cacheHierarchy uniqueName="[truckzone].[PRECIO $ C/U]" caption="PRECIO $ C/U" attribute="1" defaultMemberUniqueName="[truckzone].[PRECIO $ C/U].[All]" allUniqueName="[truckzone].[PRECIO $ C/U].[All]" dimensionUniqueName="[truckzone]" displayFolder="" count="0" memberValueDatatype="5" unbalanced="0"/>
    <cacheHierarchy uniqueName="[truckzone].[IMP POR POYECTO]" caption="IMP POR POYECTO" attribute="1" defaultMemberUniqueName="[truckzone].[IMP POR POYECTO].[All]" allUniqueName="[truckzone].[IMP POR POYECTO].[All]" dimensionUniqueName="[truckzone]" displayFolder="" count="0" memberValueDatatype="5" unbalanced="0"/>
    <cacheHierarchy uniqueName="[truckzone].[NUM. DE EJES]" caption="NUM. DE EJES" attribute="1" defaultMemberUniqueName="[truckzone].[NUM. DE EJES].[All]" allUniqueName="[truckzone].[NUM. DE EJES].[All]" dimensionUniqueName="[truckzone]" displayFolder="" count="0" memberValueDatatype="20" unbalanced="0"/>
    <cacheHierarchy uniqueName="[truckzone].[LARGO]" caption="LARGO" attribute="1" defaultMemberUniqueName="[truckzone].[LARGO].[All]" allUniqueName="[truckzone].[LARGO].[All]" dimensionUniqueName="[truckzone]" displayFolder="" count="0" memberValueDatatype="130" unbalanced="0"/>
    <cacheHierarchy uniqueName="[truckzone].[OBSERVACION]" caption="OBSERVACION" attribute="1" defaultMemberUniqueName="[truckzone].[OBSERVACION].[All]" allUniqueName="[truckzone].[OBSERVACION].[All]" dimensionUniqueName="[truckzone]" displayFolder="" count="0" memberValueDatatype="130" unbalanced="0"/>
    <cacheHierarchy uniqueName="[Measures].[__XL_Count PRESUP]" caption="__XL_Count PRESUP" measure="1" displayFolder="" measureGroup="PRESUP" count="0" hidden="1"/>
    <cacheHierarchy uniqueName="[Measures].[__XL_Count acero]" caption="__XL_Count acero" measure="1" displayFolder="" measureGroup="acero" count="0" hidden="1"/>
    <cacheHierarchy uniqueName="[Measures].[__XL_Count extras]" caption="__XL_Count extras" measure="1" displayFolder="" measureGroup="extras" count="0" hidden="1"/>
    <cacheHierarchy uniqueName="[Measures].[__XL_Count otros]" caption="__XL_Count otros" measure="1" displayFolder="" measureGroup="otros" count="0" hidden="1"/>
    <cacheHierarchy uniqueName="[Measures].[__XL_Count piramide]" caption="__XL_Count piramide" measure="1" displayFolder="" measureGroup="piramide" count="0" hidden="1"/>
    <cacheHierarchy uniqueName="[Measures].[__XL_Count truckzone]" caption="__XL_Count truckzone" measure="1" displayFolder="" measureGroup="truckzone" count="0" hidden="1"/>
    <cacheHierarchy uniqueName="[Measures].[__No measures defined]" caption="__No measures defined" measure="1" displayFolder="" count="0" hidden="1"/>
    <cacheHierarchy uniqueName="[Measures].[Suma de IMP POR POYECTO]" caption="Suma de IMP POR POYECTO" measure="1" displayFolder="" measureGroup="PRESUP" count="0" hidden="1"/>
    <cacheHierarchy uniqueName="[Measures].[Suma de IMP POR POYECTO 2]" caption="Suma de IMP POR POYECTO 2" measure="1" displayFolder="" measureGroup="acero" count="0" hidden="1"/>
    <cacheHierarchy uniqueName="[Measures].[Suma de IMP POR POYECTO 3]" caption="Suma de IMP POR POYECTO 3" measure="1" displayFolder="" measureGroup="otros" count="0" hidden="1">
      <extLst>
        <ext xmlns:x15="http://schemas.microsoft.com/office/spreadsheetml/2010/11/main" uri="{B97F6D7D-B522-45F9-BDA1-12C45D357490}">
          <x15:cacheHierarchy aggregatedColumn="26"/>
        </ext>
      </extLst>
    </cacheHierarchy>
    <cacheHierarchy uniqueName="[Measures].[Suma de IMP POR POYECTO 4]" caption="Suma de IMP POR POYECTO 4" measure="1" displayFolder="" measureGroup="piramide" count="0" hidden="1">
      <extLst>
        <ext xmlns:x15="http://schemas.microsoft.com/office/spreadsheetml/2010/11/main" uri="{B97F6D7D-B522-45F9-BDA1-12C45D357490}">
          <x15:cacheHierarchy aggregatedColumn="36"/>
        </ext>
      </extLst>
    </cacheHierarchy>
    <cacheHierarchy uniqueName="[Measures].[Suma de IMP POR POYECTO 5]" caption="Suma de IMP POR POYECTO 5" measure="1" displayFolder="" measureGroup="extras" count="0" hidden="1">
      <extLst>
        <ext xmlns:x15="http://schemas.microsoft.com/office/spreadsheetml/2010/11/main" uri="{B97F6D7D-B522-45F9-BDA1-12C45D357490}">
          <x15:cacheHierarchy aggregatedColumn="16"/>
        </ext>
      </extLst>
    </cacheHierarchy>
    <cacheHierarchy uniqueName="[Measures].[Suma de IMP POR POYECTO 6]" caption="Suma de IMP POR POYECTO 6" measure="1" displayFolder="" measureGroup="truckzone" count="0" hidden="1">
      <extLst>
        <ext xmlns:x15="http://schemas.microsoft.com/office/spreadsheetml/2010/11/main" uri="{B97F6D7D-B522-45F9-BDA1-12C45D357490}">
          <x15:cacheHierarchy aggregatedColumn="56"/>
        </ext>
      </extLst>
    </cacheHierarchy>
  </cacheHierarchies>
  <kpis count="0"/>
  <extLst>
    <ext xmlns:x14="http://schemas.microsoft.com/office/spreadsheetml/2009/9/main" uri="{725AE2AE-9491-48be-B2B4-4EB974FC3084}">
      <x14:pivotCacheDefinition slicerData="1" pivotCacheId="82843137"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olca" refreshedDate="45196.415019907407" backgroundQuery="1" createdVersion="3" refreshedVersion="8" minRefreshableVersion="3" recordCount="0" supportSubquery="1" supportAdvancedDrill="1" xr:uid="{34314449-8536-476C-A3B7-05618FBBA247}">
  <cacheSource type="external" connectionId="8">
    <extLst>
      <ext xmlns:x14="http://schemas.microsoft.com/office/spreadsheetml/2009/9/main" uri="{F057638F-6D5F-4e77-A914-E7F072B9BCA8}">
        <x14:sourceConnection name="ThisWorkbookDataModel"/>
      </ext>
    </extLst>
  </cacheSource>
  <cacheFields count="0"/>
  <cacheHierarchies count="130">
    <cacheHierarchy uniqueName="[ACERO 1].[PZAS]" caption="PZAS" attribute="1" defaultMemberUniqueName="[ACERO 1].[PZAS].[All]" allUniqueName="[ACERO 1].[PZAS].[All]" dimensionUniqueName="[ACERO 1]" displayFolder="" count="0" memberValueDatatype="5" unbalanced="0"/>
    <cacheHierarchy uniqueName="[ACERO 1].[TIPO]" caption="TIPO" attribute="1" defaultMemberUniqueName="[ACERO 1].[TIPO].[All]" allUniqueName="[ACERO 1].[TIPO].[All]" dimensionUniqueName="[ACERO 1]" displayFolder="" count="0" memberValueDatatype="130" unbalanced="0"/>
    <cacheHierarchy uniqueName="[ACERO 1].[NOMBRE]" caption="NOMBRE" attribute="1" defaultMemberUniqueName="[ACERO 1].[NOMBRE].[All]" allUniqueName="[ACERO 1].[NOMBRE].[All]" dimensionUniqueName="[ACERO 1]" displayFolder="" count="0" memberValueDatatype="130" unbalanced="0"/>
    <cacheHierarchy uniqueName="[ACERO 1].[MATERIAL / ACCESORIO]" caption="MATERIAL / ACCESORIO" attribute="1" defaultMemberUniqueName="[ACERO 1].[MATERIAL / ACCESORIO].[All]" allUniqueName="[ACERO 1].[MATERIAL / ACCESORIO].[All]" dimensionUniqueName="[ACERO 1]" displayFolder="" count="0" memberValueDatatype="130" unbalanced="0"/>
    <cacheHierarchy uniqueName="[ACERO 1].[PRECIO $ C/U]" caption="PRECIO $ C/U" attribute="1" defaultMemberUniqueName="[ACERO 1].[PRECIO $ C/U].[All]" allUniqueName="[ACERO 1].[PRECIO $ C/U].[All]" dimensionUniqueName="[ACERO 1]" displayFolder="" count="0" memberValueDatatype="5" unbalanced="0"/>
    <cacheHierarchy uniqueName="[ACERO 1].[IMP POR POYECTO]" caption="IMP POR POYECTO" attribute="1" defaultMemberUniqueName="[ACERO 1].[IMP POR POYECTO].[All]" allUniqueName="[ACERO 1].[IMP POR POYECTO].[All]" dimensionUniqueName="[ACERO 1]" displayFolder="" count="0" memberValueDatatype="5" unbalanced="0"/>
    <cacheHierarchy uniqueName="[ACERO 1].[NUM. DE EJES]" caption="NUM. DE EJES" attribute="1" defaultMemberUniqueName="[ACERO 1].[NUM. DE EJES].[All]" allUniqueName="[ACERO 1].[NUM. DE EJES].[All]" dimensionUniqueName="[ACERO 1]" displayFolder="" count="0" memberValueDatatype="20" unbalanced="0"/>
    <cacheHierarchy uniqueName="[ACERO 1].[LARGO]" caption="LARGO" attribute="1" defaultMemberUniqueName="[ACERO 1].[LARGO].[All]" allUniqueName="[ACERO 1].[LARGO].[All]" dimensionUniqueName="[ACERO 1]" displayFolder="" count="0" memberValueDatatype="130" unbalanced="0"/>
    <cacheHierarchy uniqueName="[ACERO 1].[CLASE]" caption="CLASE" attribute="1" defaultMemberUniqueName="[ACERO 1].[CLASE].[All]" allUniqueName="[ACERO 1].[CLASE].[All]" dimensionUniqueName="[ACERO 1]" displayFolder="" count="0" memberValueDatatype="130" unbalanced="0"/>
    <cacheHierarchy uniqueName="[ACERO 1].[OBSERVACION]" caption="OBSERVACION" attribute="1" defaultMemberUniqueName="[ACERO 1].[OBSERVACION].[All]" allUniqueName="[ACERO 1].[OBSERVACION].[All]" dimensionUniqueName="[ACERO 1]" displayFolder="" count="0" memberValueDatatype="130" unbalanced="0"/>
    <cacheHierarchy uniqueName="[CHASIS].[CLIENTE]" caption="CLIENTE" attribute="1" defaultMemberUniqueName="[CHASIS].[CLIENTE].[All]" allUniqueName="[CHASIS].[CLIENTE].[All]" dimensionUniqueName="[CHASIS]" displayFolder="" count="0" memberValueDatatype="130" unbalanced="0"/>
    <cacheHierarchy uniqueName="[CHASIS].[CHASIS]" caption="CHASIS" attribute="1" defaultMemberUniqueName="[CHASIS].[CHASIS].[All]" allUniqueName="[CHASIS].[CHASIS].[All]" dimensionUniqueName="[CHASIS]" displayFolder="" count="0" memberValueDatatype="130" unbalanced="0"/>
    <cacheHierarchy uniqueName="[CHASIS].[AÑO MODELO]" caption="AÑO MODELO" attribute="1" defaultMemberUniqueName="[CHASIS].[AÑO MODELO].[All]" allUniqueName="[CHASIS].[AÑO MODELO].[All]" dimensionUniqueName="[CHASIS]" displayFolder="" count="0" memberValueDatatype="20" unbalanced="0"/>
    <cacheHierarchy uniqueName="[CHASIS].[P/U]" caption="P/U" attribute="1" defaultMemberUniqueName="[CHASIS].[P/U].[All]" allUniqueName="[CHASIS].[P/U].[All]" dimensionUniqueName="[CHASIS]" displayFolder="" count="0" memberValueDatatype="20" unbalanced="0"/>
    <cacheHierarchy uniqueName="[CHASIS].[PAGO]" caption="PAGO" attribute="1" defaultMemberUniqueName="[CHASIS].[PAGO].[All]" allUniqueName="[CHASIS].[PAGO].[All]" dimensionUniqueName="[CHASIS]" displayFolder="" count="0" memberValueDatatype="20" unbalanced="0"/>
    <cacheHierarchy uniqueName="[CHASIS].[ADEUDO]" caption="ADEUDO" attribute="1" defaultMemberUniqueName="[CHASIS].[ADEUDO].[All]" allUniqueName="[CHASIS].[ADEUDO].[All]" dimensionUniqueName="[CHASIS]" displayFolder="" count="0" memberValueDatatype="20" unbalanced="0"/>
    <cacheHierarchy uniqueName="[CHASIS].[FACTURA]" caption="FACTURA" attribute="1" defaultMemberUniqueName="[CHASIS].[FACTURA].[All]" allUniqueName="[CHASIS].[FACTURA].[All]" dimensionUniqueName="[CHASIS]" displayFolder="" count="0" memberValueDatatype="130" unbalanced="0"/>
    <cacheHierarchy uniqueName="[CHASIS].[FECHE/ENTRGA]" caption="FECHE/ENTRGA" attribute="1" time="1" defaultMemberUniqueName="[CHASIS].[FECHE/ENTRGA].[All]" allUniqueName="[CHASIS].[FECHE/ENTRGA].[All]" dimensionUniqueName="[CHASIS]" displayFolder="" count="0" memberValueDatatype="7" unbalanced="0"/>
    <cacheHierarchy uniqueName="[CHASIS].[PAGADO]" caption="PAGADO" attribute="1" defaultMemberUniqueName="[CHASIS].[PAGADO].[All]" allUniqueName="[CHASIS].[PAGADO].[All]" dimensionUniqueName="[CHASIS]" displayFolder="" count="0" memberValueDatatype="130" unbalanced="0"/>
    <cacheHierarchy uniqueName="[CHASIS].[EQUI. ENTREGADOS]" caption="EQUI. ENTREGADOS" attribute="1" defaultMemberUniqueName="[CHASIS].[EQUI. ENTREGADOS].[All]" allUniqueName="[CHASIS].[EQUI. ENTREGADOS].[All]" dimensionUniqueName="[CHASIS]" displayFolder="" count="0" memberValueDatatype="130" unbalanced="0"/>
    <cacheHierarchy uniqueName="[CHASIS].[FECHE/ENTRGA (mes)]" caption="FECHE/ENTRGA (mes)" attribute="1" defaultMemberUniqueName="[CHASIS].[FECHE/ENTRGA (mes)].[All]" allUniqueName="[CHASIS].[FECHE/ENTRGA (mes)].[All]" dimensionUniqueName="[CHASIS]" displayFolder="" count="0" memberValueDatatype="130" unbalanced="0"/>
    <cacheHierarchy uniqueName="[clientes].[CLIENTE]" caption="CLIENTE" attribute="1" defaultMemberUniqueName="[clientes].[CLIENTE].[All]" allUniqueName="[clientes].[CLIENTE].[All]" dimensionUniqueName="[clientes]" displayFolder="" count="0" memberValueDatatype="130" unbalanced="0"/>
    <cacheHierarchy uniqueName="[clientes].[R. F. C.]" caption="R. F. C." attribute="1" defaultMemberUniqueName="[clientes].[R. F. C.].[All]" allUniqueName="[clientes].[R. F. C.].[All]" dimensionUniqueName="[clientes]" displayFolder="" count="0" memberValueDatatype="130" unbalanced="0"/>
    <cacheHierarchy uniqueName="[clientes].[EMPRESA]" caption="EMPRESA" attribute="1" defaultMemberUniqueName="[clientes].[EMPRESA].[All]" allUniqueName="[clientes].[EMPRESA].[All]" dimensionUniqueName="[clientes]" displayFolder="" count="0" memberValueDatatype="130" unbalanced="0"/>
    <cacheHierarchy uniqueName="[clientes].[CALLE, No., COLONIA]" caption="CALLE, No., COLONIA" attribute="1" defaultMemberUniqueName="[clientes].[CALLE, No., COLONIA].[All]" allUniqueName="[clientes].[CALLE, No., COLONIA].[All]" dimensionUniqueName="[clientes]" displayFolder="" count="0" memberValueDatatype="130" unbalanced="0"/>
    <cacheHierarchy uniqueName="[clientes].[MUNICIPIO, ESTADO, PAIS.]" caption="MUNICIPIO, ESTADO, PAIS." attribute="1" defaultMemberUniqueName="[clientes].[MUNICIPIO, ESTADO, PAIS.].[All]" allUniqueName="[clientes].[MUNICIPIO, ESTADO, PAIS.].[All]" dimensionUniqueName="[clientes]" displayFolder="" count="0" memberValueDatatype="130" unbalanced="0"/>
    <cacheHierarchy uniqueName="[clientes].[C.P.]" caption="C.P." attribute="1" defaultMemberUniqueName="[clientes].[C.P.].[All]" allUniqueName="[clientes].[C.P.].[All]" dimensionUniqueName="[clientes]" displayFolder="" count="0" memberValueDatatype="130" unbalanced="0"/>
    <cacheHierarchy uniqueName="[clientes].[TEL/CEL]" caption="TEL/CEL" attribute="1" defaultMemberUniqueName="[clientes].[TEL/CEL].[All]" allUniqueName="[clientes].[TEL/CEL].[All]" dimensionUniqueName="[clientes]" displayFolder="" count="0" memberValueDatatype="130" unbalanced="0"/>
    <cacheHierarchy uniqueName="[clientes].[CORREO]" caption="CORREO" attribute="1" defaultMemberUniqueName="[clientes].[CORREO].[All]" allUniqueName="[clientes].[CORREO].[All]" dimensionUniqueName="[clientes]" displayFolder="" count="0" memberValueDatatype="130" unbalanced="0"/>
    <cacheHierarchy uniqueName="[extras].[PZAS]" caption="PZAS" attribute="1" defaultMemberUniqueName="[extras].[PZAS].[All]" allUniqueName="[extras].[PZAS].[All]" dimensionUniqueName="[extras]" displayFolder="" count="0" memberValueDatatype="20" unbalanced="0"/>
    <cacheHierarchy uniqueName="[extras].[TIPO]" caption="TIPO" attribute="1" defaultMemberUniqueName="[extras].[TIPO].[All]" allUniqueName="[extras].[TIPO].[All]" dimensionUniqueName="[extras]" displayFolder="" count="0" memberValueDatatype="130" unbalanced="0"/>
    <cacheHierarchy uniqueName="[extras].[NOMBRE]" caption="NOMBRE" attribute="1" defaultMemberUniqueName="[extras].[NOMBRE].[All]" allUniqueName="[extras].[NOMBRE].[All]" dimensionUniqueName="[extras]" displayFolder="" count="0" memberValueDatatype="130" unbalanced="0"/>
    <cacheHierarchy uniqueName="[extras].[MATERIAL / ACCESORIO]" caption="MATERIAL / ACCESORIO" attribute="1" defaultMemberUniqueName="[extras].[MATERIAL / ACCESORIO].[All]" allUniqueName="[extras].[MATERIAL / ACCESORIO].[All]" dimensionUniqueName="[extras]" displayFolder="" count="0" memberValueDatatype="130" unbalanced="0"/>
    <cacheHierarchy uniqueName="[extras].[CLASE]" caption="CLASE" attribute="1" defaultMemberUniqueName="[extras].[CLASE].[All]" allUniqueName="[extras].[CLASE].[All]" dimensionUniqueName="[extras]" displayFolder="" count="0" memberValueDatatype="130" unbalanced="0"/>
    <cacheHierarchy uniqueName="[extras].[PRECIO $ C/U]" caption="PRECIO $ C/U" attribute="1" defaultMemberUniqueName="[extras].[PRECIO $ C/U].[All]" allUniqueName="[extras].[PRECIO $ C/U].[All]" dimensionUniqueName="[extras]" displayFolder="" count="0" memberValueDatatype="20" unbalanced="0"/>
    <cacheHierarchy uniqueName="[extras].[IMP POR POYECTO]" caption="IMP POR POYECTO" attribute="1" defaultMemberUniqueName="[extras].[IMP POR POYECTO].[All]" allUniqueName="[extras].[IMP POR POYECTO].[All]" dimensionUniqueName="[extras]" displayFolder="" count="0" memberValueDatatype="20" unbalanced="0"/>
    <cacheHierarchy uniqueName="[extras].[NUM. DE EJES]" caption="NUM. DE EJES" attribute="1" defaultMemberUniqueName="[extras].[NUM. DE EJES].[All]" allUniqueName="[extras].[NUM. DE EJES].[All]" dimensionUniqueName="[extras]" displayFolder="" count="0" memberValueDatatype="20" unbalanced="0"/>
    <cacheHierarchy uniqueName="[extras].[LARGO]" caption="LARGO" attribute="1" defaultMemberUniqueName="[extras].[LARGO].[All]" allUniqueName="[extras].[LARGO].[All]" dimensionUniqueName="[extras]" displayFolder="" count="0" memberValueDatatype="130" unbalanced="0"/>
    <cacheHierarchy uniqueName="[extras].[OBSERVACION]" caption="OBSERVACION" attribute="1" defaultMemberUniqueName="[extras].[OBSERVACION].[All]" allUniqueName="[extras].[OBSERVACION].[All]" dimensionUniqueName="[extras]" displayFolder="" count="0" memberValueDatatype="130" unbalanced="0"/>
    <cacheHierarchy uniqueName="[otros].[PZAS]" caption="PZAS" attribute="1" defaultMemberUniqueName="[otros].[PZAS].[All]" allUniqueName="[otros].[PZAS].[All]" dimensionUniqueName="[otros]" displayFolder="" count="0" memberValueDatatype="5" unbalanced="0"/>
    <cacheHierarchy uniqueName="[otros].[TIPO]" caption="TIPO" attribute="1" defaultMemberUniqueName="[otros].[TIPO].[All]" allUniqueName="[otros].[TIPO].[All]" dimensionUniqueName="[otros]" displayFolder="" count="0" memberValueDatatype="130" unbalanced="0"/>
    <cacheHierarchy uniqueName="[otros].[NOMBRE]" caption="NOMBRE" attribute="1" defaultMemberUniqueName="[otros].[NOMBRE].[All]" allUniqueName="[otros].[NOMBRE].[All]" dimensionUniqueName="[otros]" displayFolder="" count="0" memberValueDatatype="130" unbalanced="0"/>
    <cacheHierarchy uniqueName="[otros].[MATERIAL / ACCESORIO]" caption="MATERIAL / ACCESORIO" attribute="1" defaultMemberUniqueName="[otros].[MATERIAL / ACCESORIO].[All]" allUniqueName="[otros].[MATERIAL / ACCESORIO].[All]" dimensionUniqueName="[otros]" displayFolder="" count="0" memberValueDatatype="130" unbalanced="0"/>
    <cacheHierarchy uniqueName="[otros].[PRECIO $ C/U]" caption="PRECIO $ C/U" attribute="1" defaultMemberUniqueName="[otros].[PRECIO $ C/U].[All]" allUniqueName="[otros].[PRECIO $ C/U].[All]" dimensionUniqueName="[otros]" displayFolder="" count="0" memberValueDatatype="20" unbalanced="0"/>
    <cacheHierarchy uniqueName="[otros].[IMP POR POYECTO]" caption="IMP POR POYECTO" attribute="1" defaultMemberUniqueName="[otros].[IMP POR POYECTO].[All]" allUniqueName="[otros].[IMP POR POYECTO].[All]" dimensionUniqueName="[otros]" displayFolder="" count="0" memberValueDatatype="5" unbalanced="0"/>
    <cacheHierarchy uniqueName="[otros].[NUM. DE EJES]" caption="NUM. DE EJES" attribute="1" defaultMemberUniqueName="[otros].[NUM. DE EJES].[All]" allUniqueName="[otros].[NUM. DE EJES].[All]" dimensionUniqueName="[otros]" displayFolder="" count="0" memberValueDatatype="20" unbalanced="0"/>
    <cacheHierarchy uniqueName="[otros].[LARGO]" caption="LARGO" attribute="1" defaultMemberUniqueName="[otros].[LARGO].[All]" allUniqueName="[otros].[LARGO].[All]" dimensionUniqueName="[otros]" displayFolder="" count="0" memberValueDatatype="130" unbalanced="0"/>
    <cacheHierarchy uniqueName="[otros].[CLASE]" caption="CLASE" attribute="1" defaultMemberUniqueName="[otros].[CLASE].[All]" allUniqueName="[otros].[CLASE].[All]" dimensionUniqueName="[otros]" displayFolder="" count="0" memberValueDatatype="130" unbalanced="0"/>
    <cacheHierarchy uniqueName="[otros].[OBSERVACION]" caption="OBSERVACION" attribute="1" defaultMemberUniqueName="[otros].[OBSERVACION].[All]" allUniqueName="[otros].[OBSERVACION].[All]" dimensionUniqueName="[otros]" displayFolder="" count="0" memberValueDatatype="130" unbalanced="0"/>
    <cacheHierarchy uniqueName="[Page001].[Column1]" caption="Column1" attribute="1" defaultMemberUniqueName="[Page001].[Column1].[All]" allUniqueName="[Page001].[Column1].[All]" dimensionUniqueName="[Page001]" displayFolder="" count="0" memberValueDatatype="130" unbalanced="0"/>
    <cacheHierarchy uniqueName="[Page001].[Column2]" caption="Column2" attribute="1" defaultMemberUniqueName="[Page001].[Column2].[All]" allUniqueName="[Page001].[Column2].[All]" dimensionUniqueName="[Page001]" displayFolder="" count="0" memberValueDatatype="130" unbalanced="0"/>
    <cacheHierarchy uniqueName="[Page001].[Column3]" caption="Column3" attribute="1" defaultMemberUniqueName="[Page001].[Column3].[All]" allUniqueName="[Page001].[Column3].[All]" dimensionUniqueName="[Page001]" displayFolder="" count="0" memberValueDatatype="130" unbalanced="0"/>
    <cacheHierarchy uniqueName="[Page001].[Column4]" caption="Column4" attribute="1" defaultMemberUniqueName="[Page001].[Column4].[All]" allUniqueName="[Page001].[Column4].[All]" dimensionUniqueName="[Page001]" displayFolder="" count="0" memberValueDatatype="130" unbalanced="0"/>
    <cacheHierarchy uniqueName="[Page001].[Column5]" caption="Column5" attribute="1" defaultMemberUniqueName="[Page001].[Column5].[All]" allUniqueName="[Page001].[Column5].[All]" dimensionUniqueName="[Page001]" displayFolder="" count="0" memberValueDatatype="130" unbalanced="0"/>
    <cacheHierarchy uniqueName="[Page002].[Column1]" caption="Column1" attribute="1" defaultMemberUniqueName="[Page002].[Column1].[All]" allUniqueName="[Page002].[Column1].[All]" dimensionUniqueName="[Page002]" displayFolder="" count="0" memberValueDatatype="130" unbalanced="0"/>
    <cacheHierarchy uniqueName="[Page002].[Column2]" caption="Column2" attribute="1" defaultMemberUniqueName="[Page002].[Column2].[All]" allUniqueName="[Page002].[Column2].[All]" dimensionUniqueName="[Page002]" displayFolder="" count="0" memberValueDatatype="130" unbalanced="0"/>
    <cacheHierarchy uniqueName="[Page003].[Column1]" caption="Column1" attribute="1" defaultMemberUniqueName="[Page003].[Column1].[All]" allUniqueName="[Page003].[Column1].[All]" dimensionUniqueName="[Page003]" displayFolder="" count="0" memberValueDatatype="130" unbalanced="0"/>
    <cacheHierarchy uniqueName="[Page003].[Column2]" caption="Column2" attribute="1" defaultMemberUniqueName="[Page003].[Column2].[All]" allUniqueName="[Page003].[Column2].[All]" dimensionUniqueName="[Page003]" displayFolder="" count="0" memberValueDatatype="130" unbalanced="0"/>
    <cacheHierarchy uniqueName="[Page003].[Column3]" caption="Column3" attribute="1" defaultMemberUniqueName="[Page003].[Column3].[All]" allUniqueName="[Page003].[Column3].[All]" dimensionUniqueName="[Page003]" displayFolder="" count="0" memberValueDatatype="130" unbalanced="0"/>
    <cacheHierarchy uniqueName="[Page003].[Column4]" caption="Column4" attribute="1" defaultMemberUniqueName="[Page003].[Column4].[All]" allUniqueName="[Page003].[Column4].[All]" dimensionUniqueName="[Page003]" displayFolder="" count="0" memberValueDatatype="130" unbalanced="0"/>
    <cacheHierarchy uniqueName="[Page003].[Column5]" caption="Column5" attribute="1" defaultMemberUniqueName="[Page003].[Column5].[All]" allUniqueName="[Page003].[Column5].[All]" dimensionUniqueName="[Page003]" displayFolder="" count="0" memberValueDatatype="130" unbalanced="0"/>
    <cacheHierarchy uniqueName="[piramide].[PZAS]" caption="PZAS" attribute="1" defaultMemberUniqueName="[piramide].[PZAS].[All]" allUniqueName="[piramide].[PZAS].[All]" dimensionUniqueName="[piramide]" displayFolder="" count="0" memberValueDatatype="5" unbalanced="0"/>
    <cacheHierarchy uniqueName="[piramide].[TIPO]" caption="TIPO" attribute="1" defaultMemberUniqueName="[piramide].[TIPO].[All]" allUniqueName="[piramide].[TIPO].[All]" dimensionUniqueName="[piramide]" displayFolder="" count="0" memberValueDatatype="130" unbalanced="0"/>
    <cacheHierarchy uniqueName="[piramide].[NOMBRE]" caption="NOMBRE" attribute="1" defaultMemberUniqueName="[piramide].[NOMBRE].[All]" allUniqueName="[piramide].[NOMBRE].[All]" dimensionUniqueName="[piramide]" displayFolder="" count="0" memberValueDatatype="130" unbalanced="0"/>
    <cacheHierarchy uniqueName="[piramide].[MATERIAL / ACCESORIO]" caption="MATERIAL / ACCESORIO" attribute="1" defaultMemberUniqueName="[piramide].[MATERIAL / ACCESORIO].[All]" allUniqueName="[piramide].[MATERIAL / ACCESORIO].[All]" dimensionUniqueName="[piramide]" displayFolder="" count="0" memberValueDatatype="130" unbalanced="0"/>
    <cacheHierarchy uniqueName="[piramide].[PRECIO $ C/U]" caption="PRECIO $ C/U" attribute="1" defaultMemberUniqueName="[piramide].[PRECIO $ C/U].[All]" allUniqueName="[piramide].[PRECIO $ C/U].[All]" dimensionUniqueName="[piramide]" displayFolder="" count="0" memberValueDatatype="5" unbalanced="0"/>
    <cacheHierarchy uniqueName="[piramide].[IMP POR POYECTO]" caption="IMP POR POYECTO" attribute="1" defaultMemberUniqueName="[piramide].[IMP POR POYECTO].[All]" allUniqueName="[piramide].[IMP POR POYECTO].[All]" dimensionUniqueName="[piramide]" displayFolder="" count="0" memberValueDatatype="5" unbalanced="0"/>
    <cacheHierarchy uniqueName="[piramide].[NUM. DE EJES]" caption="NUM. DE EJES" attribute="1" defaultMemberUniqueName="[piramide].[NUM. DE EJES].[All]" allUniqueName="[piramide].[NUM. DE EJES].[All]" dimensionUniqueName="[piramide]" displayFolder="" count="0" memberValueDatatype="20" unbalanced="0"/>
    <cacheHierarchy uniqueName="[piramide].[LARGO]" caption="LARGO" attribute="1" defaultMemberUniqueName="[piramide].[LARGO].[All]" allUniqueName="[piramide].[LARGO].[All]" dimensionUniqueName="[piramide]" displayFolder="" count="0" memberValueDatatype="130" unbalanced="0"/>
    <cacheHierarchy uniqueName="[piramide].[CLASE]" caption="CLASE" attribute="1" defaultMemberUniqueName="[piramide].[CLASE].[All]" allUniqueName="[piramide].[CLASE].[All]" dimensionUniqueName="[piramide]" displayFolder="" count="0" memberValueDatatype="130" unbalanced="0"/>
    <cacheHierarchy uniqueName="[piramide].[OBSERVACION]" caption="OBSERVACION" attribute="1" defaultMemberUniqueName="[piramide].[OBSERVACION].[All]" allUniqueName="[piramide].[OBSERVACION].[All]" dimensionUniqueName="[piramide]" displayFolder="" count="0" memberValueDatatype="130" unbalanced="0"/>
    <cacheHierarchy uniqueName="[Tabla24].[NOMBRE]" caption="NOMBRE" attribute="1" defaultMemberUniqueName="[Tabla24].[NOMBRE].[All]" allUniqueName="[Tabla24].[NOMBRE].[All]" dimensionUniqueName="[Tabla24]" displayFolder="" count="0" memberValueDatatype="130" unbalanced="0"/>
    <cacheHierarchy uniqueName="[Tabla24].[TIPO]" caption="TIPO" attribute="1" defaultMemberUniqueName="[Tabla24].[TIPO].[All]" allUniqueName="[Tabla24].[TIPO].[All]" dimensionUniqueName="[Tabla24]" displayFolder="" count="0" memberValueDatatype="130" unbalanced="0"/>
    <cacheHierarchy uniqueName="[Tabla24].[NUM. DE EJES]" caption="NUM. DE EJES" attribute="1" defaultMemberUniqueName="[Tabla24].[NUM. DE EJES].[All]" allUniqueName="[Tabla24].[NUM. DE EJES].[All]" dimensionUniqueName="[Tabla24]" displayFolder="" count="0" memberValueDatatype="20" unbalanced="0"/>
    <cacheHierarchy uniqueName="[Tabla24].[LARGO]" caption="LARGO" attribute="1" defaultMemberUniqueName="[Tabla24].[LARGO].[All]" allUniqueName="[Tabla24].[LARGO].[All]" dimensionUniqueName="[Tabla24]" displayFolder="" count="0" memberValueDatatype="130" unbalanced="0"/>
    <cacheHierarchy uniqueName="[Tabla24].[CONCAT]" caption="CONCAT" attribute="1" defaultMemberUniqueName="[Tabla24].[CONCAT].[All]" allUniqueName="[Tabla24].[CONCAT].[All]" dimensionUniqueName="[Tabla24]" displayFolder="" count="0" memberValueDatatype="130" unbalanced="0"/>
    <cacheHierarchy uniqueName="[Tabla24].[Peso Vehicular]" caption="Peso Vehicular" attribute="1" defaultMemberUniqueName="[Tabla24].[Peso Vehicular].[All]" allUniqueName="[Tabla24].[Peso Vehicular].[All]" dimensionUniqueName="[Tabla24]" displayFolder="" count="0" memberValueDatatype="20" unbalanced="0"/>
    <cacheHierarchy uniqueName="[Tabla24].[PBVD:]" caption="PBVD:" attribute="1" defaultMemberUniqueName="[Tabla24].[PBVD:].[All]" allUniqueName="[Tabla24].[PBVD:].[All]" dimensionUniqueName="[Tabla24]" displayFolder="" count="0" memberValueDatatype="20" unbalanced="0"/>
    <cacheHierarchy uniqueName="[Tabla24].[Modelo ABS:]" caption="Modelo ABS:" attribute="1" defaultMemberUniqueName="[Tabla24].[Modelo ABS:].[All]" allUniqueName="[Tabla24].[Modelo ABS:].[All]" dimensionUniqueName="[Tabla24]" displayFolder="" count="0" memberValueDatatype="130" unbalanced="0"/>
    <cacheHierarchy uniqueName="[Tabla24].[CDE ejes traseros:]" caption="CDE ejes traseros:" attribute="1" defaultMemberUniqueName="[Tabla24].[CDE ejes traseros:].[All]" allUniqueName="[Tabla24].[CDE ejes traseros:].[All]" dimensionUniqueName="[Tabla24]" displayFolder="" count="0" memberValueDatatype="20" unbalanced="0"/>
    <cacheHierarchy uniqueName="[Tabla24].[Número de llantas:]" caption="Número de llantas:" attribute="1" defaultMemberUniqueName="[Tabla24].[Número de llantas:].[All]" allUniqueName="[Tabla24].[Número de llantas:].[All]" dimensionUniqueName="[Tabla24]" displayFolder="" count="0" memberValueDatatype="20" unbalanced="0"/>
    <cacheHierarchy uniqueName="[Tabla24].[Capacidad de eje en posición de montaje:]" caption="Capacidad de eje en posición de montaje:" attribute="1" defaultMemberUniqueName="[Tabla24].[Capacidad de eje en posición de montaje:].[All]" allUniqueName="[Tabla24].[Capacidad de eje en posición de montaje:].[All]" dimensionUniqueName="[Tabla24]" displayFolder="" count="0" memberValueDatatype="20" unbalanced="0"/>
    <cacheHierarchy uniqueName="[Tabla24].[Capacidad de espigas de eje:]" caption="Capacidad de espigas de eje:" attribute="1" defaultMemberUniqueName="[Tabla24].[Capacidad de espigas de eje:].[All]" allUniqueName="[Tabla24].[Capacidad de espigas de eje:].[All]" dimensionUniqueName="[Tabla24]" displayFolder="" count="0" memberValueDatatype="20" unbalanced="0"/>
    <cacheHierarchy uniqueName="[Tabla24].[Longitud]" caption="Longitud" attribute="1" defaultMemberUniqueName="[Tabla24].[Longitud].[All]" allUniqueName="[Tabla24].[Longitud].[All]" dimensionUniqueName="[Tabla24]" displayFolder="" count="0" memberValueDatatype="5" unbalanced="0"/>
    <cacheHierarchy uniqueName="[Table001  Page 1].[Column1]" caption="Column1" attribute="1" defaultMemberUniqueName="[Table001  Page 1].[Column1].[All]" allUniqueName="[Table001  Page 1].[Column1].[All]" dimensionUniqueName="[Table001  Page 1]" displayFolder="" count="0" memberValueDatatype="130" unbalanced="0"/>
    <cacheHierarchy uniqueName="[Table002  Page 3].[Column1]" caption="Column1" attribute="1" defaultMemberUniqueName="[Table002  Page 3].[Column1].[All]" allUniqueName="[Table002  Page 3].[Column1].[All]" dimensionUniqueName="[Table002  Page 3]" displayFolder="" count="0" memberValueDatatype="130" unbalanced="0"/>
    <cacheHierarchy uniqueName="[Table002  Page 3].[Column2]" caption="Column2" attribute="1" defaultMemberUniqueName="[Table002  Page 3].[Column2].[All]" allUniqueName="[Table002  Page 3].[Column2].[All]" dimensionUniqueName="[Table002  Page 3]" displayFolder="" count="0" memberValueDatatype="130" unbalanced="0"/>
    <cacheHierarchy uniqueName="[Table004  Page 3].[Column1]" caption="Column1" attribute="1" defaultMemberUniqueName="[Table004  Page 3].[Column1].[All]" allUniqueName="[Table004  Page 3].[Column1].[All]" dimensionUniqueName="[Table004  Page 3]" displayFolder="" count="0" memberValueDatatype="130" unbalanced="0"/>
    <cacheHierarchy uniqueName="[Table004  Page 3].[Column2]" caption="Column2" attribute="1" defaultMemberUniqueName="[Table004  Page 3].[Column2].[All]" allUniqueName="[Table004  Page 3].[Column2].[All]" dimensionUniqueName="[Table004  Page 3]" displayFolder="" count="0" memberValueDatatype="130" unbalanced="0"/>
    <cacheHierarchy uniqueName="[truckzone].[PZAS]" caption="PZAS" attribute="1" defaultMemberUniqueName="[truckzone].[PZAS].[All]" allUniqueName="[truckzone].[PZAS].[All]" dimensionUniqueName="[truckzone]" displayFolder="" count="0" memberValueDatatype="5" unbalanced="0"/>
    <cacheHierarchy uniqueName="[truckzone].[TIPO]" caption="TIPO" attribute="1" defaultMemberUniqueName="[truckzone].[TIPO].[All]" allUniqueName="[truckzone].[TIPO].[All]" dimensionUniqueName="[truckzone]" displayFolder="" count="0" memberValueDatatype="130" unbalanced="0"/>
    <cacheHierarchy uniqueName="[truckzone].[NOMBRE]" caption="NOMBRE" attribute="1" defaultMemberUniqueName="[truckzone].[NOMBRE].[All]" allUniqueName="[truckzone].[NOMBRE].[All]" dimensionUniqueName="[truckzone]" displayFolder="" count="0" memberValueDatatype="130" unbalanced="0"/>
    <cacheHierarchy uniqueName="[truckzone].[MATERIAL / ACCESORIO]" caption="MATERIAL / ACCESORIO" attribute="1" defaultMemberUniqueName="[truckzone].[MATERIAL / ACCESORIO].[All]" allUniqueName="[truckzone].[MATERIAL / ACCESORIO].[All]" dimensionUniqueName="[truckzone]" displayFolder="" count="0" memberValueDatatype="130" unbalanced="0"/>
    <cacheHierarchy uniqueName="[truckzone].[PRECIO $ C/U]" caption="PRECIO $ C/U" attribute="1" defaultMemberUniqueName="[truckzone].[PRECIO $ C/U].[All]" allUniqueName="[truckzone].[PRECIO $ C/U].[All]" dimensionUniqueName="[truckzone]" displayFolder="" count="0" memberValueDatatype="5" unbalanced="0"/>
    <cacheHierarchy uniqueName="[truckzone].[IMP POR POYECTO]" caption="IMP POR POYECTO" attribute="1" defaultMemberUniqueName="[truckzone].[IMP POR POYECTO].[All]" allUniqueName="[truckzone].[IMP POR POYECTO].[All]" dimensionUniqueName="[truckzone]" displayFolder="" count="0" memberValueDatatype="5" unbalanced="0"/>
    <cacheHierarchy uniqueName="[truckzone].[NUM. DE EJES]" caption="NUM. DE EJES" attribute="1" defaultMemberUniqueName="[truckzone].[NUM. DE EJES].[All]" allUniqueName="[truckzone].[NUM. DE EJES].[All]" dimensionUniqueName="[truckzone]" displayFolder="" count="0" memberValueDatatype="20" unbalanced="0"/>
    <cacheHierarchy uniqueName="[truckzone].[LARGO]" caption="LARGO" attribute="1" defaultMemberUniqueName="[truckzone].[LARGO].[All]" allUniqueName="[truckzone].[LARGO].[All]" dimensionUniqueName="[truckzone]" displayFolder="" count="0" memberValueDatatype="130" unbalanced="0"/>
    <cacheHierarchy uniqueName="[truckzone].[CLASE]" caption="CLASE" attribute="1" defaultMemberUniqueName="[truckzone].[CLASE].[All]" allUniqueName="[truckzone].[CLASE].[All]" dimensionUniqueName="[truckzone]" displayFolder="" count="0" memberValueDatatype="130" unbalanced="0"/>
    <cacheHierarchy uniqueName="[truckzone].[OBSERVACION]" caption="OBSERVACION" attribute="1" defaultMemberUniqueName="[truckzone].[OBSERVACION].[All]" allUniqueName="[truckzone].[OBSERVACION].[All]" dimensionUniqueName="[truckzone]" displayFolder="" count="0" memberValueDatatype="130" unbalanced="0"/>
    <cacheHierarchy uniqueName="[CHASIS].[FECHE/ENTRGA (índice de meses)]" caption="FECHE/ENTRGA (índice de meses)" attribute="1" defaultMemberUniqueName="[CHASIS].[FECHE/ENTRGA (índice de meses)].[All]" allUniqueName="[CHASIS].[FECHE/ENTRGA (índice de meses)].[All]" dimensionUniqueName="[CHASIS]" displayFolder="" count="0" memberValueDatatype="20" unbalanced="0" hidden="1"/>
    <cacheHierarchy uniqueName="[Measures].[__XL_Count extras]" caption="__XL_Count extras" measure="1" displayFolder="" measureGroup="extras" count="0" hidden="1"/>
    <cacheHierarchy uniqueName="[Measures].[__XL_Count otros]" caption="__XL_Count otros" measure="1" displayFolder="" measureGroup="otros" count="0" hidden="1"/>
    <cacheHierarchy uniqueName="[Measures].[__XL_Count piramide]" caption="__XL_Count piramide" measure="1" displayFolder="" measureGroup="piramide" count="0" hidden="1"/>
    <cacheHierarchy uniqueName="[Measures].[__XL_Count truckzone]" caption="__XL_Count truckzone" measure="1" displayFolder="" measureGroup="truckzone" count="0" hidden="1"/>
    <cacheHierarchy uniqueName="[Measures].[__XL_Count Tabla24]" caption="__XL_Count Tabla24" measure="1" displayFolder="" measureGroup="Tabla24" count="0" hidden="1"/>
    <cacheHierarchy uniqueName="[Measures].[__XL_Count ACERO 1]" caption="__XL_Count ACERO 1" measure="1" displayFolder="" measureGroup="ACERO 1" count="0" hidden="1"/>
    <cacheHierarchy uniqueName="[Measures].[__XL_Count Table001  Page 1]" caption="__XL_Count Table001  Page 1" measure="1" displayFolder="" measureGroup="Table001  Page 1" count="0" hidden="1"/>
    <cacheHierarchy uniqueName="[Measures].[__XL_Count Table002  Page 3]" caption="__XL_Count Table002  Page 3" measure="1" displayFolder="" measureGroup="Table002  Page 3" count="0" hidden="1"/>
    <cacheHierarchy uniqueName="[Measures].[__XL_Count Table004  Page 3]" caption="__XL_Count Table004  Page 3" measure="1" displayFolder="" measureGroup="Table004  Page 3" count="0" hidden="1"/>
    <cacheHierarchy uniqueName="[Measures].[__XL_Count Page001]" caption="__XL_Count Page001" measure="1" displayFolder="" measureGroup="Page001" count="0" hidden="1"/>
    <cacheHierarchy uniqueName="[Measures].[__XL_Count Page003]" caption="__XL_Count Page003" measure="1" displayFolder="" measureGroup="Page003" count="0" hidden="1"/>
    <cacheHierarchy uniqueName="[Measures].[__XL_Count Page002]" caption="__XL_Count Page002" measure="1" displayFolder="" measureGroup="Page002" count="0" hidden="1"/>
    <cacheHierarchy uniqueName="[Measures].[__XL_Count CHASIS]" caption="__XL_Count CHASIS" measure="1" displayFolder="" measureGroup="CHASIS" count="0" hidden="1"/>
    <cacheHierarchy uniqueName="[Measures].[__XL_Count clientes]" caption="__XL_Count clientes" measure="1" displayFolder="" measureGroup="clientes" count="0" hidden="1"/>
    <cacheHierarchy uniqueName="[Measures].[__No measures defined]" caption="__No measures defined" measure="1" displayFolder="" count="0" hidden="1"/>
    <cacheHierarchy uniqueName="[Measures].[Suma de IMP POR POYECTO 3]" caption="Suma de IMP POR POYECTO 3" measure="1" displayFolder="" measureGroup="otros" count="0" hidden="1">
      <extLst>
        <ext xmlns:x15="http://schemas.microsoft.com/office/spreadsheetml/2010/11/main" uri="{B97F6D7D-B522-45F9-BDA1-12C45D357490}">
          <x15:cacheHierarchy aggregatedColumn="44"/>
        </ext>
      </extLst>
    </cacheHierarchy>
    <cacheHierarchy uniqueName="[Measures].[Suma de IMP POR POYECTO 4]" caption="Suma de IMP POR POYECTO 4" measure="1" displayFolder="" measureGroup="piramide" count="0" hidden="1">
      <extLst>
        <ext xmlns:x15="http://schemas.microsoft.com/office/spreadsheetml/2010/11/main" uri="{B97F6D7D-B522-45F9-BDA1-12C45D357490}">
          <x15:cacheHierarchy aggregatedColumn="66"/>
        </ext>
      </extLst>
    </cacheHierarchy>
    <cacheHierarchy uniqueName="[Measures].[Suma de IMP POR POYECTO 5]" caption="Suma de IMP POR POYECTO 5" measure="1" displayFolder="" measureGroup="extras" count="0" hidden="1">
      <extLst>
        <ext xmlns:x15="http://schemas.microsoft.com/office/spreadsheetml/2010/11/main" uri="{B97F6D7D-B522-45F9-BDA1-12C45D357490}">
          <x15:cacheHierarchy aggregatedColumn="35"/>
        </ext>
      </extLst>
    </cacheHierarchy>
    <cacheHierarchy uniqueName="[Measures].[Suma de IMP POR POYECTO 6]" caption="Suma de IMP POR POYECTO 6" measure="1" displayFolder="" measureGroup="truckzone" count="0" hidden="1">
      <extLst>
        <ext xmlns:x15="http://schemas.microsoft.com/office/spreadsheetml/2010/11/main" uri="{B97F6D7D-B522-45F9-BDA1-12C45D357490}">
          <x15:cacheHierarchy aggregatedColumn="94"/>
        </ext>
      </extLst>
    </cacheHierarchy>
    <cacheHierarchy uniqueName="[Measures].[Suma de PZAS 2]" caption="Suma de PZAS 2" measure="1" displayFolder="" measureGroup="otros" count="0" hidden="1">
      <extLst>
        <ext xmlns:x15="http://schemas.microsoft.com/office/spreadsheetml/2010/11/main" uri="{B97F6D7D-B522-45F9-BDA1-12C45D357490}">
          <x15:cacheHierarchy aggregatedColumn="39"/>
        </ext>
      </extLst>
    </cacheHierarchy>
    <cacheHierarchy uniqueName="[Measures].[Suma de PZAS 3]" caption="Suma de PZAS 3" measure="1" displayFolder="" measureGroup="extras" count="0" hidden="1">
      <extLst>
        <ext xmlns:x15="http://schemas.microsoft.com/office/spreadsheetml/2010/11/main" uri="{B97F6D7D-B522-45F9-BDA1-12C45D357490}">
          <x15:cacheHierarchy aggregatedColumn="29"/>
        </ext>
      </extLst>
    </cacheHierarchy>
    <cacheHierarchy uniqueName="[Measures].[Suma de PZAS 4]" caption="Suma de PZAS 4" measure="1" displayFolder="" measureGroup="piramide" count="0" hidden="1">
      <extLst>
        <ext xmlns:x15="http://schemas.microsoft.com/office/spreadsheetml/2010/11/main" uri="{B97F6D7D-B522-45F9-BDA1-12C45D357490}">
          <x15:cacheHierarchy aggregatedColumn="61"/>
        </ext>
      </extLst>
    </cacheHierarchy>
    <cacheHierarchy uniqueName="[Measures].[Suma de PZAS 5]" caption="Suma de PZAS 5" measure="1" displayFolder="" measureGroup="truckzone" count="0" hidden="1">
      <extLst>
        <ext xmlns:x15="http://schemas.microsoft.com/office/spreadsheetml/2010/11/main" uri="{B97F6D7D-B522-45F9-BDA1-12C45D357490}">
          <x15:cacheHierarchy aggregatedColumn="89"/>
        </ext>
      </extLst>
    </cacheHierarchy>
    <cacheHierarchy uniqueName="[Measures].[Suma de IMP POR POYECTO]" caption="Suma de IMP POR POYECTO" measure="1" displayFolder="" measureGroup="ACERO 1" count="0" hidden="1">
      <extLst>
        <ext xmlns:x15="http://schemas.microsoft.com/office/spreadsheetml/2010/11/main" uri="{B97F6D7D-B522-45F9-BDA1-12C45D357490}">
          <x15:cacheHierarchy aggregatedColumn="5"/>
        </ext>
      </extLst>
    </cacheHierarchy>
    <cacheHierarchy uniqueName="[Measures].[Suma de PZAS 6]" caption="Suma de PZAS 6" measure="1" displayFolder="" measureGroup="ACERO 1" count="0" hidden="1">
      <extLst>
        <ext xmlns:x15="http://schemas.microsoft.com/office/spreadsheetml/2010/11/main" uri="{B97F6D7D-B522-45F9-BDA1-12C45D357490}">
          <x15:cacheHierarchy aggregatedColumn="0"/>
        </ext>
      </extLst>
    </cacheHierarchy>
    <cacheHierarchy uniqueName="[Measures].[Recuento de MATERIAL / ACCESORIO]" caption="Recuento de MATERIAL / ACCESORIO" measure="1" displayFolder="" measureGroup="extras" count="0" hidden="1">
      <extLst>
        <ext xmlns:x15="http://schemas.microsoft.com/office/spreadsheetml/2010/11/main" uri="{B97F6D7D-B522-45F9-BDA1-12C45D357490}">
          <x15:cacheHierarchy aggregatedColumn="32"/>
        </ext>
      </extLst>
    </cacheHierarchy>
    <cacheHierarchy uniqueName="[Measures].[Recuento de TIPO]" caption="Recuento de TIPO" measure="1" displayFolder="" measureGroup="extras" count="0" hidden="1">
      <extLst>
        <ext xmlns:x15="http://schemas.microsoft.com/office/spreadsheetml/2010/11/main" uri="{B97F6D7D-B522-45F9-BDA1-12C45D357490}">
          <x15:cacheHierarchy aggregatedColumn="30"/>
        </ext>
      </extLst>
    </cacheHierarchy>
    <cacheHierarchy uniqueName="[Measures].[Suma de PAGO]" caption="Suma de PAGO" measure="1" displayFolder="" measureGroup="CHASIS" count="0" hidden="1">
      <extLst>
        <ext xmlns:x15="http://schemas.microsoft.com/office/spreadsheetml/2010/11/main" uri="{B97F6D7D-B522-45F9-BDA1-12C45D357490}">
          <x15:cacheHierarchy aggregatedColumn="14"/>
        </ext>
      </extLst>
    </cacheHierarchy>
    <cacheHierarchy uniqueName="[Measures].[Suma de P/U]" caption="Suma de P/U" measure="1" displayFolder="" measureGroup="CHASIS" count="0" hidden="1">
      <extLst>
        <ext xmlns:x15="http://schemas.microsoft.com/office/spreadsheetml/2010/11/main" uri="{B97F6D7D-B522-45F9-BDA1-12C45D357490}">
          <x15:cacheHierarchy aggregatedColumn="13"/>
        </ext>
      </extLst>
    </cacheHierarchy>
    <cacheHierarchy uniqueName="[Measures].[Suma de ADEUDO]" caption="Suma de ADEUDO" measure="1" displayFolder="" measureGroup="CHASIS" count="0" hidden="1">
      <extLst>
        <ext xmlns:x15="http://schemas.microsoft.com/office/spreadsheetml/2010/11/main" uri="{B97F6D7D-B522-45F9-BDA1-12C45D357490}">
          <x15:cacheHierarchy aggregatedColumn="15"/>
        </ext>
      </extLst>
    </cacheHierarchy>
  </cacheHierarchies>
  <kpis count="0"/>
  <dimensions count="15">
    <dimension name="ACERO 1" uniqueName="[ACERO 1]" caption="ACERO 1"/>
    <dimension name="CHASIS" uniqueName="[CHASIS]" caption="CHASIS"/>
    <dimension name="clientes" uniqueName="[clientes]" caption="clientes"/>
    <dimension name="extras" uniqueName="[extras]" caption="extras"/>
    <dimension measure="1" name="Measures" uniqueName="[Measures]" caption="Measures"/>
    <dimension name="otros" uniqueName="[otros]" caption="otros"/>
    <dimension name="Page001" uniqueName="[Page001]" caption="Page001"/>
    <dimension name="Page002" uniqueName="[Page002]" caption="Page002"/>
    <dimension name="Page003" uniqueName="[Page003]" caption="Page003"/>
    <dimension name="piramide" uniqueName="[piramide]" caption="piramide"/>
    <dimension name="Tabla24" uniqueName="[Tabla24]" caption="Tabla24"/>
    <dimension name="Table001  Page 1" uniqueName="[Table001  Page 1]" caption="Table001  Page 1"/>
    <dimension name="Table002  Page 3" uniqueName="[Table002  Page 3]" caption="Table002  Page 3"/>
    <dimension name="Table004  Page 3" uniqueName="[Table004  Page 3]" caption="Table004  Page 3"/>
    <dimension name="truckzone" uniqueName="[truckzone]" caption="truckzone"/>
  </dimensions>
  <measureGroups count="14">
    <measureGroup name="ACERO 1" caption="ACERO 1"/>
    <measureGroup name="CHASIS" caption="CHASIS"/>
    <measureGroup name="clientes" caption="clientes"/>
    <measureGroup name="extras" caption="extras"/>
    <measureGroup name="otros" caption="otros"/>
    <measureGroup name="Page001" caption="Page001"/>
    <measureGroup name="Page002" caption="Page002"/>
    <measureGroup name="Page003" caption="Page003"/>
    <measureGroup name="piramide" caption="piramide"/>
    <measureGroup name="Tabla24" caption="Tabla24"/>
    <measureGroup name="Table001  Page 1" caption="Table001  Page 1"/>
    <measureGroup name="Table002  Page 3" caption="Table002  Page 3"/>
    <measureGroup name="Table004  Page 3" caption="Table004  Page 3"/>
    <measureGroup name="truckzone" caption="truckzone"/>
  </measureGroups>
  <maps count="19">
    <map measureGroup="0" dimension="0"/>
    <map measureGroup="0" dimension="10"/>
    <map measureGroup="1" dimension="1"/>
    <map measureGroup="2" dimension="2"/>
    <map measureGroup="3" dimension="3"/>
    <map measureGroup="3" dimension="10"/>
    <map measureGroup="4" dimension="5"/>
    <map measureGroup="4" dimension="10"/>
    <map measureGroup="5" dimension="6"/>
    <map measureGroup="6" dimension="7"/>
    <map measureGroup="7" dimension="8"/>
    <map measureGroup="8" dimension="9"/>
    <map measureGroup="8" dimension="10"/>
    <map measureGroup="9" dimension="10"/>
    <map measureGroup="10" dimension="11"/>
    <map measureGroup="11" dimension="12"/>
    <map measureGroup="12" dimension="13"/>
    <map measureGroup="13" dimension="10"/>
    <map measureGroup="13" dimension="14"/>
  </maps>
  <extLst>
    <ext xmlns:x14="http://schemas.microsoft.com/office/spreadsheetml/2009/9/main" uri="{725AE2AE-9491-48be-B2B4-4EB974FC3084}">
      <x14:pivotCacheDefinition slicerData="1" pivotCacheId="48018415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F4DF7A5-4B1F-4932-B9B9-84BF181716AE}" name="presupuesto1" cacheId="0" applyNumberFormats="0" applyBorderFormats="0" applyFontFormats="0" applyPatternFormats="0" applyAlignmentFormats="0" applyWidthHeightFormats="1" dataCaption="Valores" tag="60e6f063-5e89-4cdc-95fc-ea265c9b8271" updatedVersion="8" minRefreshableVersion="3" subtotalHiddenItems="1" itemPrintTitles="1" createdVersion="8" indent="0" compact="0" compactData="0" gridDropZones="1" multipleFieldFilters="0">
  <location ref="B7:C73" firstHeaderRow="2" firstDataRow="2" firstDataCol="1" rowPageCount="3" colPageCount="1"/>
  <pivotFields count="5">
    <pivotField axis="axisRow" compact="0" allDrilled="1" outline="0" subtotalTop="0" showAll="0" dataSourceSort="1" defaultSubtotal="0" defaultAttributeDrillState="1">
      <items count="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s>
    </pivotField>
    <pivotField dataField="1" compact="0" outline="0" subtotalTop="0" showAll="0" defaultSubtotal="0"/>
    <pivotField axis="axisPage" compact="0" allDrilled="1" outline="0" subtotalTop="0" showAll="0" dataSourceSort="1" defaultSubtotal="0" defaultAttributeDrillState="1"/>
    <pivotField axis="axisPage" compact="0" allDrilled="1" outline="0" subtotalTop="0" showAll="0" dataSourceSort="1" defaultSubtotal="0" defaultAttributeDrillState="1"/>
    <pivotField axis="axisPage" compact="0" allDrilled="1" outline="0" subtotalTop="0" showAll="0" dataSourceSort="1" defaultSubtotal="0" defaultAttributeDrillState="1"/>
  </pivotFields>
  <rowFields count="1">
    <field x="0"/>
  </rowFields>
  <rowItems count="6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t="grand">
      <x/>
    </i>
  </rowItems>
  <colItems count="1">
    <i/>
  </colItems>
  <pageFields count="3">
    <pageField fld="2" hier="48" name="[PRESUP].[LARGO].&amp;[40 FT]" cap="40 FT"/>
    <pageField fld="3" hier="47" name="[PRESUP].[NUM. DE EJES].&amp;[2]" cap="2"/>
    <pageField fld="4" hier="42" name="[PRESUP].[NOMBRE].&amp;[PLATAFORMA 2 40 FT]" cap="PLATAFORMA 2 40 FT"/>
  </pageFields>
  <dataFields count="1">
    <dataField name="IMP POR POYECTO_" fld="1" baseField="0" baseItem="0" numFmtId="165"/>
  </dataField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PRESUP].[NOMBRE].&amp;[PLATAFORMA 2 40 FT]"/>
      </members>
    </pivotHierarchy>
    <pivotHierarchy dragToData="1"/>
    <pivotHierarchy multipleItemSelectionAllowed="1" dragToData="1"/>
    <pivotHierarchy dragToData="1"/>
    <pivotHierarchy dragToData="1"/>
    <pivotHierarchy multipleItemSelectionAllowed="1" dragToData="1">
      <members count="1" level="1">
        <member name="[PRESUP].[NUM. DE EJES].&amp;[2]"/>
      </members>
    </pivotHierarchy>
    <pivotHierarchy multipleItemSelectionAllowed="1" dragToData="1">
      <members count="1" level="1">
        <member name="[PRESUP].[LARGO].&amp;[40 F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IMP POR POYECTO_"/>
    <pivotHierarchy dragToData="1"/>
    <pivotHierarchy dragToData="1"/>
    <pivotHierarchy dragToData="1"/>
    <pivotHierarchy dragToData="1"/>
    <pivotHierarchy dragToData="1"/>
  </pivotHierarchies>
  <pivotTableStyleInfo name="PivotStyleDark5" showRowHeaders="1" showColHeaders="1" showRowStripes="0" showColStripes="0" showLastColumn="1"/>
  <rowHierarchiesUsage count="1">
    <rowHierarchyUsage hierarchyUsage="4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PRESUP]"/>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827787E-4B65-4819-9324-2E2180BC1B7A}" name="ACERO1" cacheId="1" applyNumberFormats="0" applyBorderFormats="0" applyFontFormats="0" applyPatternFormats="0" applyAlignmentFormats="0" applyWidthHeightFormats="1" dataCaption="Valores" tag="762a9d15-a950-4988-ae10-ec0cfc19fb32" updatedVersion="8" minRefreshableVersion="3" subtotalHiddenItems="1" itemPrintTitles="1" createdVersion="8" indent="0" outline="1" outlineData="1" multipleFieldFilters="0">
  <location ref="B24:D47" firstHeaderRow="0" firstDataRow="1" firstDataCol="1" rowPageCount="1" colPageCount="1"/>
  <pivotFields count="5">
    <pivotField axis="axisRow" allDrilled="1" subtotalTop="0" showAll="0" dataSourceSort="1" defaultSubtotal="0" defaultAttributeDrillState="1">
      <items count="22">
        <item x="0"/>
        <item x="1"/>
        <item x="2"/>
        <item x="3"/>
        <item x="4"/>
        <item x="5"/>
        <item x="6"/>
        <item x="7"/>
        <item x="8"/>
        <item x="9"/>
        <item x="10"/>
        <item x="11"/>
        <item x="12"/>
        <item x="13"/>
        <item x="14"/>
        <item x="15"/>
        <item x="16"/>
        <item x="17"/>
        <item x="18"/>
        <item x="19"/>
        <item x="20"/>
        <item x="21"/>
      </items>
    </pivotField>
    <pivotField dataField="1" subtotalTop="0" showAll="0" defaultSubtotal="0"/>
    <pivotField axis="axisPage"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23">
    <i>
      <x/>
    </i>
    <i>
      <x v="1"/>
    </i>
    <i>
      <x v="2"/>
    </i>
    <i>
      <x v="3"/>
    </i>
    <i>
      <x v="4"/>
    </i>
    <i>
      <x v="5"/>
    </i>
    <i>
      <x v="6"/>
    </i>
    <i>
      <x v="7"/>
    </i>
    <i>
      <x v="8"/>
    </i>
    <i>
      <x v="9"/>
    </i>
    <i>
      <x v="10"/>
    </i>
    <i>
      <x v="11"/>
    </i>
    <i>
      <x v="12"/>
    </i>
    <i>
      <x v="13"/>
    </i>
    <i>
      <x v="14"/>
    </i>
    <i>
      <x v="15"/>
    </i>
    <i>
      <x v="16"/>
    </i>
    <i>
      <x v="17"/>
    </i>
    <i>
      <x v="18"/>
    </i>
    <i>
      <x v="19"/>
    </i>
    <i>
      <x v="20"/>
    </i>
    <i>
      <x v="21"/>
    </i>
    <i t="grand">
      <x/>
    </i>
  </rowItems>
  <colFields count="1">
    <field x="-2"/>
  </colFields>
  <colItems count="2">
    <i>
      <x/>
    </i>
    <i i="1">
      <x v="1"/>
    </i>
  </colItems>
  <pageFields count="1">
    <pageField fld="2" hier="8" name="[ACERO 1].[CLASE].&amp;[ACERO]" cap="ACERO"/>
  </pageFields>
  <dataFields count="2">
    <dataField name="IMP POR POYECTO" fld="1" baseField="0" baseItem="0" numFmtId="165"/>
    <dataField name="PZAS" fld="3" baseField="0" baseItem="0"/>
  </dataFields>
  <formats count="6">
    <format dxfId="196">
      <pivotArea type="all" dataOnly="0" outline="0" fieldPosition="0"/>
    </format>
    <format dxfId="195">
      <pivotArea outline="0" collapsedLevelsAreSubtotals="1" fieldPosition="0"/>
    </format>
    <format dxfId="194">
      <pivotArea field="0" type="button" dataOnly="0" labelOnly="1" outline="0" axis="axisRow" fieldPosition="0"/>
    </format>
    <format dxfId="193">
      <pivotArea dataOnly="0" labelOnly="1" fieldPosition="0">
        <references count="1">
          <reference field="0" count="0"/>
        </references>
      </pivotArea>
    </format>
    <format dxfId="192">
      <pivotArea dataOnly="0" labelOnly="1" grandRow="1" outline="0" fieldPosition="0"/>
    </format>
    <format dxfId="191">
      <pivotArea dataOnly="0" labelOnly="1" outline="0" fieldPosition="0">
        <references count="1">
          <reference field="4294967294" count="2">
            <x v="0"/>
            <x v="1"/>
          </reference>
        </references>
      </pivotArea>
    </format>
  </formats>
  <pivotHierarchies count="130">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a24].[NOMBRE].&amp;[PLATAFORMA 2 35 F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IMP POR POYECTO"/>
    <pivotHierarchy dragToData="1" caption="PZAS"/>
    <pivotHierarchy dragToData="1"/>
    <pivotHierarchy dragToData="1"/>
    <pivotHierarchy dragToData="1"/>
    <pivotHierarchy dragToData="1"/>
    <pivotHierarchy dragToData="1"/>
  </pivotHierarchies>
  <pivotTableStyleInfo name="PivotStyleMedium2"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CERO 1]"/>
        <x15:activeTabTopLevelEntity name="[Tabla24]"/>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006766-233A-4CEC-AC29-5E2ABAD233E0}" name="CARAC_PRINC" cacheId="6" applyNumberFormats="0" applyBorderFormats="0" applyFontFormats="0" applyPatternFormats="0" applyAlignmentFormats="0" applyWidthHeightFormats="1" dataCaption="Valores" tag="cb5e433f-cff7-4c3d-a347-61de50686433" updatedVersion="8" minRefreshableVersion="3" useAutoFormatting="1" subtotalHiddenItems="1" itemPrintTitles="1" createdVersion="5" indent="0" outline="1" outlineData="1" multipleFieldFilters="0">
  <location ref="O7" firstHeaderRow="0" firstDataRow="0" firstDataCol="0" rowPageCount="2" colPageCount="1"/>
  <pivotFields count="3">
    <pivotField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s>
  <pageFields count="2">
    <pageField fld="1" hier="73" name="[Tabla24].[NUM. DE EJES].[All]" cap="All"/>
    <pageField fld="2" hier="74" name="[Tabla24].[LARGO].[All]" cap="All"/>
  </pageFields>
  <pivotHierarchies count="130">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a24].[NOMBRE].&amp;[PLATAFORMA 2 35 FT]"/>
      </members>
    </pivotHierarchy>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a24]"/>
        <x15:activeTabTopLevelEntity name="[ACERO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69EE583-FF6C-4202-8E78-A54E3CA204D7}" name="truckzone" cacheId="3" applyNumberFormats="0" applyBorderFormats="0" applyFontFormats="0" applyPatternFormats="0" applyAlignmentFormats="0" applyWidthHeightFormats="1" dataCaption="Valores" tag="7cfd6a8c-14ed-4c24-b51d-369a2fb42894" updatedVersion="8" minRefreshableVersion="3" subtotalHiddenItems="1" itemPrintTitles="1" createdVersion="5" indent="0" outline="1" outlineData="1" multipleFieldFilters="0">
  <location ref="B74:D102" firstHeaderRow="0" firstDataRow="1" firstDataCol="1" rowPageCount="1" colPageCount="1"/>
  <pivotFields count="5">
    <pivotField axis="axisRow" allDrilled="1" subtotalTop="0" showAll="0" dataSourceSort="1" defaultSubtotal="0" defaultAttributeDrillState="1">
      <items count="27">
        <item x="0"/>
        <item x="1"/>
        <item x="2"/>
        <item x="3"/>
        <item x="4"/>
        <item x="5"/>
        <item x="6"/>
        <item x="7"/>
        <item x="8"/>
        <item x="9"/>
        <item x="10"/>
        <item x="11"/>
        <item x="12"/>
        <item x="13"/>
        <item x="14"/>
        <item x="15"/>
        <item x="16"/>
        <item x="17"/>
        <item x="18"/>
        <item x="19"/>
        <item x="20"/>
        <item x="21"/>
        <item x="22"/>
        <item x="23"/>
        <item x="24"/>
        <item x="25"/>
        <item x="26"/>
      </items>
    </pivotField>
    <pivotField axis="axisPage" allDrilled="1" subtotalTop="0" showAll="0" dataSourceSort="1" defaultSubtotal="0" defaultAttributeDrillState="1"/>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rowItems>
  <colFields count="1">
    <field x="-2"/>
  </colFields>
  <colItems count="2">
    <i>
      <x/>
    </i>
    <i i="1">
      <x v="1"/>
    </i>
  </colItems>
  <pageFields count="1">
    <pageField fld="1" hier="97" name="[truckzone].[CLASE].&amp;[TRUCKZONE]" cap="TRUCKZONE"/>
  </pageFields>
  <dataFields count="2">
    <dataField name="IMP POR POYECTO_" fld="2" baseField="0" baseItem="0" numFmtId="165"/>
    <dataField name="PZAS" fld="3" baseField="0" baseItem="1"/>
  </dataFields>
  <formats count="6">
    <format dxfId="202">
      <pivotArea type="all" dataOnly="0" outline="0" fieldPosition="0"/>
    </format>
    <format dxfId="201">
      <pivotArea outline="0" collapsedLevelsAreSubtotals="1" fieldPosition="0"/>
    </format>
    <format dxfId="200">
      <pivotArea field="0" type="button" dataOnly="0" labelOnly="1" outline="0" axis="axisRow" fieldPosition="0"/>
    </format>
    <format dxfId="199">
      <pivotArea dataOnly="0" labelOnly="1" fieldPosition="0">
        <references count="1">
          <reference field="0" count="0"/>
        </references>
      </pivotArea>
    </format>
    <format dxfId="198">
      <pivotArea dataOnly="0" labelOnly="1" grandRow="1" outline="0" fieldPosition="0"/>
    </format>
    <format dxfId="197">
      <pivotArea dataOnly="0" labelOnly="1" outline="0" fieldPosition="0">
        <references count="1">
          <reference field="4294967294" count="2">
            <x v="0"/>
            <x v="1"/>
          </reference>
        </references>
      </pivotArea>
    </format>
  </formats>
  <pivotHierarchies count="130">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a24].[NOMBRE].&amp;[PLATAFORMA 2 35 F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IMP POR POYECTO_"/>
    <pivotHierarchy dragToData="1"/>
    <pivotHierarchy dragToData="1"/>
    <pivotHierarchy dragToData="1"/>
    <pivotHierarchy dragToData="1" caption="PZAS"/>
    <pivotHierarchy dragToData="1"/>
    <pivotHierarchy dragToData="1"/>
    <pivotHierarchy dragToData="1"/>
    <pivotHierarchy dragToData="1"/>
    <pivotHierarchy dragToData="1"/>
    <pivotHierarchy dragToData="1"/>
    <pivotHierarchy dragToData="1"/>
  </pivotHierarchies>
  <pivotTableStyleInfo name="PivotStyleMedium6" showRowHeaders="1" showColHeaders="1" showRowStripes="0" showColStripes="0" showLastColumn="1"/>
  <rowHierarchiesUsage count="1">
    <rowHierarchyUsage hierarchyUsage="9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uckzone]"/>
        <x15:activeTabTopLevelEntity name="[Tabla24]"/>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CE01D0B-E5C8-4035-9D2A-275DD31FC5D6}" name="otros" cacheId="5" applyNumberFormats="0" applyBorderFormats="0" applyFontFormats="0" applyPatternFormats="0" applyAlignmentFormats="0" applyWidthHeightFormats="1" dataCaption="Valores" tag="5a656832-cd22-4a54-a8ee-23d4efab71d1" updatedVersion="8" minRefreshableVersion="3" subtotalHiddenItems="1" itemPrintTitles="1" createdVersion="5" indent="0" outline="1" outlineData="1" multipleFieldFilters="0">
  <location ref="F22:H59" firstHeaderRow="0" firstDataRow="1" firstDataCol="1" rowPageCount="1" colPageCount="1"/>
  <pivotFields count="6">
    <pivotField axis="axisRow" allDrilled="1"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dataField="1" subtotalTop="0" showAll="0" defaultSubtotal="0"/>
    <pivotField axis="axisPage" allDrilled="1" subtotalTop="0" showAll="0" dataSourceSort="1" defaultSubtotal="0" defaultAttributeDrillState="1"/>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t="grand">
      <x/>
    </i>
  </rowItems>
  <colFields count="1">
    <field x="-2"/>
  </colFields>
  <colItems count="2">
    <i>
      <x/>
    </i>
    <i i="1">
      <x v="1"/>
    </i>
  </colItems>
  <pageFields count="1">
    <pageField fld="2" hier="47" name="[otros].[CLASE].&amp;[OTROS]" cap="OTROS"/>
  </pageFields>
  <dataFields count="2">
    <dataField name="IMP POR POYECTO_" fld="1" baseField="0" baseItem="2" numFmtId="165"/>
    <dataField name="PZAS" fld="3" baseField="0" baseItem="7"/>
  </dataFields>
  <formats count="8">
    <format dxfId="210">
      <pivotArea dataOnly="0" outline="0" fieldPosition="0">
        <references count="1">
          <reference field="4294967294" count="1">
            <x v="0"/>
          </reference>
        </references>
      </pivotArea>
    </format>
    <format dxfId="209">
      <pivotArea dataOnly="0" outline="0" fieldPosition="0">
        <references count="1">
          <reference field="4294967294" count="1">
            <x v="0"/>
          </reference>
        </references>
      </pivotArea>
    </format>
    <format dxfId="208">
      <pivotArea type="all" dataOnly="0" outline="0" fieldPosition="0"/>
    </format>
    <format dxfId="207">
      <pivotArea outline="0" collapsedLevelsAreSubtotals="1" fieldPosition="0"/>
    </format>
    <format dxfId="206">
      <pivotArea field="0" type="button" dataOnly="0" labelOnly="1" outline="0" axis="axisRow" fieldPosition="0"/>
    </format>
    <format dxfId="205">
      <pivotArea dataOnly="0" labelOnly="1" fieldPosition="0">
        <references count="1">
          <reference field="0" count="0"/>
        </references>
      </pivotArea>
    </format>
    <format dxfId="204">
      <pivotArea dataOnly="0" labelOnly="1" grandRow="1" outline="0" fieldPosition="0"/>
    </format>
    <format dxfId="203">
      <pivotArea dataOnly="0" labelOnly="1" outline="0" fieldPosition="0">
        <references count="1">
          <reference field="4294967294" count="2">
            <x v="0"/>
            <x v="1"/>
          </reference>
        </references>
      </pivotArea>
    </format>
  </formats>
  <pivotHierarchies count="130">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ACERO 1].[NUM. DE EJES].&amp;[2]"/>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a24].[NOMBRE].&amp;[PLATAFORMA 2 35 F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IMP POR POYECTO_"/>
    <pivotHierarchy dragToData="1"/>
    <pivotHierarchy dragToData="1"/>
    <pivotHierarchy dragToData="1"/>
    <pivotHierarchy dragToData="1" caption="PZA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3" showRowHeaders="1" showColHeaders="1" showRowStripes="0" showColStripes="0" showLastColumn="1"/>
  <rowHierarchiesUsage count="1">
    <rowHierarchyUsage hierarchyUsage="4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tros]"/>
        <x15:activeTabTopLevelEntity name="[Tabla24]"/>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A964ED4-BA29-48D0-A3A9-38EAEDB9605E}" name="TablaDinámica1" cacheId="4" applyNumberFormats="0" applyBorderFormats="0" applyFontFormats="0" applyPatternFormats="0" applyAlignmentFormats="0" applyWidthHeightFormats="1" dataCaption="Valores" tag="f0fd1ca5-cc8a-4b0a-b8da-cb1ecd81b614" updatedVersion="8" minRefreshableVersion="3" subtotalHiddenItems="1" itemPrintTitles="1" createdVersion="5" indent="0" outline="1" outlineData="1" multipleFieldFilters="0">
  <location ref="B23" firstHeaderRow="0" firstDataRow="0" firstDataCol="0" rowPageCount="1" colPageCount="1"/>
  <pivotFields count="2">
    <pivotField axis="axisPage" allDrilled="1" subtotalTop="0" showAll="0" dataSourceSort="1" defaultSubtotal="0" defaultAttributeDrillState="1"/>
    <pivotField allDrilled="1" subtotalTop="0" showAll="0" dataSourceSort="1" defaultSubtotal="0" defaultAttributeDrillState="1"/>
  </pivotFields>
  <pageFields count="1">
    <pageField fld="0" hier="71" name="[Tabla24].[NOMBRE].&amp;[PLATAFORMA 2 35 FT]" cap="PLATAFORMA 2 35 FT"/>
  </pageFields>
  <pivotHierarchies count="1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a24].[NOMBRE].&amp;[PLATAFORMA 2 35 FT]"/>
      </members>
    </pivotHierarchy>
    <pivotHierarchy multipleItemSelectionAllowed="1" dragToData="1">
      <members count="1" level="1">
        <member name="[Tabla24].[TIPO].&amp;[PLATAFORM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a24]"/>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FBB70E9-69DD-4229-B11C-3ABE00D028B9}" name="piramide" cacheId="2" applyNumberFormats="0" applyBorderFormats="0" applyFontFormats="0" applyPatternFormats="0" applyAlignmentFormats="0" applyWidthHeightFormats="1" dataCaption="Valores" tag="be04730c-c26e-486c-b26a-5be67aae824e" updatedVersion="8" minRefreshableVersion="3" subtotalHiddenItems="1" itemPrintTitles="1" createdVersion="5" indent="0" compact="0" compactData="0" gridDropZones="1" multipleFieldFilters="0">
  <location ref="B53:D67" firstHeaderRow="1" firstDataRow="2" firstDataCol="1" rowPageCount="1" colPageCount="1"/>
  <pivotFields count="5">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axis="axisPage" compact="0" allDrilled="1" outline="0" subtotalTop="0" showAll="0" dataSourceSort="1" defaultSubtotal="0" defaultAttributeDrillState="1"/>
    <pivotField dataField="1" compact="0" outline="0" subtotalTop="0" showAll="0" defaultSubtotal="0"/>
    <pivotField compact="0" allDrilled="1" outline="0"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2"/>
  </colFields>
  <colItems count="2">
    <i>
      <x/>
    </i>
    <i i="1">
      <x v="1"/>
    </i>
  </colItems>
  <pageFields count="1">
    <pageField fld="2" hier="69" name="[piramide].[CLASE].&amp;[PIRAMIDE]" cap="PIRAMIDE"/>
  </pageFields>
  <dataFields count="2">
    <dataField name="IMP POR POYECTO_" fld="1" baseField="0" baseItem="0" numFmtId="165"/>
    <dataField name="PZAS" fld="3" baseField="0" baseItem="4"/>
  </dataFields>
  <formats count="9">
    <format dxfId="219">
      <pivotArea type="all" dataOnly="0" outline="0" fieldPosition="0"/>
    </format>
    <format dxfId="218">
      <pivotArea outline="0" collapsedLevelsAreSubtotals="1" fieldPosition="0"/>
    </format>
    <format dxfId="217">
      <pivotArea type="origin" dataOnly="0" labelOnly="1" outline="0" fieldPosition="0"/>
    </format>
    <format dxfId="216">
      <pivotArea field="-2" type="button" dataOnly="0" labelOnly="1" outline="0" axis="axisCol" fieldPosition="0"/>
    </format>
    <format dxfId="215">
      <pivotArea type="topRight" dataOnly="0" labelOnly="1" outline="0" fieldPosition="0"/>
    </format>
    <format dxfId="214">
      <pivotArea field="0" type="button" dataOnly="0" labelOnly="1" outline="0" axis="axisRow" fieldPosition="0"/>
    </format>
    <format dxfId="213">
      <pivotArea dataOnly="0" labelOnly="1" outline="0" fieldPosition="0">
        <references count="1">
          <reference field="0" count="0"/>
        </references>
      </pivotArea>
    </format>
    <format dxfId="212">
      <pivotArea dataOnly="0" labelOnly="1" grandRow="1" outline="0" fieldPosition="0"/>
    </format>
    <format dxfId="211">
      <pivotArea dataOnly="0" labelOnly="1" outline="0" fieldPosition="0">
        <references count="1">
          <reference field="4294967294" count="2">
            <x v="0"/>
            <x v="1"/>
          </reference>
        </references>
      </pivotArea>
    </format>
  </formats>
  <pivotHierarchies count="130">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a24].[NOMBRE].&amp;[PLATAFORMA 2 35 F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IMP POR POYECTO_"/>
    <pivotHierarchy dragToData="1"/>
    <pivotHierarchy dragToData="1"/>
    <pivotHierarchy dragToData="1"/>
    <pivotHierarchy dragToData="1"/>
    <pivotHierarchy dragToData="1" caption="PZAS"/>
    <pivotHierarchy dragToData="1"/>
    <pivotHierarchy dragToData="1"/>
    <pivotHierarchy dragToData="1"/>
    <pivotHierarchy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6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iramide]"/>
        <x15:activeTabTopLevelEntity name="[Tabla24]"/>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72C2811-F32D-4673-A9CD-4C1B1F69BD82}" name="TablaDinámica1" cacheId="10" applyNumberFormats="0" applyBorderFormats="0" applyFontFormats="0" applyPatternFormats="0" applyAlignmentFormats="0" applyWidthHeightFormats="1" dataCaption="Valores" tag="2572fc6d-b043-4be4-8639-28758280318e" updatedVersion="8" minRefreshableVersion="3" subtotalHiddenItems="1" itemPrintTitles="1" createdVersion="8" indent="0" outline="1" outlineData="1" multipleFieldFilters="0">
  <location ref="K9" firstHeaderRow="0" firstDataRow="0" firstDataCol="0" rowPageCount="1" colPageCount="1"/>
  <pivotFields count="1">
    <pivotField axis="axisPage" allDrilled="1" subtotalTop="0" showAll="0" dataSourceSort="1" defaultSubtotal="0" defaultAttributeDrillState="1"/>
  </pivotFields>
  <pageFields count="1">
    <pageField fld="0" hier="21" name="[clientes].[CLIENTE].&amp;" cap=""/>
  </pageFields>
  <formats count="2">
    <format dxfId="81">
      <pivotArea dataOnly="0" labelOnly="1" outline="0" fieldPosition="0">
        <references count="1">
          <reference field="0" count="0"/>
        </references>
      </pivotArea>
    </format>
    <format dxfId="80">
      <pivotArea field="0" type="button" dataOnly="0" labelOnly="1" outline="0" axis="axisPage" fieldPosition="0"/>
    </format>
  </formats>
  <pivotHierarchies count="1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lientes].[CLIENTE].&am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esupuesto y Cotizaciones Leolca.xlsm!clientes">
        <x15:activeTabTopLevelEntity name="[client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B2C899C-67C5-4A18-B146-BB739F2B652B}" name="TablaDinámica4" cacheId="20" applyNumberFormats="0" applyBorderFormats="0" applyFontFormats="0" applyPatternFormats="0" applyAlignmentFormats="0" applyWidthHeightFormats="1" dataCaption="Valores" updatedVersion="8" minRefreshableVersion="3" subtotalHiddenItems="1" itemPrintTitles="1" createdVersion="8" indent="0" outline="1" outlineData="1" multipleFieldFilters="0">
  <location ref="K13" firstHeaderRow="0" firstDataRow="0" firstDataCol="0" rowPageCount="1" colPageCount="1"/>
  <pivotFields count="1">
    <pivotField axis="axisPage" allDrilled="1" subtotalTop="0" showAll="0" dataSourceSort="1" defaultSubtotal="0" defaultAttributeDrillState="1"/>
  </pivotFields>
  <pageFields count="1">
    <pageField fld="0" hier="71" name="[Tabla24].[NOMBRE].&amp;[PLATAFORMA 2 40 FT]" cap="PLATAFORMA 2 40 FT"/>
  </pageFields>
  <formats count="3">
    <format dxfId="84">
      <pivotArea dataOnly="0" labelOnly="1" outline="0" fieldPosition="0">
        <references count="1">
          <reference field="0" count="0"/>
        </references>
      </pivotArea>
    </format>
    <format dxfId="83">
      <pivotArea field="0" type="button" dataOnly="0" labelOnly="1" outline="0" axis="axisPage" fieldPosition="0"/>
    </format>
    <format dxfId="82">
      <pivotArea dataOnly="0" labelOnly="1" outline="0" fieldPosition="0">
        <references count="1">
          <reference field="0" count="0"/>
        </references>
      </pivotArea>
    </format>
  </formats>
  <pivotHierarchies count="1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a24].[NOMBRE].&amp;[PLATAFORMA 2 40 F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Leolca.xlsm!Tabla24">
        <x15:activeTabTopLevelEntity name="[Tabla24]"/>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6E81C80-FC0E-4D50-9D15-087A5A5F3271}" name="TablaDinámica2" cacheId="11" applyNumberFormats="0" applyBorderFormats="0" applyFontFormats="0" applyPatternFormats="0" applyAlignmentFormats="0" applyWidthHeightFormats="1" dataCaption="Valores" tag="498ff5bc-9a0c-4c01-843d-da59ad27769e" updatedVersion="8" minRefreshableVersion="3" subtotalHiddenItems="1" itemPrintTitles="1" createdVersion="8" indent="0" outline="1" outlineData="1" multipleFieldFilters="0">
  <location ref="A7" firstHeaderRow="0" firstDataRow="0" firstDataCol="0" rowPageCount="1" colPageCount="1"/>
  <pivotFields count="1">
    <pivotField axis="axisPage" allDrilled="1" subtotalTop="0" showAll="0" dataSourceSort="1" defaultSubtotal="0" defaultAttributeDrillState="1"/>
  </pivotFields>
  <pageFields count="1">
    <pageField fld="0" hier="21" name="[clientes].[CLIENTE].&amp;[GRUPO LOZAGUI SA DE CV]" cap="GRUPO LOZAGUI SA DE CV"/>
  </pageFields>
  <formats count="5">
    <format dxfId="224">
      <pivotArea dataOnly="0" labelOnly="1" outline="0" fieldPosition="0">
        <references count="1">
          <reference field="0" count="0"/>
        </references>
      </pivotArea>
    </format>
    <format dxfId="223">
      <pivotArea field="0" type="button" dataOnly="0" labelOnly="1" outline="0" axis="axisPage" fieldPosition="0"/>
    </format>
    <format dxfId="222">
      <pivotArea field="0" type="button" dataOnly="0" labelOnly="1" outline="0" axis="axisPage" fieldPosition="0"/>
    </format>
    <format dxfId="221">
      <pivotArea field="0" type="button" dataOnly="0" labelOnly="1" outline="0" axis="axisPage" fieldPosition="0"/>
    </format>
    <format dxfId="220">
      <pivotArea field="0" type="button" dataOnly="0" labelOnly="1" outline="0" axis="axisPage" fieldPosition="0"/>
    </format>
  </formats>
  <pivotHierarchies count="1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lientes].[CLIENTE].&amp;[GRUPO LOZAGUI SA DE CV]"/>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esupuesto y Cotizaciones Leolca.xlsm!clientes">
        <x15:activeTabTopLevelEntity name="[client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9C06B3A-2DA8-4C1A-B50B-21C193CB64E9}" name="TablaDinámica1" cacheId="9" applyNumberFormats="0" applyBorderFormats="0" applyFontFormats="0" applyPatternFormats="0" applyAlignmentFormats="0" applyWidthHeightFormats="1" dataCaption="Valores" updatedVersion="8" minRefreshableVersion="3" subtotalHiddenItems="1" itemPrintTitles="1" createdVersion="8" indent="0" outline="1" outlineData="1" multipleFieldFilters="0">
  <location ref="B6" firstHeaderRow="0" firstDataRow="0" firstDataCol="0" rowPageCount="1" colPageCount="1"/>
  <pivotFields count="1">
    <pivotField axis="axisPage" allDrilled="1" subtotalTop="0" showAll="0" dataSourceSort="1" defaultSubtotal="0" defaultAttributeDrillState="1"/>
  </pivotFields>
  <pageFields count="1">
    <pageField fld="0" hier="21" name="[clientes].[CLIENTE].&amp;" cap="(en blanco)"/>
  </pageFields>
  <pivotHierarchies count="1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clientes].[CLIENTE].&amp;"/>
        <member name="[clientes].[CLIENTE].&amp;[REYES VERGAR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esupuesto y Cotizaciones Leolca.xlsm!clientes">
        <x15:activeTabTopLevelEntity name="[client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BAD7CF2-524B-4D9F-82C0-BB7B8AC00E5F}" name="TablaDinámica4" cacheId="8" applyNumberFormats="0" applyBorderFormats="0" applyFontFormats="0" applyPatternFormats="0" applyAlignmentFormats="0" applyWidthHeightFormats="1" dataCaption="Valores" updatedVersion="8" minRefreshableVersion="3" subtotalHiddenItems="1" itemPrintTitles="1" createdVersion="8" indent="0" outline="1" outlineData="1" multipleFieldFilters="0">
  <location ref="K8" firstHeaderRow="0" firstDataRow="0" firstDataCol="0" rowPageCount="1" colPageCount="1"/>
  <pivotFields count="1">
    <pivotField axis="axisPage" allDrilled="1" subtotalTop="0" showAll="0" dataSourceSort="1" defaultSubtotal="0" defaultAttributeDrillState="1"/>
  </pivotFields>
  <pageFields count="1">
    <pageField fld="0" hier="21" name="[clientes].[CLIENTE].&amp;[REYES VERGARA]" cap="REYES VERGARA"/>
  </pageFields>
  <formats count="2">
    <format dxfId="50">
      <pivotArea dataOnly="0" labelOnly="1" outline="0" fieldPosition="0">
        <references count="1">
          <reference field="0" count="0"/>
        </references>
      </pivotArea>
    </format>
    <format dxfId="49">
      <pivotArea field="0" type="button" dataOnly="0" labelOnly="1" outline="0" axis="axisPage" fieldPosition="0"/>
    </format>
  </formats>
  <pivotHierarchies count="1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lientes].[CLIENTE].&amp;[REYES VERGAR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esupuesto y Cotizaciones Leolca.xlsm!clientes">
        <x15:activeTabTopLevelEntity name="[client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F21342A-2FE2-4B95-A7A9-05CB5C749963}" name="TablaDinámica1" cacheId="7" applyNumberFormats="0" applyBorderFormats="0" applyFontFormats="0" applyPatternFormats="0" applyAlignmentFormats="0" applyWidthHeightFormats="1" dataCaption="Valores" updatedVersion="8" minRefreshableVersion="3" itemPrintTitles="1" createdVersion="8" indent="0" compact="0" compactData="0" gridDropZones="1" multipleFieldFilters="0">
  <location ref="A7:G18" firstHeaderRow="1" firstDataRow="2" firstDataCol="4" rowPageCount="1" colPageCount="1"/>
  <pivotFields count="8">
    <pivotField axis="axisPage" compact="0" allDrilled="1" outline="0" showAll="0" dataSourceSort="1" defaultSubtotal="0" defaultAttributeDrillState="1"/>
    <pivotField axis="axisRow" compact="0" allDrilled="1" outline="0" showAll="0" dataSourceSort="1" defaultSubtotal="0" defaultAttributeDrillState="1">
      <items count="9">
        <item x="0"/>
        <item x="1"/>
        <item x="2"/>
        <item x="3"/>
        <item x="4"/>
        <item x="5"/>
        <item x="6"/>
        <item x="7"/>
        <item x="8"/>
      </items>
    </pivotField>
    <pivotField dataField="1" compact="0" outline="0" showAll="0" defaultSubtotal="0"/>
    <pivotField dataField="1" compact="0" outline="0" showAll="0" defaultSubtotal="0"/>
    <pivotField dataField="1" compact="0" outline="0" showAll="0" defaultSubtotal="0"/>
    <pivotField axis="axisRow" compact="0" allDrilled="1" outline="0" showAll="0" dataSourceSort="1" defaultSubtotal="0" defaultAttributeDrillState="1">
      <items count="1">
        <item x="0"/>
      </items>
    </pivotField>
    <pivotField axis="axisRow" compact="0" allDrilled="1" outline="0" showAll="0" dataSourceSort="1" defaultSubtotal="0" defaultAttributeDrillState="1">
      <items count="1">
        <item x="0"/>
      </items>
    </pivotField>
    <pivotField axis="axisRow" compact="0" allDrilled="1" outline="0" showAll="0" dataSourceSort="1" defaultSubtotal="0" defaultAttributeDrillState="1">
      <items count="1">
        <item x="0"/>
      </items>
    </pivotField>
  </pivotFields>
  <rowFields count="4">
    <field x="7"/>
    <field x="1"/>
    <field x="5"/>
    <field x="6"/>
  </rowFields>
  <rowItems count="10">
    <i>
      <x/>
      <x/>
      <x/>
      <x/>
    </i>
    <i r="1">
      <x v="1"/>
      <x/>
      <x/>
    </i>
    <i r="1">
      <x v="2"/>
      <x/>
      <x/>
    </i>
    <i r="1">
      <x v="3"/>
      <x/>
      <x/>
    </i>
    <i r="1">
      <x v="4"/>
      <x/>
      <x/>
    </i>
    <i r="1">
      <x v="5"/>
      <x/>
      <x/>
    </i>
    <i r="1">
      <x v="6"/>
      <x/>
      <x/>
    </i>
    <i r="1">
      <x v="7"/>
      <x/>
      <x/>
    </i>
    <i r="1">
      <x v="8"/>
      <x/>
      <x/>
    </i>
    <i t="grand">
      <x/>
    </i>
  </rowItems>
  <colFields count="1">
    <field x="-2"/>
  </colFields>
  <colItems count="3">
    <i>
      <x/>
    </i>
    <i i="1">
      <x v="1"/>
    </i>
    <i i="2">
      <x v="2"/>
    </i>
  </colItems>
  <pageFields count="1">
    <pageField fld="0" hier="10" name="[CHASIS].[CLIENTE].&amp;[HELIBERIO ORTEGA]" cap="HELIBERIO ORTEGA"/>
  </pageFields>
  <dataFields count="3">
    <dataField name="P/U" fld="3" baseField="0" baseItem="0"/>
    <dataField name="PAGO" fld="2" baseField="0" baseItem="0"/>
    <dataField name="ADEUDO" fld="4" baseField="0" baseItem="0"/>
  </dataFields>
  <formats count="1">
    <format dxfId="9">
      <pivotArea dataOnly="0" outline="0" fieldPosition="0">
        <references count="1">
          <reference field="4294967294" count="3">
            <x v="0"/>
            <x v="1"/>
            <x v="2"/>
          </reference>
        </references>
      </pivotArea>
    </format>
  </formats>
  <pivotHierarchies count="1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HASIS].[CLIENTE].&amp;[HELIBERIO ORTEGA]"/>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O"/>
    <pivotHierarchy dragToData="1" caption="P/U"/>
    <pivotHierarchy dragToData="1" caption="ADEUDO"/>
  </pivotHierarchies>
  <pivotTableStyleInfo name="PivotStyleLight16" showRowHeaders="1" showColHeaders="1" showRowStripes="0" showColStripes="0" showLastColumn="1"/>
  <rowHierarchiesUsage count="4">
    <rowHierarchyUsage hierarchyUsage="12"/>
    <rowHierarchyUsage hierarchyUsage="11"/>
    <rowHierarchyUsage hierarchyUsage="16"/>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visualTotalsForSets="1" calculatedMembersInFilters="1" hideValuesRow="1"/>
    </ext>
    <ext xmlns:x15="http://schemas.microsoft.com/office/spreadsheetml/2010/11/main" uri="{E67621CE-5B39-4880-91FE-76760E9C1902}">
      <x15:pivotTableUISettings sourceDataName="WorksheetConnection_Presupuesto y Cotizaciones Leolca.xlsm!CHASIS">
        <x15:activeTabTopLevelEntity name="[CHASI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LARGO1" xr10:uid="{5D0C2EC1-A347-4543-A1C9-F2546D01CD71}" sourceName="[PRESUP].[LARGO]">
  <pivotTables>
    <pivotTable tabId="16" name="presupuesto1"/>
  </pivotTables>
  <data>
    <olap pivotCacheId="82843137">
      <levels count="2">
        <level uniqueName="[PRESUP].[LARGO].[(All)]" sourceCaption="(All)" count="0"/>
        <level uniqueName="[PRESUP].[LARGO].[LARGO]" sourceCaption="LARGO" count="2">
          <ranges>
            <range startItem="0">
              <i n="[PRESUP].[LARGO].&amp;[40 FT]" c="40 FT"/>
              <i n="[PRESUP].[LARGO].&amp;[42 FT]" c="42 FT" nd="1"/>
            </range>
          </ranges>
        </level>
      </levels>
      <selections count="1">
        <selection n="[PRESUP].[LARGO].&amp;[40 FT]"/>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NUM._DE_EJES1" xr10:uid="{98E6B6B9-5F7C-4B1F-A114-E8F612637D40}" sourceName="[PRESUP].[NUM. DE EJES]">
  <pivotTables>
    <pivotTable tabId="16" name="presupuesto1"/>
  </pivotTables>
  <data>
    <olap pivotCacheId="82843137">
      <levels count="2">
        <level uniqueName="[PRESUP].[NUM. DE EJES].[(All)]" sourceCaption="(All)" count="0"/>
        <level uniqueName="[PRESUP].[NUM. DE EJES].[NUM. DE EJES]" sourceCaption="NUM. DE EJES" count="2">
          <ranges>
            <range startItem="0">
              <i n="[PRESUP].[NUM. DE EJES].&amp;[2]" c="2"/>
              <i n="[PRESUP].[NUM. DE EJES].&amp;[3]" c="3" nd="1"/>
            </range>
          </ranges>
        </level>
      </levels>
      <selections count="1">
        <selection n="[PRESUP].[NUM. DE EJES].&amp;[2]"/>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NOMBRE" xr10:uid="{54F78990-497C-4F95-9B91-2057515C6E46}" sourceName="[PRESUP].[NOMBRE]">
  <pivotTables>
    <pivotTable tabId="16" name="presupuesto1"/>
  </pivotTables>
  <data>
    <olap pivotCacheId="82843137">
      <levels count="2">
        <level uniqueName="[PRESUP].[NOMBRE].[(All)]" sourceCaption="(All)" count="0"/>
        <level uniqueName="[PRESUP].[NOMBRE].[NOMBRE]" sourceCaption="NOMBRE" count="4">
          <ranges>
            <range startItem="0">
              <i n="[PRESUP].[NOMBRE].&amp;[PLATAFORMA 2 40 FT]" c="PLATAFORMA 2 40 FT"/>
              <i n="[PRESUP].[NOMBRE].&amp;[JAULA 3 42 FT]" c="JAULA 3 42 FT" nd="1"/>
              <i n="[PRESUP].[NOMBRE].&amp;[PLATAFORMA 2 42 FT]" c="PLATAFORMA 2 42 FT" nd="1"/>
              <i n="[PRESUP].[NOMBRE].&amp;[PLATAFORMA 3 40 FT]" c="PLATAFORMA 3 40 FT" nd="1"/>
            </range>
          </ranges>
        </level>
      </levels>
      <selections count="1">
        <selection n="[PRESUP].[NOMBRE].&amp;[PLATAFORMA 2 40 FT]"/>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AGADO1" xr10:uid="{91D9EE4A-C232-4DC2-B363-FCC95AEB511D}" sourceName="[CHASIS].[PAGADO]">
  <pivotTables>
    <pivotTable tabId="49" name="TablaDinámica1"/>
  </pivotTables>
  <data>
    <olap pivotCacheId="480184157">
      <levels count="2">
        <level uniqueName="[CHASIS].[PAGADO].[(All)]" sourceCaption="(All)" count="0"/>
        <level uniqueName="[CHASIS].[PAGADO].[PAGADO]" sourceCaption="PAGADO" count="2">
          <ranges>
            <range startItem="0">
              <i n="[CHASIS].[PAGADO].&amp;[NO]" c="NO"/>
              <i n="[CHASIS].[PAGADO].&amp;[SI]" c="SI"/>
            </range>
          </ranges>
        </level>
      </levels>
      <selections count="1">
        <selection n="[CHASIS].[PAGADO].[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QUI._ENTREGADOS1" xr10:uid="{33598D67-8B59-425A-B689-23B6F6033108}" sourceName="[CHASIS].[EQUI. ENTREGADOS]">
  <pivotTables>
    <pivotTable tabId="49" name="TablaDinámica1"/>
  </pivotTables>
  <data>
    <olap pivotCacheId="480184157">
      <levels count="2">
        <level uniqueName="[CHASIS].[EQUI. ENTREGADOS].[(All)]" sourceCaption="(All)" count="0"/>
        <level uniqueName="[CHASIS].[EQUI. ENTREGADOS].[EQUI. ENTREGADOS]" sourceCaption="EQUI. ENTREGADOS" count="2">
          <ranges>
            <range startItem="0">
              <i n="[CHASIS].[EQUI. ENTREGADOS].&amp;[EN PROCESO]" c="EN PROCESO"/>
              <i n="[CHASIS].[EQUI. ENTREGADOS].&amp;[ENTREGADO]" c="ENTREGADO" nd="1"/>
            </range>
          </ranges>
        </level>
      </levels>
      <selections count="1">
        <selection n="[CHASIS].[EQUI. ENTREGADOS].[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NOMBRE7" xr10:uid="{D2284D3B-BC65-4380-81E5-FD981A2858C8}" sourceName="NOMBRE">
  <extLst>
    <x:ext xmlns:x15="http://schemas.microsoft.com/office/spreadsheetml/2010/11/main" uri="{2F2917AC-EB37-4324-AD4E-5DD8C200BD13}">
      <x15:tableSlicerCache tableId="24" column="1"/>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AGADO" xr10:uid="{56B4853C-148D-488D-A00A-6F0784EF1BFE}" sourceName="PAGADO">
  <extLst>
    <x:ext xmlns:x15="http://schemas.microsoft.com/office/spreadsheetml/2010/11/main" uri="{2F2917AC-EB37-4324-AD4E-5DD8C200BD13}">
      <x15:tableSlicerCache tableId="65" column="8"/>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QUI._ENTREGADOS" xr10:uid="{01B4D94F-DBCF-4936-AA19-A1D1BF759240}" sourceName="EQUI. ENTREGADOS">
  <extLst>
    <x:ext xmlns:x15="http://schemas.microsoft.com/office/spreadsheetml/2010/11/main" uri="{2F2917AC-EB37-4324-AD4E-5DD8C200BD13}">
      <x15:tableSlicerCache tableId="65"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ARGO 1" xr10:uid="{EB013AA9-7117-4BD7-8511-62DE57386030}" cache="SegmentaciónDeDatos_LARGO1" caption="LARGO" level="1" rowHeight="241300"/>
  <slicer name="NUM. DE EJES 1" xr10:uid="{CC5EA308-5A33-471D-ACBE-F8E0412F78BD}" cache="SegmentaciónDeDatos_NUM._DE_EJES1" caption="NUM. DE EJES" level="1" rowHeight="241300"/>
  <slicer name="NOMBRE" xr10:uid="{9F94611A-55C7-451D-A7EB-717FA6B4D252}" cache="SegmentaciónDeDatos_NOMBRE" caption="NOMBRE"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OMBRE 7" xr10:uid="{43B24FCF-B3F6-433A-A124-8560B9220BC5}" cache="SegmentaciónDeDatos_NOMBRE7" caption="NOMBRE PRODUCTO" columnCount="2"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GADO" xr10:uid="{FD49B8A5-4B9D-4458-A705-D201FA464881}" cache="SegmentaciónDeDatos_PAGADO" caption="PAGADO" columnCount="2" style="SlicerStyleDark6 2" rowHeight="241300"/>
  <slicer name="EQUI. ENTREGADOS" xr10:uid="{E2383C23-5615-4750-BE2F-D4C7746A385D}" cache="SegmentaciónDeDatos_EQUI._ENTREGADOS" caption="EQUI. ENTREGADOS" style="SlicerStyleDark6 2"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GADO 1" xr10:uid="{EDCDCADF-38EF-4BF3-8A8B-1162E5E9F6E1}" cache="SegmentaciónDeDatos_PAGADO1" caption="PAGADO" level="1" rowHeight="241300"/>
  <slicer name="EQUI. ENTREGADOS 1" xr10:uid="{4EE71861-7B0F-47AA-BEB6-ED5B697A52F7}" cache="SegmentaciónDeDatos_EQUI._ENTREGADOS1" caption="EQUI. ENTREGADOS" columnCount="2"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3ACEE41D-0EE4-4552-9EA7-FA9CA28F14CC}" name="Tabla36" displayName="Tabla36" ref="A63:C71" totalsRowShown="0">
  <autoFilter ref="A63:C71" xr:uid="{3ACEE41D-0EE4-4552-9EA7-FA9CA28F14CC}"/>
  <tableColumns count="3">
    <tableColumn id="1" xr3:uid="{AEF15A3D-A1A7-4470-8179-68CFCBCFFEB6}" name="PZAS"/>
    <tableColumn id="2" xr3:uid="{0FB7F647-81D1-43B2-950C-09C75A899ADD}" name="MATERIAL / ACCESORIO" dataDxfId="190"/>
    <tableColumn id="3" xr3:uid="{009B24C5-686F-4A8C-8E75-AFA9C009CED3}" name="$ C/U" dataDxfId="189" dataCellStyle="Moneda"/>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1439F28-AAB7-4AF9-980D-3870AFBE6BD7}" name="ABS" displayName="ABS" ref="A74:C76" totalsRowShown="0">
  <autoFilter ref="A74:C76" xr:uid="{01439F28-AAB7-4AF9-980D-3870AFBE6BD7}"/>
  <tableColumns count="3">
    <tableColumn id="1" xr3:uid="{51A7A48F-F957-49E2-8D74-C263D5188EA6}" name="Columna1" dataDxfId="188"/>
    <tableColumn id="2" xr3:uid="{2F5B313E-027E-42B7-8307-71924ABC34F5}" name="MATERIAL / ACCESORIO" dataDxfId="187"/>
    <tableColumn id="3" xr3:uid="{CF03004D-E071-4DCB-996D-EEE3835890CD}" name="$ C/U"/>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E7EC7C6A-705E-4F32-8CAB-DE16B33DF3AE}" name="SUSPENSIÓN" displayName="SUSPENSIÓN" ref="A79:C85" totalsRowShown="0">
  <autoFilter ref="A79:C85" xr:uid="{E7EC7C6A-705E-4F32-8CAB-DE16B33DF3AE}"/>
  <tableColumns count="3">
    <tableColumn id="1" xr3:uid="{183A2762-42D9-41D9-AC50-29FA998CB23D}" name="PZAS" dataDxfId="186"/>
    <tableColumn id="2" xr3:uid="{D5BFBC84-78E0-4E65-9DFC-6C5961F33A28}" name="MATERIAL / ACCESORIO" dataDxfId="185"/>
    <tableColumn id="3" xr3:uid="{A8620633-8D38-4A5B-A72D-BB2FDAC424B0}" name="$ C/U" dataDxfId="184" dataCellStyle="Moneda"/>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A0D721AD-0049-41A4-995E-B759086B2A64}" name="Tabla39" displayName="Tabla39" ref="A88:C91" totalsRowShown="0">
  <autoFilter ref="A88:C91" xr:uid="{A0D721AD-0049-41A4-995E-B759086B2A64}"/>
  <tableColumns count="3">
    <tableColumn id="1" xr3:uid="{3C2F838C-3CE1-4F3C-A882-337BD7CC05C2}" name="PZAS" dataDxfId="183"/>
    <tableColumn id="2" xr3:uid="{DE64C17F-5A15-4B4D-8E7F-81D98200C0C9}" name="MATERIAL / ACCESORIO" dataDxfId="182"/>
    <tableColumn id="3" xr3:uid="{B3611C9F-AF8D-49E6-8ED5-8FA8D408A074}" name="$ C/U" dataDxfId="181" dataCellStyle="Moneda"/>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4A04DEB9-3211-4D20-AA70-53117D8B885D}" name="Tabla40" displayName="Tabla40" ref="A93:C97" totalsRowShown="0">
  <autoFilter ref="A93:C97" xr:uid="{4A04DEB9-3211-4D20-AA70-53117D8B885D}"/>
  <tableColumns count="3">
    <tableColumn id="1" xr3:uid="{5B7888EA-4F3A-4430-8D6B-BA96C920A557}" name="PZAS" dataDxfId="180"/>
    <tableColumn id="2" xr3:uid="{AD886D6D-2095-4994-AC34-EA1EAA13EF02}" name="MATERIAL / ACCESORIO" dataDxfId="179"/>
    <tableColumn id="3" xr3:uid="{38788CAD-2E53-406A-B19C-90E3676D5F35}" name="$ C/U" dataDxfId="178" dataCellStyle="Moneda"/>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88573121-6D94-4A0F-8141-15FF3D1A0481}" name="Tabla41" displayName="Tabla41" ref="A101:C116" totalsRowShown="0">
  <autoFilter ref="A101:C116" xr:uid="{88573121-6D94-4A0F-8141-15FF3D1A0481}"/>
  <tableColumns count="3">
    <tableColumn id="1" xr3:uid="{B1D359B9-FC9A-45A1-BC29-40695917EE8D}" name="PZAS" dataDxfId="177"/>
    <tableColumn id="2" xr3:uid="{AE0443F1-C8E6-4D57-B325-AEF206455D35}" name="MATERIAL / ACCESORIO" dataDxfId="176"/>
    <tableColumn id="3" xr3:uid="{6E9AECA7-35F6-40D1-99CF-535BD8FF82AE}" name="$ C/U" dataDxfId="175" dataCellStyle="Moneda"/>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6F2902C-3E9D-4395-8131-94586A80490B}" name="Tabla42" displayName="Tabla42" ref="A120:C130" totalsRowShown="0">
  <autoFilter ref="A120:C130" xr:uid="{36F2902C-3E9D-4395-8131-94586A80490B}"/>
  <tableColumns count="3">
    <tableColumn id="1" xr3:uid="{350964D5-98A4-451E-BB63-99CF8B1DD1C8}" name="PZAS" dataDxfId="174"/>
    <tableColumn id="2" xr3:uid="{342B48A9-C41E-4228-8A27-E9C81545887C}" name="MATERIAL / ACCESORIO" dataDxfId="173"/>
    <tableColumn id="3" xr3:uid="{524AB0D3-5E86-4A9A-8779-41CC94A03E71}" name="$ C/U" dataDxfId="172" dataCellStyle="Moneda"/>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9BD49C4-6A2A-4EEB-93E5-9FA434895C5B}" name="Tabla44" displayName="Tabla44" ref="A133:D138" totalsRowShown="0">
  <autoFilter ref="A133:D138" xr:uid="{59BD49C4-6A2A-4EEB-93E5-9FA434895C5B}"/>
  <tableColumns count="4">
    <tableColumn id="1" xr3:uid="{C48130D3-434D-4DF4-9142-02B3A0AD76DF}" name="PZAS" dataDxfId="171"/>
    <tableColumn id="2" xr3:uid="{9D9AD974-1DCB-4C3A-A53A-EDCE4AF81AA9}" name="MATERIAL / ACCESORIO" dataDxfId="170"/>
    <tableColumn id="3" xr3:uid="{5E047013-0595-4A24-B82E-FFC38EA5BB9C}" name="$ C/U" dataDxfId="169" dataCellStyle="Moneda"/>
    <tableColumn id="4" xr3:uid="{7016F6E3-0BD8-456E-9F98-0938B7859CB7}" name="Columna1" dataDxfId="168">
      <calculatedColumnFormula>18873*1.16</calculatedColumnFormula>
    </tableColumn>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27E984F-FAFF-4487-A511-5B9D7D2B2267}" name="Tabla47" displayName="Tabla47" ref="A141:E146" totalsRowShown="0">
  <autoFilter ref="A141:E146" xr:uid="{E27E984F-FAFF-4487-A511-5B9D7D2B2267}"/>
  <tableColumns count="5">
    <tableColumn id="1" xr3:uid="{033A0A37-052E-476E-B0B8-94688DF9651E}" name="PZAS" dataDxfId="167"/>
    <tableColumn id="2" xr3:uid="{E8D90C04-0AF9-4F1D-B267-872684FB481E}" name="MATERIAL / ACCESORIO"/>
    <tableColumn id="3" xr3:uid="{EC170C02-A693-40A6-AA63-CDD2719A0257}" name="$ C/U"/>
    <tableColumn id="4" xr3:uid="{CA867DB3-8C8E-4E20-B7DA-071A677E1A71}" name="Columna1" dataDxfId="166">
      <calculatedColumnFormula>Tabla47[[#This Row],[$ C/U]]/48</calculatedColumnFormula>
    </tableColumn>
    <tableColumn id="5" xr3:uid="{9FE53700-8831-42FD-95B6-E6118E19BEC8}" name="Columna2" dataDxfId="165">
      <calculatedColumnFormula>Tabla47[[#This Row],[Columna1]]*$D$6</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B0D3E357-7EF0-4A93-8EFC-E51B7F40BFF4}" name="Tabla48" displayName="Tabla48" ref="A150:C156" totalsRowShown="0">
  <autoFilter ref="A150:C156" xr:uid="{B0D3E357-7EF0-4A93-8EFC-E51B7F40BFF4}"/>
  <tableColumns count="3">
    <tableColumn id="1" xr3:uid="{AD8C8D86-680B-45D1-8C0A-4E9D974C22D8}" name="PZAS" dataDxfId="164"/>
    <tableColumn id="2" xr3:uid="{6AD7029C-29D4-4C30-8AC2-B90B53B7043C}" name="MATERIAL / ACCESORIO" dataDxfId="163"/>
    <tableColumn id="3" xr3:uid="{2AC1A543-E05C-4491-9E5B-DBF95233B9CD}" name="$ C/U" dataDxfId="162" dataCellStyle="Moneda"/>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4CDCFBA-BA6D-4CEA-B7CD-6E741AE11082}" name="Tabla49" displayName="Tabla49" ref="A159:D175" totalsRowShown="0">
  <autoFilter ref="A159:D175" xr:uid="{64CDCFBA-BA6D-4CEA-B7CD-6E741AE11082}"/>
  <tableColumns count="4">
    <tableColumn id="1" xr3:uid="{57FDB43A-5633-40E3-956A-901C7C2CDEBA}" name="PZAS"/>
    <tableColumn id="2" xr3:uid="{1A8C011F-8030-4D12-A464-EDC91CE5F69A}" name="MATERIAL / ACCESORIO" dataDxfId="161"/>
    <tableColumn id="3" xr3:uid="{E4D809D5-1C08-47A3-925F-99DC0E941830}" name="$ C/U" dataDxfId="160" dataCellStyle="Moneda"/>
    <tableColumn id="4" xr3:uid="{EE9DD064-9305-467A-8BB7-D1198AEA5DF1}" name="KG" dataDxfId="159">
      <calculatedColumnFormula>Tabla49[[#This Row],[$ C/U]]/48</calculatedColumnFormula>
    </tableColumn>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6CD81BCE-2DF6-4C0A-BE03-E587A765F706}" name="Tabla50" displayName="Tabla50" ref="A179:C183" totalsRowShown="0">
  <autoFilter ref="A179:C183" xr:uid="{6CD81BCE-2DF6-4C0A-BE03-E587A765F706}"/>
  <tableColumns count="3">
    <tableColumn id="1" xr3:uid="{5CCE6B38-6AA4-42BF-93B6-017B96364ED5}" name="PZAS" dataDxfId="158"/>
    <tableColumn id="2" xr3:uid="{0B3C8793-F6B9-4B63-8C0A-E9958AC521E8}" name="MATERIAL / ACCESORIO" dataDxfId="157"/>
    <tableColumn id="3" xr3:uid="{EDAD3CEB-53E6-46FB-A95D-C5BBD88B299A}" name="$ C/U" dataDxfId="156" dataCellStyle="Moneda"/>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8F3F15E4-C54F-40C8-92DB-8CA6DCDDB370}" name="Tabla51" displayName="Tabla51" ref="A186:C196" totalsRowShown="0">
  <autoFilter ref="A186:C196" xr:uid="{8F3F15E4-C54F-40C8-92DB-8CA6DCDDB370}"/>
  <tableColumns count="3">
    <tableColumn id="1" xr3:uid="{A721C3D5-68D9-460E-BA61-8E8360CA7F50}" name="PZAS" dataDxfId="155"/>
    <tableColumn id="2" xr3:uid="{DF4E7244-288C-485D-B6DC-BDF006590E79}" name="MATERIAL / ACCESORIO" dataDxfId="154"/>
    <tableColumn id="3" xr3:uid="{2403FD26-F1B2-4AC1-86EB-F9E042111E79}" name="$ C/U" dataDxfId="153" dataCellStyle="Moneda"/>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47855D13-9126-4C75-B82E-B04DFBA2E652}" name="Tabla45" displayName="Tabla45" ref="A7:E34" totalsRowShown="0">
  <autoFilter ref="A7:E34" xr:uid="{47855D13-9126-4C75-B82E-B04DFBA2E652}"/>
  <tableColumns count="5">
    <tableColumn id="1" xr3:uid="{DC836C2C-A4C3-4990-9373-7BAD39294A73}" name="Columna1" dataDxfId="152"/>
    <tableColumn id="2" xr3:uid="{DA3CC3BB-C92B-4C7C-B3EC-9467423822AE}" name="MATERIAL / ACCESORIO" dataDxfId="151"/>
    <tableColumn id="3" xr3:uid="{A6942FFF-CE2B-4B0B-A50D-386F96C9C493}" name="$ C/U">
      <calculatedColumnFormula>Tabla45[[#This Row],[Columna3]]</calculatedColumnFormula>
    </tableColumn>
    <tableColumn id="4" xr3:uid="{FB866F0C-ECC8-4336-BDA0-259C3D32FA01}" name="KG X MAT" dataDxfId="150">
      <calculatedColumnFormula>Tabla45[[#This Row],[$ C/U]]/48</calculatedColumnFormula>
    </tableColumn>
    <tableColumn id="5" xr3:uid="{9B544B33-CD48-4354-BA1C-0DE4D25764DE}" name="Columna3" dataDxfId="149">
      <calculatedColumnFormula>Tabla45[[#This Row],[KG X MAT]]*43</calculatedColumnFormula>
    </tableColumn>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8C46459F-D786-4607-9156-A1CD2138F108}" name="Tabla53" displayName="Tabla53" ref="A201:C229" totalsRowShown="0" headerRowDxfId="148">
  <autoFilter ref="A201:C229" xr:uid="{8C46459F-D786-4607-9156-A1CD2138F108}"/>
  <tableColumns count="3">
    <tableColumn id="1" xr3:uid="{80C69B77-0CF1-4975-9B9A-2D94FB41F4AF}" name="Columna1"/>
    <tableColumn id="2" xr3:uid="{449785F0-0D2B-4F6A-B1BA-7D12F1320691}" name="ADICIONALES" dataDxfId="147"/>
    <tableColumn id="3" xr3:uid="{1E55B927-D9B7-4B70-90EC-9E49DED774A8}" name="$ C/U" dataCellStyle="Moneda"/>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F4FA655D-FC43-4B49-98DA-637E1267D2A8}" name="Tabla52" displayName="Tabla52" ref="H6:J24" totalsRowShown="0">
  <autoFilter ref="H6:J24" xr:uid="{F4FA655D-FC43-4B49-98DA-637E1267D2A8}"/>
  <tableColumns count="3">
    <tableColumn id="1" xr3:uid="{9716552F-A2CB-4E08-84A8-8DD9427797D0}" name="MATERIAL / ACCESORIO"/>
    <tableColumn id="2" xr3:uid="{95D55542-7E9C-40A4-97A1-25AFBCECDE0D}" name="$ C/U" dataCellStyle="Moneda"/>
    <tableColumn id="3" xr3:uid="{318D1047-2B14-4125-ACED-D9D8249F1564}" name="DOLLY 2 3.5 FT"/>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744824D8-5B87-4DC7-A04B-ADE0E38E69C9}" name="Tabla55" displayName="Tabla55" ref="H28:I36" totalsRowShown="0">
  <autoFilter ref="H28:I36" xr:uid="{744824D8-5B87-4DC7-A04B-ADE0E38E69C9}"/>
  <tableColumns count="2">
    <tableColumn id="1" xr3:uid="{4078B059-CA72-4433-BB12-7DA09E60F1B6}" name="MATERIAL / ACCESORIO"/>
    <tableColumn id="2" xr3:uid="{E3800C8F-E986-48A8-9D8F-4B001F455803}" name="$ C/U" dataCellStyle="Moneda"/>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22828C3-6F2F-417E-B76D-925EE3EAE5B7}" name="Tabla56" displayName="Tabla56" ref="H39:I48" totalsRowShown="0">
  <autoFilter ref="H39:I48" xr:uid="{022828C3-6F2F-417E-B76D-925EE3EAE5B7}"/>
  <tableColumns count="2">
    <tableColumn id="1" xr3:uid="{FF9F7617-0B09-4B68-BF43-EDC82EF3ACD1}" name="MATERIAL / ACCESORIO"/>
    <tableColumn id="2" xr3:uid="{F1FF8089-8F57-44DB-81E9-2E9C910992F5}" name="$ C/U" dataCellStyle="Moneda"/>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CF135F08-AA07-4FA0-B29A-98B7E8679C56}" name="Tabla57" displayName="Tabla57" ref="H84:I85" totalsRowShown="0">
  <autoFilter ref="H84:I85" xr:uid="{CF135F08-AA07-4FA0-B29A-98B7E8679C56}"/>
  <tableColumns count="2">
    <tableColumn id="1" xr3:uid="{48853FCF-6771-4C77-BE57-25F3CDA3005E}" name="MATERIAL / ACCESORIO"/>
    <tableColumn id="2" xr3:uid="{253B9B33-A09D-4C13-8A12-2675A837E261}" name="$ C/U" dataCellStyle="Moneda"/>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B2D205A5-8910-447B-A1E5-47A58F3FB620}" name="Tabla58" displayName="Tabla58" ref="H73:I79" totalsRowShown="0">
  <autoFilter ref="H73:I79" xr:uid="{B2D205A5-8910-447B-A1E5-47A58F3FB620}"/>
  <tableColumns count="2">
    <tableColumn id="1" xr3:uid="{293A425F-6E69-468D-AE61-087ABDB04AED}" name="MATERIAL / ACCESORIO"/>
    <tableColumn id="2" xr3:uid="{57519007-CAEC-4FB9-AFB4-B944BA8B7649}" name="$ C/U" dataCellStyle="Moneda"/>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8E0FD071-B4F3-4D24-9353-91C05AD9F68C}" name="Tabla59" displayName="Tabla59" ref="H66:I69" totalsRowShown="0" headerRowCellStyle="Moneda" dataCellStyle="Moneda">
  <autoFilter ref="H66:I69" xr:uid="{8E0FD071-B4F3-4D24-9353-91C05AD9F68C}"/>
  <tableColumns count="2">
    <tableColumn id="1" xr3:uid="{2CCD3B3E-BDD9-45A0-950A-C5BC77FC4509}" name="MATERIAL / ACCESORIO" dataCellStyle="Moneda"/>
    <tableColumn id="2" xr3:uid="{BFD6334D-8135-4E47-828F-E4F1822526F7}" name="$ C/U" dataCellStyle="Moneda"/>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5D9AB190-DB8A-4D53-A857-4953B4B16AF4}" name="Tabla60" displayName="Tabla60" ref="H61:I62" totalsRowShown="0">
  <autoFilter ref="H61:I62" xr:uid="{5D9AB190-DB8A-4D53-A857-4953B4B16AF4}"/>
  <tableColumns count="2">
    <tableColumn id="1" xr3:uid="{8D16BF62-FE5B-4F0A-90BC-6336ABDFD3ED}" name="MATERIAL / ACCESORIO"/>
    <tableColumn id="2" xr3:uid="{EEB055C3-6B68-4CD7-A3AC-2015E3DEB4AC}" name="$ C/U" dataCellStyle="Moneda"/>
  </tableColumns>
  <tableStyleInfo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763B6E78-30E1-465E-A01A-E66A579F94C0}" name="Tabla61" displayName="Tabla61" ref="H57:I58" totalsRowShown="0">
  <autoFilter ref="H57:I58" xr:uid="{763B6E78-30E1-465E-A01A-E66A579F94C0}"/>
  <tableColumns count="2">
    <tableColumn id="1" xr3:uid="{89641BEF-D4F1-4E29-8CD0-F23EF7113BEF}" name="MATERIAL / ACCESORIO"/>
    <tableColumn id="2" xr3:uid="{0CD6F386-0EEB-4E43-9B1C-EBC5F23FDE52}" name="$ C/U" dataCellStyle="Moneda"/>
  </tableColumns>
  <tableStyleInfo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3F12A9D-0DD6-4A1E-B9A6-D40E49CF9B02}" name="Tabla62" displayName="Tabla62" ref="H51:I54" totalsRowShown="0" headerRowCellStyle="Moneda" dataCellStyle="Moneda">
  <autoFilter ref="H51:I54" xr:uid="{33F12A9D-0DD6-4A1E-B9A6-D40E49CF9B02}"/>
  <tableColumns count="2">
    <tableColumn id="1" xr3:uid="{DE790083-0F8D-4E20-95CA-2425B538B23C}" name="MATERIAL / ACCESORIO" dataCellStyle="Moneda"/>
    <tableColumn id="2" xr3:uid="{A2A472E0-8BFE-4CFD-884B-1AF2CFB74AE8}" name="$ C/U" dataCellStyle="Moneda"/>
  </tableColumns>
  <tableStyleInfo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2E70F75-0EB8-4D7C-90BE-4A400406ADA2}" name="CLOR" displayName="CLOR" ref="B236:B246" totalsRowShown="0" headerRowDxfId="146">
  <autoFilter ref="B236:B246" xr:uid="{02E70F75-0EB8-4D7C-90BE-4A400406ADA2}"/>
  <tableColumns count="1">
    <tableColumn id="1" xr3:uid="{33A41DC2-D88A-4003-9476-52E94BE94C25}" name="COLOR"/>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099698B-FBC4-4A1C-A403-C20D94C589FA}" name="extras" displayName="extras" ref="M8:V110" totalsRowShown="0" headerRowDxfId="145" headerRowBorderDxfId="144" tableBorderDxfId="143">
  <autoFilter ref="M8:V110" xr:uid="{C099698B-FBC4-4A1C-A403-C20D94C589FA}"/>
  <tableColumns count="10">
    <tableColumn id="1" xr3:uid="{E4B93F45-B3E9-4D2A-8148-B15D14AEACB7}" name="PZAS"/>
    <tableColumn id="2" xr3:uid="{6D0EDFB7-2E08-4797-BB08-00C0CB3AEC11}" name="TIPO"/>
    <tableColumn id="3" xr3:uid="{80C4D8EB-0311-4084-8A11-069EE3A07581}" name="NOMBRE" dataDxfId="142">
      <calculatedColumnFormula>CONCATENATE(extras[[#This Row],[TIPO]]," ",extras[[#This Row],[NUM. DE EJES]]," ",extras[[#This Row],[LARGO]])</calculatedColumnFormula>
    </tableColumn>
    <tableColumn id="4" xr3:uid="{250A709C-5205-493B-8673-A2C2C6D19075}" name="MATERIAL / ACCESORIO"/>
    <tableColumn id="5" xr3:uid="{9AE41CCF-4065-4E28-A757-ED6DDA88F38D}" name="CLASE"/>
    <tableColumn id="6" xr3:uid="{B8484180-EDEF-4393-B54B-7E2C1E1CA338}" name="PRECIO $ C/U" dataCellStyle="Moneda"/>
    <tableColumn id="7" xr3:uid="{89C90E1B-8ACA-40AC-9533-35648944B70C}" name="IMP POR POYECTO" dataDxfId="141">
      <calculatedColumnFormula>extras[[#This Row],[PZAS]]*extras[[#This Row],[PRECIO $ C/U]]*COTIZACION!$I$135</calculatedColumnFormula>
    </tableColumn>
    <tableColumn id="8" xr3:uid="{4217976E-A083-4283-A269-28684B2B7B51}" name="NUM. DE EJES" dataDxfId="140"/>
    <tableColumn id="9" xr3:uid="{0EE97714-1011-40D0-8314-2CAA4B62D55F}" name="LARGO"/>
    <tableColumn id="10" xr3:uid="{092C829C-0A2F-4D60-88C3-29E1294FBEDB}" name="OBSERVACIO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88FA505-07E0-42E4-8ADB-3DE6D4E135DD}" name="otros" displayName="otros" ref="X8:AG197" totalsRowShown="0" headerRowDxfId="139" headerRowBorderDxfId="138" tableBorderDxfId="137">
  <autoFilter ref="X8:AG197" xr:uid="{788FA505-07E0-42E4-8ADB-3DE6D4E135DD}"/>
  <tableColumns count="10">
    <tableColumn id="1" xr3:uid="{30166FA4-9567-4B9E-96CB-EDF720C20AD2}" name="PZAS"/>
    <tableColumn id="2" xr3:uid="{2A2F2606-2286-4D4E-BAA6-A8E11B885D6E}" name="TIPO"/>
    <tableColumn id="3" xr3:uid="{7FC0C031-B208-4912-9FAD-D91DA589F89D}" name="NOMBRE" dataDxfId="136">
      <calculatedColumnFormula>CONCATENATE(otros[[#This Row],[TIPO]]," ",otros[[#This Row],[NUM. DE EJES]]," ",otros[[#This Row],[LARGO]])</calculatedColumnFormula>
    </tableColumn>
    <tableColumn id="4" xr3:uid="{5C98D498-642B-4309-8387-0B4A35116E3E}" name="MATERIAL / ACCESORIO"/>
    <tableColumn id="6" xr3:uid="{41C305FF-128E-428A-96DA-16D1FF293E6E}" name="PRECIO $ C/U" dataCellStyle="Moneda"/>
    <tableColumn id="7" xr3:uid="{E6DD3264-A525-460E-B18B-DA987F1CFEED}" name="IMP POR POYECTO" dataDxfId="135" dataCellStyle="Moneda">
      <calculatedColumnFormula>otros[[#This Row],[PZAS]]*otros[[#This Row],[PRECIO $ C/U]]*COTIZACION!$I$135</calculatedColumnFormula>
    </tableColumn>
    <tableColumn id="8" xr3:uid="{78EC04E0-F01B-47F0-9A30-B85E5FF7D511}" name="NUM. DE EJES" dataDxfId="134"/>
    <tableColumn id="9" xr3:uid="{3D721AC8-4FE1-40D6-80FA-46457C547509}" name="LARGO"/>
    <tableColumn id="5" xr3:uid="{455AE593-D0F0-40AB-AB3E-933B6BCE4A24}" name="CLASE" dataDxfId="133"/>
    <tableColumn id="10" xr3:uid="{896E2FDF-72CB-4212-B066-3AC2EB67AE94}" name="OBSERVACIO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1641A41-5329-497E-872C-92BB10ECAD80}" name="piramide" displayName="piramide" ref="AI8:AR115" totalsRowShown="0" headerRowDxfId="132" headerRowBorderDxfId="131" tableBorderDxfId="130">
  <autoFilter ref="AI8:AR115" xr:uid="{D1641A41-5329-497E-872C-92BB10ECAD80}"/>
  <tableColumns count="10">
    <tableColumn id="1" xr3:uid="{37DB962F-EEF7-4AC2-B0DD-186138CD64AD}" name="PZAS"/>
    <tableColumn id="2" xr3:uid="{A70BF52E-1A98-41A1-98A8-B4A73419D040}" name="TIPO"/>
    <tableColumn id="3" xr3:uid="{CDBA1CA4-8690-49F3-A4D3-0A84FF7E073E}" name="NOMBRE" dataDxfId="129">
      <calculatedColumnFormula>CONCATENATE(piramide[[#This Row],[TIPO]]," ",piramide[[#This Row],[NUM. DE EJES]]," ",piramide[[#This Row],[LARGO]])</calculatedColumnFormula>
    </tableColumn>
    <tableColumn id="4" xr3:uid="{A6E56463-BE4D-49AD-9FBE-A0CA390F97EF}" name="MATERIAL / ACCESORIO"/>
    <tableColumn id="6" xr3:uid="{A4DAB7E6-C3FC-4C99-A653-5758153C498D}" name="PRECIO $ C/U" dataCellStyle="Moneda"/>
    <tableColumn id="7" xr3:uid="{DE85CF9A-DC7C-451D-8CBE-68CAF810D46A}" name="IMP POR POYECTO" dataDxfId="128" dataCellStyle="Moneda">
      <calculatedColumnFormula>piramide[[#This Row],[PZAS]]*piramide[[#This Row],[PRECIO $ C/U]]*COTIZACION!$I$135</calculatedColumnFormula>
    </tableColumn>
    <tableColumn id="8" xr3:uid="{3D564FCD-E651-4B69-B154-D994397452E9}" name="NUM. DE EJES" dataDxfId="127"/>
    <tableColumn id="9" xr3:uid="{45B1B5F1-F932-429E-AAD9-FDE811C9CE1E}" name="LARGO"/>
    <tableColumn id="5" xr3:uid="{2E4B1602-31E6-48EF-9BC7-E5348E14B582}" name="CLASE"/>
    <tableColumn id="10" xr3:uid="{518AB6CE-83FA-46C6-8634-E4782E6AC6B6}" name="OBSERVACIO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0C8F0F3-65E5-493C-82F0-B6DE8958BD78}" name="truckzone" displayName="truckzone" ref="AT8:BC101" totalsRowShown="0" headerRowDxfId="126" headerRowBorderDxfId="125" tableBorderDxfId="124">
  <autoFilter ref="AT8:BC101" xr:uid="{20C8F0F3-65E5-493C-82F0-B6DE8958BD78}">
    <filterColumn colId="1">
      <filters>
        <filter val="DOLLY"/>
      </filters>
    </filterColumn>
  </autoFilter>
  <tableColumns count="10">
    <tableColumn id="1" xr3:uid="{57CB967A-CD11-42D8-BCE7-AFE3953A223C}" name="PZAS"/>
    <tableColumn id="2" xr3:uid="{73EA1C31-BFDE-4527-BDF9-20C6EE998CDA}" name="TIPO"/>
    <tableColumn id="3" xr3:uid="{84C72C81-FFE8-41B3-8AFA-5838C97EFC64}" name="NOMBRE" dataDxfId="123">
      <calculatedColumnFormula>CONCATENATE(truckzone[[#This Row],[TIPO]]," ",truckzone[[#This Row],[NUM. DE EJES]]," ",truckzone[[#This Row],[LARGO]])</calculatedColumnFormula>
    </tableColumn>
    <tableColumn id="4" xr3:uid="{585459EB-0DBA-4207-930D-DF42691FFF65}" name="MATERIAL / ACCESORIO"/>
    <tableColumn id="6" xr3:uid="{88910ACF-F9A1-4CDB-BFF6-C2708C707DAC}" name="PRECIO $ C/U" dataCellStyle="Moneda"/>
    <tableColumn id="7" xr3:uid="{C9522CB8-E25E-4AD6-918B-1FF1C1379BB7}" name="IMP POR POYECTO" dataDxfId="122" dataCellStyle="Moneda">
      <calculatedColumnFormula>truckzone[[#This Row],[PZAS]]*truckzone[[#This Row],[PRECIO $ C/U]]*COTIZACION!$I$135</calculatedColumnFormula>
    </tableColumn>
    <tableColumn id="8" xr3:uid="{6D584058-6375-4C64-BA9C-29704096345D}" name="NUM. DE EJES" dataDxfId="121"/>
    <tableColumn id="9" xr3:uid="{E268EAA5-0014-455A-BFCE-D0581C261B6B}" name="LARGO"/>
    <tableColumn id="5" xr3:uid="{9FA35FE9-B6F4-4A1B-9AEC-987ADD798562}" name="CLASE" dataDxfId="120"/>
    <tableColumn id="10" xr3:uid="{FC6C68A5-EA49-4D8F-804D-264D364A736B}" name="OBSERVACIO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8254A84-13CA-40F6-9389-8FEFF2A09C48}" name="Tabla24" displayName="Tabla24" ref="BF8:BS18" totalsRowShown="0" headerRowDxfId="119" dataDxfId="117" headerRowBorderDxfId="118" tableBorderDxfId="116" totalsRowBorderDxfId="115">
  <autoFilter ref="BF8:BS18" xr:uid="{38254A84-13CA-40F6-9389-8FEFF2A09C48}"/>
  <tableColumns count="14">
    <tableColumn id="1" xr3:uid="{E94F1AB3-7E71-4BD1-8064-8C85967E22D7}" name="NOMBRE" dataDxfId="114">
      <calculatedColumnFormula>CONCATENATE(Tabla24[[#This Row],[TIPO]]," ",Tabla24[[#This Row],[NUM. DE EJES]]," ",Tabla24[[#This Row],[LARGO]])</calculatedColumnFormula>
    </tableColumn>
    <tableColumn id="4" xr3:uid="{9EBA8B10-9882-4452-BEC1-DB544AF97E17}" name="TIPO"/>
    <tableColumn id="2" xr3:uid="{899D9841-0344-40FF-9073-A22FE3EA8E49}" name="NUM. DE EJES" dataDxfId="113"/>
    <tableColumn id="3" xr3:uid="{19E956F1-F3F9-481B-9B31-536CF26556C7}" name="LARGO" dataDxfId="112"/>
    <tableColumn id="13" xr3:uid="{4CE4D7D8-3B1B-48C3-B7EF-5828D7099A11}" name="CONCAT" dataDxfId="111">
      <calculatedColumnFormula>_xlfn.CONCAT(Tabla24[[#This Row],[TIPO]]," ",Tabla24[[#This Row],[LARGO]]," ",Tabla24[[#This Row],[NUM. DE EJES]]," ","EJES")</calculatedColumnFormula>
    </tableColumn>
    <tableColumn id="5" xr3:uid="{F995C94E-F202-425D-A917-2F33BF991BC9}" name="Peso Vehicular" dataDxfId="110"/>
    <tableColumn id="6" xr3:uid="{1203D640-77B0-438A-B6FD-CF19E865D344}" name="PBVD: " dataDxfId="109"/>
    <tableColumn id="7" xr3:uid="{264C04E0-64A7-40CC-B3D3-96E14CC02A44}" name="Modelo ABS:" dataDxfId="108"/>
    <tableColumn id="8" xr3:uid="{6E78D95B-CBCA-48C1-A31F-3A4A2B882D96}" name="CDE ejes traseros: " dataDxfId="107"/>
    <tableColumn id="9" xr3:uid="{3225CC90-6AF1-4888-82E4-24227A2E0409}" name="Número de llantas:" dataDxfId="106"/>
    <tableColumn id="10" xr3:uid="{A81299E1-E876-45A8-86FD-03F613E89061}" name="Capacidad de eje en posición de montaje:" dataDxfId="105"/>
    <tableColumn id="11" xr3:uid="{DBDE246C-F0BD-43FD-9A40-168B38FD09C6}" name="Capacidad de espigas de eje:" dataDxfId="104"/>
    <tableColumn id="12" xr3:uid="{52D20FF4-5040-43E2-A8F2-713D775A73F8}" name="Longitud" dataDxfId="103"/>
    <tableColumn id="14" xr3:uid="{CBE1A4FB-8E47-4833-AF10-8ADD540CD853}" name="Ancho" dataDxfId="102"/>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7CF98C4-7EFA-4682-BAB4-D968F6DF57F3}" name="MODELO" displayName="MODELO" ref="BU8:BU10" totalsRowShown="0">
  <autoFilter ref="BU8:BU10" xr:uid="{77CF98C4-7EFA-4682-BAB4-D968F6DF57F3}"/>
  <tableColumns count="1">
    <tableColumn id="1" xr3:uid="{DC117286-7F1E-49CA-9818-57B815BA24CD}" name="MODELO"/>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4854AAA-186E-4192-9145-BFF6FF771476}" name="ACERO1" displayName="ACERO1" ref="B8:K202" totalsRowShown="0" headerRowDxfId="101" tableBorderDxfId="100">
  <autoFilter ref="B8:K202" xr:uid="{B4854AAA-186E-4192-9145-BFF6FF771476}"/>
  <tableColumns count="10">
    <tableColumn id="1" xr3:uid="{0B9E24F7-96EC-499B-A204-8C7BDE91C4EE}" name="PZAS"/>
    <tableColumn id="2" xr3:uid="{36D3ED3F-2A03-441A-8645-7125BDFDA601}" name="TIPO"/>
    <tableColumn id="3" xr3:uid="{0D776A7F-092E-4EDA-9D5B-A62BFAF2B257}" name="NOMBRE" dataDxfId="99">
      <calculatedColumnFormula>CONCATENATE(ACERO1[[#This Row],[TIPO]]," ",ACERO1[[#This Row],[NUM. DE EJES]]," ",ACERO1[[#This Row],[LARGO]])</calculatedColumnFormula>
    </tableColumn>
    <tableColumn id="4" xr3:uid="{60A69AA2-DD80-4645-9610-74247EED9A3B}" name="MATERIAL / ACCESORIO"/>
    <tableColumn id="5" xr3:uid="{881BA840-5D95-4BD2-B0A4-FB59ED9B966D}" name="PRECIO $ C/U" dataCellStyle="Moneda"/>
    <tableColumn id="6" xr3:uid="{A659FC1E-DE48-4BB8-A9D2-602846A7076E}" name="IMP POR POYECTO"/>
    <tableColumn id="7" xr3:uid="{D88489B6-4D1E-4D04-B645-D15C32577D4C}" name="NUM. DE EJES"/>
    <tableColumn id="8" xr3:uid="{5F0D8120-ABFA-4E85-94AB-692F90B4967E}" name="LARGO" dataDxfId="98"/>
    <tableColumn id="9" xr3:uid="{ACFC6174-AAD9-4F7C-BD8F-93C9A53C16A9}" name="CLASE"/>
    <tableColumn id="10" xr3:uid="{DC06CFFB-57C1-4124-A62B-EFD169EA83F4}" name="OBSERVACIO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F9D3C77-628C-4961-9BBB-34B0ABDDF700}" name="Tabla2" displayName="Tabla2" ref="BY8:BY12" totalsRowShown="0">
  <autoFilter ref="BY8:BY12" xr:uid="{FF9D3C77-628C-4961-9BBB-34B0ABDDF700}"/>
  <tableColumns count="1">
    <tableColumn id="1" xr3:uid="{6CC6C6A9-D08B-43D3-84F2-6847E72F86BA}" name="EXPIDIO"/>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3E76918-EB1E-4F77-A3DE-44553F7EAF6C}" name="Tabla3" displayName="Tabla3" ref="BW8:BW20" totalsRowShown="0">
  <autoFilter ref="BW8:BW20" xr:uid="{D3E76918-EB1E-4F77-A3DE-44553F7EAF6C}"/>
  <tableColumns count="1">
    <tableColumn id="1" xr3:uid="{3DAA0FBB-E6AC-4F0C-B292-5894E4B600AA}" name="Color"/>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45DFE0C-BBC3-4086-9E2B-12EB84BA9A0F}" name="Tabla54" displayName="Tabla54" ref="CB8:CM9" totalsRowShown="0">
  <autoFilter ref="CB8:CM9" xr:uid="{045DFE0C-BBC3-4086-9E2B-12EB84BA9A0F}"/>
  <tableColumns count="12">
    <tableColumn id="1" xr3:uid="{2D393967-4401-4092-A997-97FC31945B0C}" name="NOMBRE"/>
    <tableColumn id="2" xr3:uid="{C9A45419-7CEE-4478-BE96-B93556F9FF3E}" name="TIPO"/>
    <tableColumn id="3" xr3:uid="{3E88C3BD-3362-475B-B8E9-CBA44628536C}" name="NUM. DE EJES"/>
    <tableColumn id="4" xr3:uid="{44830994-8A84-4C55-B9DE-61E895250E45}" name="LARGO"/>
    <tableColumn id="5" xr3:uid="{5E5CC2E8-0AC9-405C-9C1E-6C217E18FB01}" name="Peso Vehicular" dataDxfId="97"/>
    <tableColumn id="6" xr3:uid="{37B32C82-6F59-4D03-AA1B-730980CF4A17}" name="PBVD: " dataDxfId="96"/>
    <tableColumn id="7" xr3:uid="{4539D48D-C541-46E1-A232-C8CC89004DC5}" name="Modelo ABS:"/>
    <tableColumn id="8" xr3:uid="{B0132D49-EC9F-44AA-971E-17CCB8C76186}" name="CDE ejes traseros: " dataDxfId="95"/>
    <tableColumn id="9" xr3:uid="{799FA55B-8FA3-4B9C-9A34-8A4295D9B9E2}" name="Número de llantas:"/>
    <tableColumn id="10" xr3:uid="{8D39E4E8-4613-4B05-9E0C-C496A6E02E9D}" name="Capacidad de eje en posición de montaje:" dataDxfId="94"/>
    <tableColumn id="11" xr3:uid="{F0008461-2CEC-4DF0-BE0D-710B06921ABE}" name="Capacidad de espigas de eje:" dataDxfId="93"/>
    <tableColumn id="12" xr3:uid="{0ABB5A68-25A1-4388-BDE8-65C76E5CFAF0}" name="Longitud" dataDxfId="92"/>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6B47990E-99BC-4EA2-9D98-DB8CCF703778}" name="ACERO21" displayName="ACERO21" ref="A7:L32" totalsRowShown="0">
  <autoFilter ref="A7:L32" xr:uid="{6B47990E-99BC-4EA2-9D98-DB8CCF703778}"/>
  <tableColumns count="12">
    <tableColumn id="1" xr3:uid="{98D8586C-E62B-4F08-8280-2502EEFAFEAF}" name="PZAS" dataDxfId="91">
      <calculatedColumnFormula>IF('PRES PLANAS'!G15="SIN GANCHO",0,INDEX(ACERO21[],MATCH(B8,ACERO21[MATERIAL / ACCESORIO],0),MATCH($A$1,ACERO21[#Headers],0)))</calculatedColumnFormula>
    </tableColumn>
    <tableColumn id="2" xr3:uid="{C97463CE-833E-4E7C-8388-B4E6D9B7B538}" name="MATERIAL / ACCESORIO"/>
    <tableColumn id="6" xr3:uid="{50D1A991-9C37-4426-B71A-16D64FA87A9E}" name="PLATAFORMA 2 35 FT"/>
    <tableColumn id="11" xr3:uid="{1DC42CDE-7AA4-4151-96CD-1DB9E213E7E9}" name="PLATAFORMA 2 40 FT"/>
    <tableColumn id="7" xr3:uid="{626BBD7C-6121-4815-A58B-FD861ECF876C}" name="PLATAFORMA 3 40 FT"/>
    <tableColumn id="5" xr3:uid="{9623D3E8-9977-4D0A-B74E-18D174903B24}" name="PLATAFORMA 2 42 FT"/>
    <tableColumn id="10" xr3:uid="{426317BE-4E74-4BAA-966A-BD8D3FABB229}" name="PLATAFORMA 3 42 FT"/>
    <tableColumn id="8" xr3:uid="{8AF67104-C174-42A8-BCF8-74126E661944}" name="PLATAFORMA 2 45 FT"/>
    <tableColumn id="12" xr3:uid="{73B3ADCD-39F7-4E0A-93AF-1B8626CFD4D5}" name="PLATAFORMA 2 48 FT"/>
    <tableColumn id="9" xr3:uid="{E632025E-484C-464D-9272-B00DA25FA149}" name="PLATAFORMA 3 48 FT"/>
    <tableColumn id="3" xr3:uid="{5D9C0318-1B9B-49FF-9B54-2F7F31D33717}" name="PLATAFORMA 3 43 FT"/>
    <tableColumn id="4" xr3:uid="{57591EDD-1080-4DCC-94FA-598B26D732AE}" name="PLATAFORMA 3 45 FT"/>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81D06F0-2A45-48B0-B634-F6AD7EA23356}" name="PIRAMIDE21" displayName="PIRAMIDE21" ref="A35:L51" totalsRowShown="0">
  <autoFilter ref="A35:L51" xr:uid="{681D06F0-2A45-48B0-B634-F6AD7EA23356}"/>
  <tableColumns count="12">
    <tableColumn id="1" xr3:uid="{16C41390-3865-429F-B23E-674AE7ABCC00}" name="PZAS">
      <calculatedColumnFormula>INDEX(PIRAMIDE21[],MATCH(PIRAMIDE21[[#This Row],[MATERIAL / ACCESORIO]],PIRAMIDE21[MATERIAL / ACCESORIO],0),MATCH($A$1,PIRAMIDE21[#Headers],0))</calculatedColumnFormula>
    </tableColumn>
    <tableColumn id="2" xr3:uid="{480ACA33-8E71-4786-A113-F78576F2BA1C}" name="MATERIAL / ACCESORIO"/>
    <tableColumn id="5" xr3:uid="{07AB0812-752C-4B9D-9B9D-E6579C8752F7}" name="PLATAFORMA 2 35 FT"/>
    <tableColumn id="6" xr3:uid="{BB48A00A-29A5-4A93-A6B3-06270EBBACB7}" name="PLATAFORMA 2 40 FT"/>
    <tableColumn id="7" xr3:uid="{C00E084A-594C-44C6-A14A-C62E81143801}" name="PLATAFORMA 3 40 FT"/>
    <tableColumn id="8" xr3:uid="{4D2DC225-C10E-4B6E-B95A-0428ECE90A25}" name="PLATAFORMA 2 42 FT"/>
    <tableColumn id="9" xr3:uid="{90028E07-49B7-434D-AD09-08465404DA25}" name="PLATAFORMA 3 42 FT"/>
    <tableColumn id="10" xr3:uid="{F0FFA3CF-F2F6-448E-8BD1-54703246388F}" name="PLATAFORMA 2 45 FT"/>
    <tableColumn id="11" xr3:uid="{C9C08224-223D-488A-AF90-30F88D430AE9}" name="PLATAFORMA 2 48 FT"/>
    <tableColumn id="12" xr3:uid="{E5237E84-93EC-467B-B34D-3A028ACC76AA}" name="PLATAFORMA 3 48 FT"/>
    <tableColumn id="3" xr3:uid="{271554F9-AD3C-4A2F-8DF6-00970C6D47BD}" name="PLATAFORMA 3 43 FT"/>
    <tableColumn id="4" xr3:uid="{F0590E82-AF9D-4750-ABFA-76F55E342AA0}" name="PLATAFORMA 3 45 FT"/>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EE5D197-E31F-4257-BEDD-F5147D145D8C}" name="OTROS21" displayName="OTROS21" ref="A68:L84" totalsRowShown="0">
  <autoFilter ref="A68:L84" xr:uid="{4EE5D197-E31F-4257-BEDD-F5147D145D8C}"/>
  <tableColumns count="12">
    <tableColumn id="1" xr3:uid="{64A2110A-8251-4D75-90F3-D113AE06CAE1}" name="PZAS">
      <calculatedColumnFormula>INDEX(OTROS21[],MATCH(OTROS21[[#This Row],[MATERIAL / ACCESORIO]],OTROS21[MATERIAL / ACCESORIO],0),MATCH($A$1,OTROS21[#Headers],0))</calculatedColumnFormula>
    </tableColumn>
    <tableColumn id="2" xr3:uid="{C4B4AEB4-6492-4F53-8F92-8C1ECCB6BC70}" name="MATERIAL / ACCESORIO"/>
    <tableColumn id="5" xr3:uid="{EF9DF4ED-5B19-4F81-81D1-D3C30A73A7E5}" name="PLATAFORMA 2 35 FT"/>
    <tableColumn id="6" xr3:uid="{E6C44386-1E9F-4602-9721-3BB838BF674D}" name="PLATAFORMA 2 40 FT"/>
    <tableColumn id="7" xr3:uid="{5D294461-5424-4739-9D56-2E0B5B0DEDEF}" name="PLATAFORMA 3 40 FT"/>
    <tableColumn id="8" xr3:uid="{F4BDF312-FA00-49D0-8BEF-E4713C650124}" name="PLATAFORMA 2 42 FT"/>
    <tableColumn id="9" xr3:uid="{FF42DC53-2F6E-4EDD-83B3-30A295889FCB}" name="PLATAFORMA 3 42 FT"/>
    <tableColumn id="10" xr3:uid="{691C0E80-7174-489F-8446-8327D1338CCC}" name="PLATAFORMA 2 45 FT"/>
    <tableColumn id="11" xr3:uid="{2EF73BFE-90FD-4C11-9767-95AA887AA35D}" name="PLATAFORMA 2 48 FT"/>
    <tableColumn id="12" xr3:uid="{D68ECF21-B2B1-4998-80E2-2CA3914C42BB}" name="PLATAFORMA 3 48 FT"/>
    <tableColumn id="3" xr3:uid="{E5183979-2074-4C4A-A53C-2C71ADB8BBBE}" name="PLATAFORMA 3 43 FT"/>
    <tableColumn id="4" xr3:uid="{9E41403F-694E-4A84-9572-216090B3059D}" name="PLATAFORMA 3 45 FT"/>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50D8221-E70D-40CB-A0BD-BBCD474242CC}" name="PISO21" displayName="PISO21" ref="A98:L100" totalsRowShown="0">
  <autoFilter ref="A98:L100" xr:uid="{F50D8221-E70D-40CB-A0BD-BBCD474242CC}"/>
  <tableColumns count="12">
    <tableColumn id="1" xr3:uid="{1332B8E6-3144-4E00-8E5B-2161E3C0F561}" name="PZAS" dataDxfId="90">
      <calculatedColumnFormula>INDEX(PISO21[],MATCH(PISO21[[#This Row],[MATERIAL / ACCESORIO]],PISO21[MATERIAL / ACCESORIO],0),MATCH($A$1,PISO21[#Headers],0))</calculatedColumnFormula>
    </tableColumn>
    <tableColumn id="2" xr3:uid="{2D60DE47-7713-440A-84E1-79B93C2B58AF}" name="MATERIAL / ACCESORIO">
      <calculatedColumnFormula array="1">INDEX(PISO[PISO],'DATOS DE EQUIPAMIENTO'!L7)</calculatedColumnFormula>
    </tableColumn>
    <tableColumn id="5" xr3:uid="{558C84DA-B8D2-48F2-91F9-71C5C602127E}" name="PLATAFORMA 2 35 FT"/>
    <tableColumn id="6" xr3:uid="{1FF9B9E1-2BD3-4EB4-AE3C-FF4C786DF231}" name="PLATAFORMA 2 40 FT"/>
    <tableColumn id="7" xr3:uid="{8A2F9DA2-21BA-4B42-ABC9-9BEA22FD3FDC}" name="PLATAFORMA 3 40 FT"/>
    <tableColumn id="8" xr3:uid="{81707C3B-625E-4292-9933-AD71A966F811}" name="PLATAFORMA 2 42 FT"/>
    <tableColumn id="9" xr3:uid="{F07DE6BC-7BC6-475A-B460-262A45398F4F}" name="PLATAFORMA 3 42 FT"/>
    <tableColumn id="10" xr3:uid="{6BEFC5FB-AD00-4C38-80C8-F2CF2022B1E5}" name="PLATAFORMA 2 45 FT"/>
    <tableColumn id="11" xr3:uid="{9A29E76A-7D13-434E-9EA6-B464C02BC0E6}" name="PLATAFORMA 2 48 FT"/>
    <tableColumn id="12" xr3:uid="{F0EE7299-954B-4C95-B665-283697004AF4}" name="PLATAFORMA 3 48 FT"/>
    <tableColumn id="3" xr3:uid="{39508A1C-F9AA-4960-9C01-9D6B4AD5C540}" name="PLATAFORMA 3 43 FT"/>
    <tableColumn id="4" xr3:uid="{FCF3F772-73C6-4C8D-A999-025AE830BBA7}" name="PLATAFORMA 3 45 FT"/>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29D075DE-475D-4C2B-BA5A-117CADF0CC42}" name="Tabla43" displayName="Tabla43" ref="A87:B95" totalsRowShown="0">
  <autoFilter ref="A87:B95" xr:uid="{29D075DE-475D-4C2B-BA5A-117CADF0CC42}"/>
  <tableColumns count="2">
    <tableColumn id="1" xr3:uid="{FC94CE63-9B90-4395-AA78-E235F1B5A3F4}" name="PZAS" dataDxfId="89"/>
    <tableColumn id="2" xr3:uid="{46A0A7D7-8551-4BE8-B286-76D87E0B796A}" name="MATERIAL / ACCESORIO" dataDxfId="88"/>
  </tableColumns>
  <tableStyleInfo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8616303D-8E97-46AA-AD50-73019BBB8BF8}" name="Tabla847" displayName="Tabla847" ref="B102:F112" totalsRowShown="0">
  <autoFilter ref="B102:F112" xr:uid="{8616303D-8E97-46AA-AD50-73019BBB8BF8}"/>
  <tableColumns count="5">
    <tableColumn id="1" xr3:uid="{FEF90717-31FC-4360-9036-EE711C2818AF}" name="EXTRAS"/>
    <tableColumn id="3" xr3:uid="{52266657-181B-4973-9594-4DA145C05D62}" name="IMPORTE" dataDxfId="87"/>
    <tableColumn id="2" xr3:uid="{D8B69339-84A9-45E5-B431-E6C82B8C8538}" name="CANTIDAD" dataDxfId="86"/>
    <tableColumn id="4" xr3:uid="{EE1EF659-F2CE-41BF-A4DF-98650EB8C4AD}" name="med1"/>
    <tableColumn id="5" xr3:uid="{BCE72F30-9129-46A6-A81F-638D6E7D704B}" name="MD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9C59CE72-9E00-405B-BEB3-4CC82391B1D2}" name="MANODEOBRA" displayName="MANODEOBRA" ref="A115:E123" totalsRowShown="0">
  <autoFilter ref="A115:E123" xr:uid="{9C59CE72-9E00-405B-BEB3-4CC82391B1D2}"/>
  <tableColumns count="5">
    <tableColumn id="1" xr3:uid="{F09CE467-D986-4F0E-B2A2-E95CB1487B78}" name="PZAS"/>
    <tableColumn id="2" xr3:uid="{9CA3AC05-951A-4557-82F2-9D655244F5CB}" name="MANO DE OBRA"/>
    <tableColumn id="3" xr3:uid="{A904D453-7364-4B1F-9358-1599D34161F7}" name="PRECIO $ C/U" dataCellStyle="Moneda"/>
    <tableColumn id="4" xr3:uid="{66710941-9E80-469C-A5E9-76C9F8FBAB87}" name="IMPORTE" dataCellStyle="Moneda"/>
    <tableColumn id="5" xr3:uid="{C4A4B2F3-93F8-4DD1-BB1A-1B511B6AC856}" name="MED"/>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58FAABF3-B2FD-4F57-9E4C-BACE34AAA6F2}" name="Tabla63" displayName="Tabla63" ref="A54:L64" totalsRowShown="0">
  <autoFilter ref="A54:L64" xr:uid="{58FAABF3-B2FD-4F57-9E4C-BACE34AAA6F2}"/>
  <tableColumns count="12">
    <tableColumn id="1" xr3:uid="{A63BDA36-E5CE-4D84-A027-05BE592B5D06}" name="PZAS" dataDxfId="85">
      <calculatedColumnFormula>INDEX($A$54:$L$64,MATCH(B55,$B$54:$B$64,0),MATCH($A$1,$A$54:$L$54,0))</calculatedColumnFormula>
    </tableColumn>
    <tableColumn id="2" xr3:uid="{A140BF80-9CA7-4DFE-ACB8-8D76BB8A9A63}" name="MATERIAL / ACCESORIO"/>
    <tableColumn id="3" xr3:uid="{74A178BF-6EBD-4230-9183-8B9C66F25AC9}" name="PLATAFORMA 2 35 FT"/>
    <tableColumn id="4" xr3:uid="{A4D4DE0D-9F1E-471C-92DB-D2C26489F095}" name="PLATAFORMA 2 40 FT"/>
    <tableColumn id="5" xr3:uid="{CAB49C65-84A4-47FB-A708-8E4B2331BCA1}" name="PLATAFORMA 3 40 FT"/>
    <tableColumn id="6" xr3:uid="{8E785231-1C34-4E1C-8188-CE6507292B68}" name="PLATAFORMA 2 42 FT"/>
    <tableColumn id="7" xr3:uid="{1C401B87-D1B7-4AE3-90DD-712CC04C2617}" name="PLATAFORMA 3 42 FT"/>
    <tableColumn id="8" xr3:uid="{34E0243A-4DF5-4CDC-8982-FB49F2EDA8C5}" name="PLATAFORMA 2 45 FT"/>
    <tableColumn id="9" xr3:uid="{7739D341-94F2-4843-8446-14C7F038E8AA}" name="PLATAFORMA 2 48 FT"/>
    <tableColumn id="10" xr3:uid="{4C5ABE2C-7783-4A5B-8D67-1C7800A97039}" name="PLATAFORMA 3 48 FT"/>
    <tableColumn id="11" xr3:uid="{8DCA85EA-408C-433B-916A-E1F25D55A147}" name="PLATAFORMA 3 43 FT"/>
    <tableColumn id="12" xr3:uid="{458B841A-E810-48AD-B88C-DB8FE64CDCDB}" name="PLATAFORMA 3 45 FT"/>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AD914D0F-2FA4-4511-B220-13B6456071E2}" name="Tabla64" displayName="Tabla64" ref="B7:Y798" totalsRowShown="0" headerRowDxfId="79" dataDxfId="78" tableBorderDxfId="77">
  <autoFilter ref="B7:Y798" xr:uid="{AD914D0F-2FA4-4511-B220-13B6456071E2}"/>
  <tableColumns count="24">
    <tableColumn id="1" xr3:uid="{FDC70847-80B9-4BB1-A5BD-7BE2F2C064F7}" name="FOLIO" dataDxfId="76"/>
    <tableColumn id="2" xr3:uid="{D091378B-43EC-4F61-A140-A1AB455AFC7D}" name="CLIENTE" dataDxfId="75"/>
    <tableColumn id="3" xr3:uid="{238A98DA-09AF-4423-8DDF-4760096BA02D}" name="PRODUCTO" dataDxfId="74"/>
    <tableColumn id="4" xr3:uid="{88C56634-E3B7-4B76-8EFE-F636C9630232}" name="CANTIDAD/PROD" dataDxfId="73"/>
    <tableColumn id="5" xr3:uid="{C5B948D3-8559-4B2F-B9BF-2C7110B2E0A4}" name="EJES" dataDxfId="72"/>
    <tableColumn id="6" xr3:uid="{862C7004-A48D-4F87-9FD8-581366A831B1}" name="RETRACTIL" dataDxfId="71"/>
    <tableColumn id="7" xr3:uid="{31D669FD-D230-4603-A6FF-B4E530C592F2}" name="CANT/RETRACTIL" dataDxfId="70"/>
    <tableColumn id="8" xr3:uid="{914798F4-3BB3-45D7-88E7-9E2518ACEBB4}" name="SUSPENSION" dataDxfId="69"/>
    <tableColumn id="9" xr3:uid="{E32F2BFB-BC39-49C2-8994-2213D04F38FC}" name="PATINES" dataDxfId="68"/>
    <tableColumn id="10" xr3:uid="{02C21178-7C17-4577-9C37-96DB49C33992}" name="CANT/PATIN" dataDxfId="67"/>
    <tableColumn id="11" xr3:uid="{06022CB9-54AD-41A0-82DF-D5FDF2BF31E7}" name="RIEL" dataDxfId="66"/>
    <tableColumn id="12" xr3:uid="{FD9A00B2-C917-4A2A-ADA2-FF240B627B2A}" name="CANT/WINCHES" dataDxfId="65"/>
    <tableColumn id="13" xr3:uid="{2EA6783D-6B5B-495D-85AA-CB5448ED0D57}" name="MATRACAS" dataDxfId="64"/>
    <tableColumn id="14" xr3:uid="{93D65B26-E77F-4929-A041-FF0FD1B39C26}" name="ABS" dataDxfId="63"/>
    <tableColumn id="15" xr3:uid="{B9771E3C-7C4B-4B8C-A459-4682698341A1}" name="RINES" dataDxfId="62"/>
    <tableColumn id="16" xr3:uid="{520DB6CE-43C2-4279-81CC-82FC2CB295E8}" name="CANT/RIN" dataDxfId="61"/>
    <tableColumn id="17" xr3:uid="{27BDC63D-B51E-4B75-91FD-4B2B8F03D264}" name="LLANTAS" dataDxfId="60"/>
    <tableColumn id="18" xr3:uid="{1E1980F0-F57C-4946-BAB4-386B64AB0D19}" name="CANT/LLANTA" dataDxfId="59"/>
    <tableColumn id="19" xr3:uid="{EB17F467-207D-4CB8-B9A8-59093F58AF78}" name="FRENTE" dataDxfId="58"/>
    <tableColumn id="20" xr3:uid="{A6BCABCE-2DBF-4163-B684-A84DDE00EDDE}" name="MEDIDA" dataDxfId="57"/>
    <tableColumn id="21" xr3:uid="{34C2EC48-D1CC-4467-9A17-6EE9CF9D0AC5}" name="PISO" dataDxfId="56"/>
    <tableColumn id="22" xr3:uid="{BB0CE007-62DC-4557-8F3F-0ABF55836FF9}" name="REDILAS" dataDxfId="55"/>
    <tableColumn id="23" xr3:uid="{0B747E0A-D8CD-4BB0-833D-BA8A8D5C9E00}" name="GANCHO" dataDxfId="54"/>
    <tableColumn id="24" xr3:uid="{3DF66679-254D-4981-A1FA-019307B536B1}" name="CONCEPTO" dataDxfId="53"/>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16441D9-12D3-4463-8243-01153A137E2C}" name="EJES" displayName="EJES" ref="B10:C13" totalsRowShown="0">
  <autoFilter ref="B10:C13" xr:uid="{F16441D9-12D3-4463-8243-01153A137E2C}"/>
  <tableColumns count="2">
    <tableColumn id="1" xr3:uid="{5659CC29-FD3B-4E7A-B948-31AB0F458B0E}" name="EJES"/>
    <tableColumn id="2" xr3:uid="{5134B767-CD77-405E-AE7A-35B0A84853E9}" name="PRECIO c/u" dataCellStyle="Moneda"/>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AAEBDE8-11C3-44F6-86EE-E04E586483D0}" name="SUSPENSION" displayName="SUSPENSION" ref="E10:F15" totalsRowShown="0">
  <autoFilter ref="E10:F15" xr:uid="{9AAEBDE8-11C3-44F6-86EE-E04E586483D0}"/>
  <tableColumns count="2">
    <tableColumn id="1" xr3:uid="{853FE783-108B-4A9A-B84D-72B9AD2E4AC5}" name="SUSPENSION"/>
    <tableColumn id="2" xr3:uid="{77CA3F6B-663F-4A27-AF89-19AEA67FFA03}" name="PRECIO c/u" dataCellStyle="Moneda"/>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3F2769E2-5DA2-4811-945F-A16ABFF72879}" name="PATINES" displayName="PATINES" ref="H10:J14" totalsRowShown="0">
  <autoFilter ref="H10:J14" xr:uid="{3F2769E2-5DA2-4811-945F-A16ABFF72879}"/>
  <tableColumns count="3">
    <tableColumn id="1" xr3:uid="{EC8A5218-D8DD-48F8-BB1E-30ABBF1FC0C9}" name="PATINES"/>
    <tableColumn id="3" xr3:uid="{A9BEED7C-E5DA-49A4-99ED-59EC82143E72}" name="CANTIDAD"/>
    <tableColumn id="2" xr3:uid="{80D39183-4FDC-4243-90DB-B0A87260C98A}" name="PRECIO c/u" dataCellStyle="Moneda"/>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29B1B554-6FFE-4B38-9309-EB156F5CA5BA}" name="PISO" displayName="PISO" ref="L10:M18" totalsRowShown="0">
  <autoFilter ref="L10:M18" xr:uid="{29B1B554-6FFE-4B38-9309-EB156F5CA5BA}"/>
  <tableColumns count="2">
    <tableColumn id="1" xr3:uid="{184369E5-7F7A-45D3-A6D2-A484D8C508EF}" name="PISO"/>
    <tableColumn id="2" xr3:uid="{0B0CEAF4-CA99-45C6-806F-EF9DA7AF6DE8}" name="PRECIO $ C/U" dataCellStyle="Moneda"/>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F35FAF95-C797-48CA-9B51-9AE05CA49A08}" name="RIEL" displayName="RIEL" ref="O10:P12" totalsRowShown="0">
  <autoFilter ref="O10:P12" xr:uid="{F35FAF95-C797-48CA-9B51-9AE05CA49A08}"/>
  <tableColumns count="2">
    <tableColumn id="1" xr3:uid="{44E42EF6-91A7-4DBB-BEF9-FCCCAE86C83E}" name="RIEL"/>
    <tableColumn id="2" xr3:uid="{75B11EE3-94A1-49AE-8797-1A494F08C463}" name="PRECIO c/u" dataCellStyle="Moneda"/>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350427FD-8945-45C6-8D32-25AB4301ADE5}" name="GANCHO" displayName="GANCHO" ref="R10:U15" totalsRowShown="0">
  <autoFilter ref="R10:U15" xr:uid="{350427FD-8945-45C6-8D32-25AB4301ADE5}"/>
  <tableColumns count="4">
    <tableColumn id="1" xr3:uid="{67FF1223-63B1-45C4-868F-5D7478B6C22A}" name="GANCHO"/>
    <tableColumn id="3" xr3:uid="{ED26177C-CC58-4CA9-AF1D-86B025875C3F}" name="CANTIDAD"/>
    <tableColumn id="4" xr3:uid="{27B65C81-52A8-4744-9E3A-12A49CA56E66}" name="SI/NO"/>
    <tableColumn id="2" xr3:uid="{3C909B4A-197C-4197-9A9A-6ED942B6E3E5}" name="PRECIO c/u" dataCellStyle="Moneda"/>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E43EF86-0A72-48B6-897B-3FDA8A4085C9}" name="FRENTE" displayName="FRENTE" ref="W10:X15" totalsRowShown="0">
  <autoFilter ref="W10:X15" xr:uid="{8E43EF86-0A72-48B6-897B-3FDA8A4085C9}"/>
  <tableColumns count="2">
    <tableColumn id="1" xr3:uid="{5D535A38-D05D-4C39-8473-16EBCF287E4A}" name="FRENTE"/>
    <tableColumn id="2" xr3:uid="{6DF8A8F3-5F90-4C50-8EA7-7EA7A456AD93}" name="PRECIO c/u" dataCellStyle="Moneda"/>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E33068F-CECF-40A5-AC67-0AFA03E15FAC}" name="REDILAS" displayName="REDILAS" ref="Z10:AA15" totalsRowShown="0">
  <autoFilter ref="Z10:AA15" xr:uid="{7E33068F-CECF-40A5-AC67-0AFA03E15FAC}"/>
  <tableColumns count="2">
    <tableColumn id="1" xr3:uid="{94763BBD-D4D2-43E4-B619-F17FF28228C3}" name="REDILAS"/>
    <tableColumn id="2" xr3:uid="{6D6EAD34-5318-4A02-9621-82F991520C8E}" name="PRECIO c/u" dataCellStyle="Moneda"/>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CE137B8-AC11-4A4B-BB73-8064919F873E}" name="RETRACTIL" displayName="RETRACTIL" ref="AC10:AE13" totalsRowShown="0">
  <autoFilter ref="AC10:AE13" xr:uid="{3CE137B8-AC11-4A4B-BB73-8064919F873E}"/>
  <tableColumns count="3">
    <tableColumn id="1" xr3:uid="{7A95BBD2-39CE-457B-86BB-1B1984F8EFAB}" name="RETRACTIL"/>
    <tableColumn id="3" xr3:uid="{31705AD9-1EE6-4319-9D72-475D7D755622}" name="CANTIDAD"/>
    <tableColumn id="2" xr3:uid="{8F17D80C-A568-42FA-A977-601A9D6A4DD3}" name="PRECIO c/u" dataCellStyle="Moneda"/>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BA99A75-6B11-40BD-9DA9-11A0AA4202E0}" name="RINES" displayName="RINES" ref="AG10:AI23" totalsRowShown="0">
  <autoFilter ref="AG10:AI23" xr:uid="{4BA99A75-6B11-40BD-9DA9-11A0AA4202E0}"/>
  <tableColumns count="3">
    <tableColumn id="1" xr3:uid="{4345F6C8-EB0C-4FC3-BB2E-27A47A38818D}" name="RINES"/>
    <tableColumn id="3" xr3:uid="{11FFB4C6-DCC0-4E54-9AF1-494C618980D8}" name="CANTIDAD"/>
    <tableColumn id="2" xr3:uid="{FB705D4C-40B2-4B85-8F0E-B8B36A1201D0}" name="PRECIO c/u" dataCellStyle="Moneda"/>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873906F-1F75-4EA5-AC90-81F0BDA150C1}" name="Tabla29" displayName="Tabla29" ref="AK10:AM23" totalsRowShown="0">
  <autoFilter ref="AK10:AM23" xr:uid="{2873906F-1F75-4EA5-AC90-81F0BDA150C1}"/>
  <tableColumns count="3">
    <tableColumn id="1" xr3:uid="{4E36C126-2D75-4AC5-B243-9695AB2D7D40}" name="LLANTAS"/>
    <tableColumn id="3" xr3:uid="{99C34384-3C64-4E45-BD32-7550575B62A7}" name="CANTIDAD"/>
    <tableColumn id="2" xr3:uid="{249315DC-3D6A-4EE7-96B6-AB78C9F97103}" name="PRECIO c/u" dataCellStyle="Moneda"/>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950CC4F-34A9-48A2-90F3-602EF6EE8777}" name="Tabla9" displayName="Tabla9" ref="AO10:AQ11" totalsRowShown="0">
  <autoFilter ref="AO10:AQ11" xr:uid="{9950CC4F-34A9-48A2-90F3-602EF6EE8777}"/>
  <tableColumns count="3">
    <tableColumn id="1" xr3:uid="{1FDFC083-A109-497B-A6A2-7253E11B3038}" name="CLAFONES"/>
    <tableColumn id="2" xr3:uid="{E017B0E9-0A75-4F31-AB0F-9B3D017B893E}" name="CATIDAD"/>
    <tableColumn id="3" xr3:uid="{D36AB3A8-7135-4057-ACB3-71F0C7055947}" name="PRECIO c/u"/>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27C07CE-18F0-4F0E-9EE7-E7B0306B7038}" name="Tabla8" displayName="Tabla8" ref="AS10:AW20" totalsRowShown="0">
  <autoFilter ref="AS10:AW20" xr:uid="{327C07CE-18F0-4F0E-9EE7-E7B0306B7038}"/>
  <tableColumns count="5">
    <tableColumn id="1" xr3:uid="{7A9FB3F9-C822-468E-AB5C-8B41DCA49828}" name="EXTRAS"/>
    <tableColumn id="3" xr3:uid="{9AD549F5-2232-4694-A048-9B7CF3137DCB}" name="IMPORTE" dataDxfId="52"/>
    <tableColumn id="2" xr3:uid="{149942F4-E853-41B5-A801-A22F2FF585DF}" name="CANTIDAD" dataDxfId="51"/>
    <tableColumn id="4" xr3:uid="{AA6F2EA9-36D9-4AF6-BE4D-CD8DE74AA546}" name="med1"/>
    <tableColumn id="5" xr3:uid="{5551FECE-F5C6-45AA-9DAE-453AD088D7E3}" name="MD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26DD1D88-E12B-417C-BA5A-3483F451F49D}" name="Tabla68" displayName="Tabla68" ref="B7:L203" totalsRowShown="0">
  <autoFilter ref="B7:L203" xr:uid="{26DD1D88-E12B-417C-BA5A-3483F451F49D}"/>
  <tableColumns count="11">
    <tableColumn id="1" xr3:uid="{D378BDE6-8CA7-4FC5-90B3-C57044ABD52E}" name="FOLIO"/>
    <tableColumn id="2" xr3:uid="{B872807C-F6B5-47B2-84D9-5E61DD7DF4CD}" name="CLIENTE"/>
    <tableColumn id="3" xr3:uid="{4D2C226D-7CB1-4F2E-B815-48B34B6F1C12}" name="PRODUCTO"/>
    <tableColumn id="4" xr3:uid="{805C4F98-2960-49C7-BB59-010FC9C761EA}" name="CANTIDAD"/>
    <tableColumn id="5" xr3:uid="{77052F2F-184F-4C4D-95FA-0AA4D0F38AA2}" name="SUSPENSION"/>
    <tableColumn id="6" xr3:uid="{E84D8F55-F341-45E0-BE19-D35E62FF4054}" name="EJES"/>
    <tableColumn id="7" xr3:uid="{848819F5-F0A6-4EA2-A021-6D24E6666F9C}" name="RINES"/>
    <tableColumn id="8" xr3:uid="{D7D347CC-CAF3-443F-B6D9-92E1E1AEE1A4}" name="LLANTAS"/>
    <tableColumn id="9" xr3:uid="{611BBFA2-25B9-4AF1-AE85-168F8DE89F36}" name="RETRACTIL"/>
    <tableColumn id="10" xr3:uid="{F3CDC79A-2503-453C-B364-6714C71B78D0}" name="CANT RETRACTIL"/>
    <tableColumn id="11" xr3:uid="{E142B19C-7D53-4242-BB53-19500CB1B24E}" name="CONCEPTO"/>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DF04E86-684C-4A02-8DF0-4409BC62FFE6}" name="Tabla4" displayName="Tabla4" ref="B8:C17" totalsRowShown="0">
  <autoFilter ref="B8:C17" xr:uid="{2DF04E86-684C-4A02-8DF0-4409BC62FFE6}"/>
  <tableColumns count="2">
    <tableColumn id="1" xr3:uid="{96705EDD-B18F-4CCF-8638-4CB1E8B3D00B}" name="NOMBRE"/>
    <tableColumn id="2" xr3:uid="{DAEFBFA8-D71B-4FCB-A577-497E49F2DC31}" name="FOTO"/>
  </tableColumns>
  <tableStyleInfo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8E16A82-8FC2-4DFC-8E4E-AD0B9072D6A4}" name="Tabla5" displayName="Tabla5" ref="E8:F17" totalsRowShown="0">
  <autoFilter ref="E8:F17" xr:uid="{E8E16A82-8FC2-4DFC-8E4E-AD0B9072D6A4}"/>
  <tableColumns count="2">
    <tableColumn id="1" xr3:uid="{79EE9E5D-4C28-47A8-9ACA-C05C74EEC472}" name="NOMBRE"/>
    <tableColumn id="2" xr3:uid="{BF3CCA27-2D61-4898-A263-EAFE46D1CC05}" name="FOTO"/>
  </tableColumns>
  <tableStyleInfo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740D09F-BADE-401B-B942-DC3C912ED67B}" name="Tabla6" displayName="Tabla6" ref="I8:J20" totalsRowShown="0" dataDxfId="48">
  <autoFilter ref="I8:J20" xr:uid="{A740D09F-BADE-401B-B942-DC3C912ED67B}"/>
  <tableColumns count="2">
    <tableColumn id="1" xr3:uid="{EDF3949C-CF85-40BC-9264-EB3D041F8E8E}" name="color" dataDxfId="47"/>
    <tableColumn id="2" xr3:uid="{9ABE3E6D-F391-464D-A716-D7D34CA40167}" name="foto" dataDxfId="46"/>
  </tableColumns>
  <tableStyleInfo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A848F35-27F6-4416-81DB-06F9AC6C2CCB}" name="Tabla7" displayName="Tabla7" ref="L8:M20" totalsRowShown="0" dataDxfId="45">
  <autoFilter ref="L8:M20" xr:uid="{0A848F35-27F6-4416-81DB-06F9AC6C2CCB}"/>
  <tableColumns count="2">
    <tableColumn id="1" xr3:uid="{1227ACA1-F1E1-4669-A2A2-0F2FA305135C}" name="color 2" dataDxfId="44"/>
    <tableColumn id="2" xr3:uid="{23BD4280-6A52-409E-8B8A-C43580417AE9}" name="foto" dataDxfId="43"/>
  </tableColumns>
  <tableStyleInfo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6E59E466-597C-4BD0-B0C4-DE8833F17E38}" name="CHASIS" displayName="CHASIS" ref="B10:M210" totalsRowCount="1" headerRowDxfId="42">
  <autoFilter ref="B10:M209" xr:uid="{6E59E466-597C-4BD0-B0C4-DE8833F17E38}">
    <filterColumn colId="0">
      <customFilters>
        <customFilter val="**"/>
      </customFilters>
    </filterColumn>
  </autoFilter>
  <sortState xmlns:xlrd2="http://schemas.microsoft.com/office/spreadsheetml/2017/richdata2" ref="B11:M155">
    <sortCondition ref="D10:D155"/>
  </sortState>
  <tableColumns count="12">
    <tableColumn id="1" xr3:uid="{9DD03EC9-91B6-4034-B3A4-D3DF304BC100}" name="CLIENTE " totalsRowLabel="Total"/>
    <tableColumn id="2" xr3:uid="{E17CC00D-8052-45F6-A005-3BF83992859E}" name="CHASIS" dataDxfId="41"/>
    <tableColumn id="9" xr3:uid="{8B30C321-96B9-4117-974B-8749126F4256}" name="AÑO MODELO" dataDxfId="40"/>
    <tableColumn id="11" xr3:uid="{5001D68E-4195-44FA-BA3D-7E72FEB271D9}" name="PRODUCTO" dataDxfId="39"/>
    <tableColumn id="12" xr3:uid="{6107B84C-316B-4D04-B475-6D0FE6419861}" name="COLOR" dataDxfId="38"/>
    <tableColumn id="3" xr3:uid="{4096DBCD-5D7F-430A-B91F-AC494A05EF2E}" name="P/U" totalsRowFunction="sum" totalsRowDxfId="37" dataCellStyle="Moneda"/>
    <tableColumn id="4" xr3:uid="{34F7B5EF-87DD-4F52-8745-22EAD6AADF10}" name="PAGO " totalsRowFunction="sum" totalsRowDxfId="36" dataCellStyle="Moneda">
      <calculatedColumnFormula>SUMIF(PAGOS[CHASIS],CHASIS[[#This Row],[CHASIS]],PAGOS[[PAGO ]])</calculatedColumnFormula>
    </tableColumn>
    <tableColumn id="5" xr3:uid="{506E5C9F-0A20-4F69-B9C0-CAF9A4D203FA}" name="ADEUDO" totalsRowFunction="sum" totalsRowDxfId="35" dataCellStyle="Moneda">
      <calculatedColumnFormula>CHASIS[[#This Row],[P/U]]-CHASIS[[#This Row],[PAGO ]]</calculatedColumnFormula>
    </tableColumn>
    <tableColumn id="10" xr3:uid="{C9B25E6E-C4FE-4349-90FA-4FC640A6E142}" name="FACTURA" dataDxfId="34" totalsRowDxfId="33" dataCellStyle="Moneda"/>
    <tableColumn id="7" xr3:uid="{CB2394FD-98BE-44FF-9DF3-211E90BDEC1E}" name="FECHE/ENTRGA" dataDxfId="32" dataCellStyle="Moneda"/>
    <tableColumn id="8" xr3:uid="{2DE188A0-5E13-4474-A13C-5C5419708F60}" name="PAGADO" dataDxfId="31" dataCellStyle="Moneda">
      <calculatedColumnFormula>IF(CHASIS[[#This Row],[ADEUDO]]=0,"SI","NO")</calculatedColumnFormula>
    </tableColumn>
    <tableColumn id="6" xr3:uid="{FD9AACD5-93BB-4BAB-BC3C-7AF66C2005F0}" name="EQUI. ENTREGADOS" totalsRowFunction="count" dataDxfId="30" totalsRowDxfId="29">
      <calculatedColumnFormula>IF(K11="","EN PROCESO","ENTREGADO")</calculatedColumnFormula>
    </tableColumn>
  </tableColumns>
  <tableStyleInfo name="TableStyleLight11 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74FB2591-31D6-454C-B295-5876CB396198}" name="PAGOS" displayName="PAGOS" ref="B10:G76" totalsRowCount="1" headerRowDxfId="28" headerRowBorderDxfId="27" tableBorderDxfId="26" headerRowCellStyle="Moneda">
  <autoFilter ref="B10:G75" xr:uid="{74FB2591-31D6-454C-B295-5876CB396198}"/>
  <tableColumns count="6">
    <tableColumn id="1" xr3:uid="{F7B3F38D-A49E-4F00-8D0C-0107E5BB628E}" name="CLIENTE " totalsRowLabel="Total">
      <calculatedColumnFormula>INDEX(CHASIS[],MATCH(PAGOS!C11,CHASIS[CHASIS],0),MATCH(PAGOS[[#Headers],[CLIENTE ]],CHASIS[#Headers],0))</calculatedColumnFormula>
    </tableColumn>
    <tableColumn id="2" xr3:uid="{7A7A458B-FE35-4BDE-9680-F16C51B45408}" name="CHASIS"/>
    <tableColumn id="4" xr3:uid="{4867E3CC-FE58-4212-A9BD-762D0B0C3E4B}" name="FECHA DE PAGO" dataDxfId="25" totalsRowDxfId="24" dataCellStyle="Moneda"/>
    <tableColumn id="3" xr3:uid="{0C1E373F-2981-4FDF-84D2-30CD335F0821}" name="PAGO " totalsRowFunction="sum" dataDxfId="23" totalsRowDxfId="22" dataCellStyle="Moneda"/>
    <tableColumn id="6" xr3:uid="{FE8D914A-6265-4224-A420-A2849869729C}" name="FOLIO    COM PAGO" dataDxfId="21" dataCellStyle="Moneda"/>
    <tableColumn id="5" xr3:uid="{887D3771-8813-4C93-A904-FD00FED56E13}" name="FOLIO FACTURA" totalsRowFunction="count"/>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90A8717-5B6D-4886-B39C-499E4A6D66CA}" name="clientes" displayName="clientes" ref="B9:I118" totalsRowShown="0" headerRowDxfId="20" dataDxfId="19" tableBorderDxfId="18">
  <autoFilter ref="B9:I118" xr:uid="{790A8717-5B6D-4886-B39C-499E4A6D66CA}">
    <filterColumn colId="0">
      <customFilters>
        <customFilter val="**"/>
      </customFilters>
    </filterColumn>
  </autoFilter>
  <tableColumns count="8">
    <tableColumn id="1" xr3:uid="{DE490336-A402-4B43-A64B-BD2F96B534DA}" name="CLIENTE" dataDxfId="17"/>
    <tableColumn id="2" xr3:uid="{18FAC1D1-53B7-4737-8356-1DB20EE250D3}" name="R. F. C.  " dataDxfId="16"/>
    <tableColumn id="3" xr3:uid="{A3862254-FE93-47D3-B242-275E82627775}" name="EMPRESA" dataDxfId="15"/>
    <tableColumn id="4" xr3:uid="{FE2568D8-9C3B-4E09-9B25-000E3F2A4F58}" name="CALLE, No., COLONIA " dataDxfId="14"/>
    <tableColumn id="5" xr3:uid="{D33597B1-6D13-45AC-91E8-DC29522058BD}" name="MUNICIPIO, ESTADO, PAIS. " dataDxfId="13"/>
    <tableColumn id="6" xr3:uid="{11EBF6B5-BC2B-4438-A39A-FB664296A151}" name="C.P. " dataDxfId="12"/>
    <tableColumn id="7" xr3:uid="{2C59C00F-D3DD-4C42-8C99-6AE1AD7C0705}" name="TEL/CEL" dataDxfId="11"/>
    <tableColumn id="8" xr3:uid="{0101E22B-30D9-4A69-817A-B59C7AEB2987}" name="CORREO" dataDxfId="10" dataCellStyle="Hipervínculo"/>
  </tableColumns>
  <tableStyleInfo name="TableStyleLight8"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7978C9E-3D47-49C3-8242-9E3193B94168}" name="Tabla11" displayName="Tabla11" ref="B3:C6" totalsRowShown="0">
  <autoFilter ref="B3:C6" xr:uid="{B7978C9E-3D47-49C3-8242-9E3193B94168}"/>
  <tableColumns count="2">
    <tableColumn id="1" xr3:uid="{6CF541DD-FE8E-49EF-9C7F-1D05D6FF3E8C}" name="NOMBRE"/>
    <tableColumn id="2" xr3:uid="{9EC7524E-09ED-4E76-B84C-727DC65E441A}" name="FOTO 1"/>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F09219F-8BF6-407B-B78B-0D40ED71C243}" name="Tabla12" displayName="Tabla12" ref="E3:F6" totalsRowShown="0">
  <autoFilter ref="E3:F6" xr:uid="{3F09219F-8BF6-407B-B78B-0D40ED71C243}"/>
  <tableColumns count="2">
    <tableColumn id="1" xr3:uid="{FBC54311-B87D-4813-B13C-136B4EFA745E}" name="NOMBRE"/>
    <tableColumn id="2" xr3:uid="{AE83BB44-D170-4FC5-B2FC-01CBC6C76FC6}" name="FOTO 2"/>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4.xml"/><Relationship Id="rId7" Type="http://schemas.openxmlformats.org/officeDocument/2006/relationships/printerSettings" Target="../printerSettings/printerSettings2.bin"/><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3.xml.rels><?xml version="1.0" encoding="UTF-8" standalone="yes"?>
<Relationships xmlns="http://schemas.openxmlformats.org/package/2006/relationships"><Relationship Id="rId8" Type="http://schemas.openxmlformats.org/officeDocument/2006/relationships/table" Target="../tables/table3.xml"/><Relationship Id="rId13" Type="http://schemas.openxmlformats.org/officeDocument/2006/relationships/table" Target="../tables/table8.xml"/><Relationship Id="rId18" Type="http://schemas.openxmlformats.org/officeDocument/2006/relationships/table" Target="../tables/table13.xml"/><Relationship Id="rId26" Type="http://schemas.openxmlformats.org/officeDocument/2006/relationships/table" Target="../tables/table21.xml"/><Relationship Id="rId3" Type="http://schemas.openxmlformats.org/officeDocument/2006/relationships/vmlDrawing" Target="../drawings/vmlDrawing2.vml"/><Relationship Id="rId21" Type="http://schemas.openxmlformats.org/officeDocument/2006/relationships/table" Target="../tables/table16.xml"/><Relationship Id="rId7" Type="http://schemas.openxmlformats.org/officeDocument/2006/relationships/table" Target="../tables/table2.xml"/><Relationship Id="rId12" Type="http://schemas.openxmlformats.org/officeDocument/2006/relationships/table" Target="../tables/table7.xml"/><Relationship Id="rId17" Type="http://schemas.openxmlformats.org/officeDocument/2006/relationships/table" Target="../tables/table12.xml"/><Relationship Id="rId25" Type="http://schemas.openxmlformats.org/officeDocument/2006/relationships/table" Target="../tables/table20.xml"/><Relationship Id="rId2" Type="http://schemas.openxmlformats.org/officeDocument/2006/relationships/drawing" Target="../drawings/drawing3.xml"/><Relationship Id="rId16" Type="http://schemas.openxmlformats.org/officeDocument/2006/relationships/table" Target="../tables/table11.xml"/><Relationship Id="rId20" Type="http://schemas.openxmlformats.org/officeDocument/2006/relationships/table" Target="../tables/table15.xml"/><Relationship Id="rId29" Type="http://schemas.openxmlformats.org/officeDocument/2006/relationships/table" Target="../tables/table24.xml"/><Relationship Id="rId1" Type="http://schemas.openxmlformats.org/officeDocument/2006/relationships/printerSettings" Target="../printerSettings/printerSettings3.bin"/><Relationship Id="rId6" Type="http://schemas.openxmlformats.org/officeDocument/2006/relationships/table" Target="../tables/table1.xml"/><Relationship Id="rId11" Type="http://schemas.openxmlformats.org/officeDocument/2006/relationships/table" Target="../tables/table6.xml"/><Relationship Id="rId24" Type="http://schemas.openxmlformats.org/officeDocument/2006/relationships/table" Target="../tables/table19.xml"/><Relationship Id="rId5" Type="http://schemas.openxmlformats.org/officeDocument/2006/relationships/image" Target="../media/image7.emf"/><Relationship Id="rId15" Type="http://schemas.openxmlformats.org/officeDocument/2006/relationships/table" Target="../tables/table10.xml"/><Relationship Id="rId23" Type="http://schemas.openxmlformats.org/officeDocument/2006/relationships/table" Target="../tables/table18.xml"/><Relationship Id="rId28" Type="http://schemas.openxmlformats.org/officeDocument/2006/relationships/table" Target="../tables/table23.xml"/><Relationship Id="rId10" Type="http://schemas.openxmlformats.org/officeDocument/2006/relationships/table" Target="../tables/table5.xml"/><Relationship Id="rId19" Type="http://schemas.openxmlformats.org/officeDocument/2006/relationships/table" Target="../tables/table14.xml"/><Relationship Id="rId31"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table" Target="../tables/table4.xml"/><Relationship Id="rId14" Type="http://schemas.openxmlformats.org/officeDocument/2006/relationships/table" Target="../tables/table9.xml"/><Relationship Id="rId22" Type="http://schemas.openxmlformats.org/officeDocument/2006/relationships/table" Target="../tables/table17.xml"/><Relationship Id="rId27" Type="http://schemas.openxmlformats.org/officeDocument/2006/relationships/table" Target="../tables/table22.xml"/><Relationship Id="rId30" Type="http://schemas.openxmlformats.org/officeDocument/2006/relationships/table" Target="../tables/table2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3.vml"/><Relationship Id="rId7" Type="http://schemas.openxmlformats.org/officeDocument/2006/relationships/table" Target="../tables/table27.xml"/><Relationship Id="rId12" Type="http://schemas.openxmlformats.org/officeDocument/2006/relationships/table" Target="../tables/table32.xml"/><Relationship Id="rId2" Type="http://schemas.openxmlformats.org/officeDocument/2006/relationships/drawing" Target="../drawings/drawing4.xml"/><Relationship Id="rId16" Type="http://schemas.microsoft.com/office/2007/relationships/slicer" Target="../slicers/slicer2.xml"/><Relationship Id="rId1" Type="http://schemas.openxmlformats.org/officeDocument/2006/relationships/printerSettings" Target="../printerSettings/printerSettings4.bin"/><Relationship Id="rId6" Type="http://schemas.openxmlformats.org/officeDocument/2006/relationships/table" Target="../tables/table26.xml"/><Relationship Id="rId11" Type="http://schemas.openxmlformats.org/officeDocument/2006/relationships/table" Target="../tables/table31.xml"/><Relationship Id="rId5" Type="http://schemas.openxmlformats.org/officeDocument/2006/relationships/image" Target="../media/image9.emf"/><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ontrol" Target="../activeX/activeX2.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table" Target="../tables/table42.xml"/><Relationship Id="rId3" Type="http://schemas.openxmlformats.org/officeDocument/2006/relationships/table" Target="../tables/table37.xml"/><Relationship Id="rId7" Type="http://schemas.openxmlformats.org/officeDocument/2006/relationships/table" Target="../tables/table41.xml"/><Relationship Id="rId2" Type="http://schemas.openxmlformats.org/officeDocument/2006/relationships/table" Target="../tables/table36.xml"/><Relationship Id="rId1" Type="http://schemas.openxmlformats.org/officeDocument/2006/relationships/vmlDrawing" Target="../drawings/vmlDrawing4.vml"/><Relationship Id="rId6" Type="http://schemas.openxmlformats.org/officeDocument/2006/relationships/table" Target="../tables/table40.xml"/><Relationship Id="rId5" Type="http://schemas.openxmlformats.org/officeDocument/2006/relationships/table" Target="../tables/table39.xml"/><Relationship Id="rId10" Type="http://schemas.openxmlformats.org/officeDocument/2006/relationships/comments" Target="../comments2.xml"/><Relationship Id="rId4" Type="http://schemas.openxmlformats.org/officeDocument/2006/relationships/table" Target="../tables/table38.xml"/><Relationship Id="rId9" Type="http://schemas.openxmlformats.org/officeDocument/2006/relationships/table" Target="../tables/table43.xml"/></Relationships>
</file>

<file path=xl/worksheets/_rels/sheet6.x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vmlDrawing" Target="../drawings/vmlDrawing5.vml"/><Relationship Id="rId7" Type="http://schemas.openxmlformats.org/officeDocument/2006/relationships/control" Target="../activeX/activeX4.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image" Target="../media/image10.emf"/><Relationship Id="rId5" Type="http://schemas.openxmlformats.org/officeDocument/2006/relationships/control" Target="../activeX/activeX3.xml"/><Relationship Id="rId4" Type="http://schemas.openxmlformats.org/officeDocument/2006/relationships/vmlDrawing" Target="../drawings/vmlDrawing6.vml"/><Relationship Id="rId9"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image" Target="../media/image11.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6.xml"/><Relationship Id="rId5" Type="http://schemas.openxmlformats.org/officeDocument/2006/relationships/image" Target="../media/image13.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8" Type="http://schemas.openxmlformats.org/officeDocument/2006/relationships/image" Target="../media/image26.emf"/><Relationship Id="rId3" Type="http://schemas.openxmlformats.org/officeDocument/2006/relationships/printerSettings" Target="../printerSettings/printerSettings7.bin"/><Relationship Id="rId7" Type="http://schemas.openxmlformats.org/officeDocument/2006/relationships/control" Target="../activeX/activeX7.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vmlDrawing" Target="../drawings/vmlDrawing9.vml"/><Relationship Id="rId5" Type="http://schemas.openxmlformats.org/officeDocument/2006/relationships/vmlDrawing" Target="../drawings/vmlDrawing8.vml"/><Relationship Id="rId10" Type="http://schemas.openxmlformats.org/officeDocument/2006/relationships/image" Target="../media/image27.emf"/><Relationship Id="rId4" Type="http://schemas.openxmlformats.org/officeDocument/2006/relationships/drawing" Target="../drawings/drawing7.xml"/><Relationship Id="rId9" Type="http://schemas.openxmlformats.org/officeDocument/2006/relationships/control" Target="../activeX/activeX8.xml"/></Relationships>
</file>

<file path=xl/worksheets/_rels/sheet9.xml.rels><?xml version="1.0" encoding="UTF-8" standalone="yes"?>
<Relationships xmlns="http://schemas.openxmlformats.org/package/2006/relationships"><Relationship Id="rId13" Type="http://schemas.openxmlformats.org/officeDocument/2006/relationships/image" Target="../media/image34.emf"/><Relationship Id="rId18" Type="http://schemas.openxmlformats.org/officeDocument/2006/relationships/control" Target="../activeX/activeX15.xml"/><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image" Target="../media/image38.emf"/><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image" Target="../media/image13.emf"/><Relationship Id="rId2" Type="http://schemas.openxmlformats.org/officeDocument/2006/relationships/printerSettings" Target="../printerSettings/printerSettings8.bin"/><Relationship Id="rId16" Type="http://schemas.openxmlformats.org/officeDocument/2006/relationships/control" Target="../activeX/activeX14.xml"/><Relationship Id="rId29" Type="http://schemas.openxmlformats.org/officeDocument/2006/relationships/ctrlProp" Target="../ctrlProps/ctrlProp5.xml"/><Relationship Id="rId11" Type="http://schemas.openxmlformats.org/officeDocument/2006/relationships/image" Target="../media/image33.emf"/><Relationship Id="rId24" Type="http://schemas.openxmlformats.org/officeDocument/2006/relationships/image" Target="../media/image3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omments" Target="../comments4.xml"/><Relationship Id="rId5" Type="http://schemas.openxmlformats.org/officeDocument/2006/relationships/image" Target="../media/image31.jpeg"/><Relationship Id="rId19" Type="http://schemas.openxmlformats.org/officeDocument/2006/relationships/image" Target="../media/image37.emf"/><Relationship Id="rId4" Type="http://schemas.openxmlformats.org/officeDocument/2006/relationships/vmlDrawing" Target="../drawings/vmlDrawing10.vml"/><Relationship Id="rId9" Type="http://schemas.openxmlformats.org/officeDocument/2006/relationships/image" Target="../media/image32.emf"/><Relationship Id="rId14" Type="http://schemas.openxmlformats.org/officeDocument/2006/relationships/control" Target="../activeX/activeX13.xml"/><Relationship Id="rId22" Type="http://schemas.openxmlformats.org/officeDocument/2006/relationships/control" Target="../activeX/activeX17.xml"/><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control" Target="../activeX/activeX10.xml"/><Relationship Id="rId51" Type="http://schemas.openxmlformats.org/officeDocument/2006/relationships/ctrlProp" Target="../ctrlProps/ctrlProp27.xml"/><Relationship Id="rId3" Type="http://schemas.openxmlformats.org/officeDocument/2006/relationships/drawing" Target="../drawings/drawing8.xml"/><Relationship Id="rId12" Type="http://schemas.openxmlformats.org/officeDocument/2006/relationships/control" Target="../activeX/activeX12.xml"/><Relationship Id="rId17" Type="http://schemas.openxmlformats.org/officeDocument/2006/relationships/image" Target="../media/image36.emf"/><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20" Type="http://schemas.openxmlformats.org/officeDocument/2006/relationships/control" Target="../activeX/activeX16.xml"/><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ivotTable" Target="../pivotTables/pivotTable10.xml"/><Relationship Id="rId6" Type="http://schemas.openxmlformats.org/officeDocument/2006/relationships/control" Target="../activeX/activeX9.xml"/><Relationship Id="rId15" Type="http://schemas.openxmlformats.org/officeDocument/2006/relationships/image" Target="../media/image35.emf"/><Relationship Id="rId23" Type="http://schemas.openxmlformats.org/officeDocument/2006/relationships/control" Target="../activeX/activeX18.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control" Target="../activeX/activeX11.xml"/><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image" Target="../media/image11.emf"/><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20.xml"/><Relationship Id="rId5" Type="http://schemas.openxmlformats.org/officeDocument/2006/relationships/image" Target="../media/image42.emf"/><Relationship Id="rId4" Type="http://schemas.openxmlformats.org/officeDocument/2006/relationships/control" Target="../activeX/activeX1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image" Target="../media/image11.emf"/><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ntrol" Target="../activeX/activeX22.xml"/><Relationship Id="rId5" Type="http://schemas.openxmlformats.org/officeDocument/2006/relationships/image" Target="../media/image42.emf"/><Relationship Id="rId4" Type="http://schemas.openxmlformats.org/officeDocument/2006/relationships/control" Target="../activeX/activeX2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table" Target="../tables/table44.xml"/><Relationship Id="rId5" Type="http://schemas.openxmlformats.org/officeDocument/2006/relationships/image" Target="../media/image13.emf"/><Relationship Id="rId4" Type="http://schemas.openxmlformats.org/officeDocument/2006/relationships/control" Target="../activeX/activeX23.xml"/></Relationships>
</file>

<file path=xl/worksheets/_rels/sheet16.xml.rels><?xml version="1.0" encoding="UTF-8" standalone="yes"?>
<Relationships xmlns="http://schemas.openxmlformats.org/package/2006/relationships"><Relationship Id="rId8" Type="http://schemas.openxmlformats.org/officeDocument/2006/relationships/table" Target="../tables/table52.xml"/><Relationship Id="rId13" Type="http://schemas.openxmlformats.org/officeDocument/2006/relationships/table" Target="../tables/table57.xml"/><Relationship Id="rId3" Type="http://schemas.openxmlformats.org/officeDocument/2006/relationships/table" Target="../tables/table47.xml"/><Relationship Id="rId7" Type="http://schemas.openxmlformats.org/officeDocument/2006/relationships/table" Target="../tables/table51.xml"/><Relationship Id="rId12" Type="http://schemas.openxmlformats.org/officeDocument/2006/relationships/table" Target="../tables/table56.xml"/><Relationship Id="rId2" Type="http://schemas.openxmlformats.org/officeDocument/2006/relationships/table" Target="../tables/table46.xml"/><Relationship Id="rId1" Type="http://schemas.openxmlformats.org/officeDocument/2006/relationships/table" Target="../tables/table45.xml"/><Relationship Id="rId6" Type="http://schemas.openxmlformats.org/officeDocument/2006/relationships/table" Target="../tables/table50.xml"/><Relationship Id="rId11" Type="http://schemas.openxmlformats.org/officeDocument/2006/relationships/table" Target="../tables/table55.xml"/><Relationship Id="rId5" Type="http://schemas.openxmlformats.org/officeDocument/2006/relationships/table" Target="../tables/table49.xml"/><Relationship Id="rId10" Type="http://schemas.openxmlformats.org/officeDocument/2006/relationships/table" Target="../tables/table54.xml"/><Relationship Id="rId4" Type="http://schemas.openxmlformats.org/officeDocument/2006/relationships/table" Target="../tables/table48.xml"/><Relationship Id="rId9" Type="http://schemas.openxmlformats.org/officeDocument/2006/relationships/table" Target="../tables/table53.xml"/></Relationships>
</file>

<file path=xl/worksheets/_rels/sheet17.xml.rels><?xml version="1.0" encoding="UTF-8" standalone="yes"?>
<Relationships xmlns="http://schemas.openxmlformats.org/package/2006/relationships"><Relationship Id="rId13" Type="http://schemas.openxmlformats.org/officeDocument/2006/relationships/image" Target="../media/image51.emf"/><Relationship Id="rId18" Type="http://schemas.openxmlformats.org/officeDocument/2006/relationships/control" Target="../activeX/activeX30.xml"/><Relationship Id="rId26" Type="http://schemas.openxmlformats.org/officeDocument/2006/relationships/control" Target="../activeX/activeX36.xml"/><Relationship Id="rId39" Type="http://schemas.openxmlformats.org/officeDocument/2006/relationships/ctrlProp" Target="../ctrlProps/ctrlProp36.xml"/><Relationship Id="rId21" Type="http://schemas.openxmlformats.org/officeDocument/2006/relationships/control" Target="../activeX/activeX33.xml"/><Relationship Id="rId34" Type="http://schemas.openxmlformats.org/officeDocument/2006/relationships/control" Target="../activeX/activeX42.xml"/><Relationship Id="rId42" Type="http://schemas.openxmlformats.org/officeDocument/2006/relationships/ctrlProp" Target="../ctrlProps/ctrlProp39.xml"/><Relationship Id="rId7" Type="http://schemas.openxmlformats.org/officeDocument/2006/relationships/image" Target="../media/image48.emf"/><Relationship Id="rId2" Type="http://schemas.openxmlformats.org/officeDocument/2006/relationships/printerSettings" Target="../printerSettings/printerSettings15.bin"/><Relationship Id="rId16" Type="http://schemas.openxmlformats.org/officeDocument/2006/relationships/control" Target="../activeX/activeX29.xml"/><Relationship Id="rId20" Type="http://schemas.openxmlformats.org/officeDocument/2006/relationships/control" Target="../activeX/activeX32.xml"/><Relationship Id="rId29" Type="http://schemas.openxmlformats.org/officeDocument/2006/relationships/control" Target="../activeX/activeX39.xml"/><Relationship Id="rId41" Type="http://schemas.openxmlformats.org/officeDocument/2006/relationships/ctrlProp" Target="../ctrlProps/ctrlProp38.xml"/><Relationship Id="rId1" Type="http://schemas.openxmlformats.org/officeDocument/2006/relationships/pivotTable" Target="../pivotTables/pivotTable11.xml"/><Relationship Id="rId6" Type="http://schemas.openxmlformats.org/officeDocument/2006/relationships/control" Target="../activeX/activeX24.xml"/><Relationship Id="rId11" Type="http://schemas.openxmlformats.org/officeDocument/2006/relationships/image" Target="../media/image50.emf"/><Relationship Id="rId24" Type="http://schemas.openxmlformats.org/officeDocument/2006/relationships/image" Target="../media/image55.emf"/><Relationship Id="rId32" Type="http://schemas.openxmlformats.org/officeDocument/2006/relationships/image" Target="../media/image57.emf"/><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image" Target="../media/image47.jpeg"/><Relationship Id="rId15" Type="http://schemas.openxmlformats.org/officeDocument/2006/relationships/image" Target="../media/image52.emf"/><Relationship Id="rId23" Type="http://schemas.openxmlformats.org/officeDocument/2006/relationships/control" Target="../activeX/activeX34.xml"/><Relationship Id="rId28" Type="http://schemas.openxmlformats.org/officeDocument/2006/relationships/control" Target="../activeX/activeX38.xml"/><Relationship Id="rId36" Type="http://schemas.openxmlformats.org/officeDocument/2006/relationships/image" Target="../media/image58.emf"/><Relationship Id="rId10" Type="http://schemas.openxmlformats.org/officeDocument/2006/relationships/control" Target="../activeX/activeX26.xml"/><Relationship Id="rId19" Type="http://schemas.openxmlformats.org/officeDocument/2006/relationships/control" Target="../activeX/activeX31.xml"/><Relationship Id="rId31" Type="http://schemas.openxmlformats.org/officeDocument/2006/relationships/control" Target="../activeX/activeX40.xml"/><Relationship Id="rId44" Type="http://schemas.openxmlformats.org/officeDocument/2006/relationships/ctrlProp" Target="../ctrlProps/ctrlProp41.xml"/><Relationship Id="rId4" Type="http://schemas.openxmlformats.org/officeDocument/2006/relationships/vmlDrawing" Target="../drawings/vmlDrawing15.vml"/><Relationship Id="rId9" Type="http://schemas.openxmlformats.org/officeDocument/2006/relationships/image" Target="../media/image49.emf"/><Relationship Id="rId14" Type="http://schemas.openxmlformats.org/officeDocument/2006/relationships/control" Target="../activeX/activeX28.xml"/><Relationship Id="rId22" Type="http://schemas.openxmlformats.org/officeDocument/2006/relationships/image" Target="../media/image54.emf"/><Relationship Id="rId27" Type="http://schemas.openxmlformats.org/officeDocument/2006/relationships/control" Target="../activeX/activeX37.xml"/><Relationship Id="rId30" Type="http://schemas.openxmlformats.org/officeDocument/2006/relationships/image" Target="../media/image56.emf"/><Relationship Id="rId35" Type="http://schemas.openxmlformats.org/officeDocument/2006/relationships/control" Target="../activeX/activeX43.xml"/><Relationship Id="rId43" Type="http://schemas.openxmlformats.org/officeDocument/2006/relationships/ctrlProp" Target="../ctrlProps/ctrlProp40.xml"/><Relationship Id="rId8" Type="http://schemas.openxmlformats.org/officeDocument/2006/relationships/control" Target="../activeX/activeX25.xml"/><Relationship Id="rId3" Type="http://schemas.openxmlformats.org/officeDocument/2006/relationships/drawing" Target="../drawings/drawing14.xml"/><Relationship Id="rId12" Type="http://schemas.openxmlformats.org/officeDocument/2006/relationships/control" Target="../activeX/activeX27.xml"/><Relationship Id="rId17" Type="http://schemas.openxmlformats.org/officeDocument/2006/relationships/image" Target="../media/image53.emf"/><Relationship Id="rId25" Type="http://schemas.openxmlformats.org/officeDocument/2006/relationships/control" Target="../activeX/activeX35.xml"/><Relationship Id="rId33" Type="http://schemas.openxmlformats.org/officeDocument/2006/relationships/control" Target="../activeX/activeX41.xml"/><Relationship Id="rId38" Type="http://schemas.openxmlformats.org/officeDocument/2006/relationships/ctrlProp" Target="../ctrlProps/ctrlProp35.xml"/></Relationships>
</file>

<file path=xl/worksheets/_rels/sheet18.x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vmlDrawing" Target="../drawings/vmlDrawing16.vml"/><Relationship Id="rId7" Type="http://schemas.openxmlformats.org/officeDocument/2006/relationships/control" Target="../activeX/activeX45.x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image" Target="../media/image59.emf"/><Relationship Id="rId5" Type="http://schemas.openxmlformats.org/officeDocument/2006/relationships/control" Target="../activeX/activeX44.xml"/><Relationship Id="rId4" Type="http://schemas.openxmlformats.org/officeDocument/2006/relationships/vmlDrawing" Target="../drawings/vmlDrawing17.vml"/><Relationship Id="rId9"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18.vml"/><Relationship Id="rId1" Type="http://schemas.openxmlformats.org/officeDocument/2006/relationships/drawing" Target="../drawings/drawing16.xml"/><Relationship Id="rId5" Type="http://schemas.openxmlformats.org/officeDocument/2006/relationships/table" Target="../tables/table58.xml"/><Relationship Id="rId4" Type="http://schemas.openxmlformats.org/officeDocument/2006/relationships/image" Target="../media/image59.emf"/></Relationships>
</file>

<file path=xl/worksheets/_rels/sheet20.x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drawing" Target="../drawings/drawing17.xml"/><Relationship Id="rId7" Type="http://schemas.openxmlformats.org/officeDocument/2006/relationships/control" Target="../activeX/activeX48.xml"/><Relationship Id="rId2" Type="http://schemas.openxmlformats.org/officeDocument/2006/relationships/printerSettings" Target="../printerSettings/printerSettings17.bin"/><Relationship Id="rId1" Type="http://schemas.openxmlformats.org/officeDocument/2006/relationships/pivotTable" Target="../pivotTables/pivotTable12.xml"/><Relationship Id="rId6" Type="http://schemas.openxmlformats.org/officeDocument/2006/relationships/image" Target="../media/image60.emf"/><Relationship Id="rId5" Type="http://schemas.openxmlformats.org/officeDocument/2006/relationships/control" Target="../activeX/activeX47.xml"/><Relationship Id="rId4" Type="http://schemas.openxmlformats.org/officeDocument/2006/relationships/vmlDrawing" Target="../drawings/vmlDrawing19.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image" Target="../media/image6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50.xml"/><Relationship Id="rId5" Type="http://schemas.openxmlformats.org/officeDocument/2006/relationships/image" Target="../media/image65.emf"/><Relationship Id="rId4" Type="http://schemas.openxmlformats.org/officeDocument/2006/relationships/control" Target="../activeX/activeX49.xml"/></Relationships>
</file>

<file path=xl/worksheets/_rels/sheet22.xml.rels><?xml version="1.0" encoding="UTF-8" standalone="yes"?>
<Relationships xmlns="http://schemas.openxmlformats.org/package/2006/relationships"><Relationship Id="rId2" Type="http://schemas.openxmlformats.org/officeDocument/2006/relationships/image" Target="../media/image70.jpeg"/><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19.bin"/><Relationship Id="rId4" Type="http://schemas.openxmlformats.org/officeDocument/2006/relationships/comments" Target="../comments7.xml"/></Relationships>
</file>

<file path=xl/worksheets/_rels/sheet24.xml.rels><?xml version="1.0" encoding="UTF-8" standalone="yes"?>
<Relationships xmlns="http://schemas.openxmlformats.org/package/2006/relationships"><Relationship Id="rId3" Type="http://schemas.openxmlformats.org/officeDocument/2006/relationships/table" Target="../tables/table59.xml"/><Relationship Id="rId2" Type="http://schemas.openxmlformats.org/officeDocument/2006/relationships/drawing" Target="../drawings/drawing21.xml"/><Relationship Id="rId1" Type="http://schemas.openxmlformats.org/officeDocument/2006/relationships/printerSettings" Target="../printerSettings/printerSettings20.bin"/><Relationship Id="rId6" Type="http://schemas.openxmlformats.org/officeDocument/2006/relationships/table" Target="../tables/table62.xml"/><Relationship Id="rId5" Type="http://schemas.openxmlformats.org/officeDocument/2006/relationships/table" Target="../tables/table61.xml"/><Relationship Id="rId4" Type="http://schemas.openxmlformats.org/officeDocument/2006/relationships/table" Target="../tables/table60.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53.xml"/><Relationship Id="rId3" Type="http://schemas.openxmlformats.org/officeDocument/2006/relationships/vmlDrawing" Target="../drawings/vmlDrawing22.vml"/><Relationship Id="rId7" Type="http://schemas.openxmlformats.org/officeDocument/2006/relationships/image" Target="../media/image78.emf"/><Relationship Id="rId12" Type="http://schemas.openxmlformats.org/officeDocument/2006/relationships/comments" Target="../comments8.xml"/><Relationship Id="rId2" Type="http://schemas.openxmlformats.org/officeDocument/2006/relationships/drawing" Target="../drawings/drawing23.xml"/><Relationship Id="rId1" Type="http://schemas.openxmlformats.org/officeDocument/2006/relationships/printerSettings" Target="../printerSettings/printerSettings22.bin"/><Relationship Id="rId6" Type="http://schemas.openxmlformats.org/officeDocument/2006/relationships/control" Target="../activeX/activeX52.xml"/><Relationship Id="rId11" Type="http://schemas.microsoft.com/office/2007/relationships/slicer" Target="../slicers/slicer3.xml"/><Relationship Id="rId5" Type="http://schemas.openxmlformats.org/officeDocument/2006/relationships/image" Target="../media/image77.emf"/><Relationship Id="rId10" Type="http://schemas.openxmlformats.org/officeDocument/2006/relationships/table" Target="../tables/table63.xml"/><Relationship Id="rId4" Type="http://schemas.openxmlformats.org/officeDocument/2006/relationships/control" Target="../activeX/activeX51.xml"/><Relationship Id="rId9" Type="http://schemas.openxmlformats.org/officeDocument/2006/relationships/image" Target="../media/image79.emf"/></Relationships>
</file>

<file path=xl/worksheets/_rels/sheet27.xml.rels><?xml version="1.0" encoding="UTF-8" standalone="yes"?>
<Relationships xmlns="http://schemas.openxmlformats.org/package/2006/relationships"><Relationship Id="rId8" Type="http://schemas.openxmlformats.org/officeDocument/2006/relationships/image" Target="../media/image83.emf"/><Relationship Id="rId3" Type="http://schemas.openxmlformats.org/officeDocument/2006/relationships/control" Target="../activeX/activeX54.xml"/><Relationship Id="rId7" Type="http://schemas.openxmlformats.org/officeDocument/2006/relationships/control" Target="../activeX/activeX56.xml"/><Relationship Id="rId2" Type="http://schemas.openxmlformats.org/officeDocument/2006/relationships/vmlDrawing" Target="../drawings/vmlDrawing23.vml"/><Relationship Id="rId1" Type="http://schemas.openxmlformats.org/officeDocument/2006/relationships/drawing" Target="../drawings/drawing24.xml"/><Relationship Id="rId6" Type="http://schemas.openxmlformats.org/officeDocument/2006/relationships/image" Target="../media/image82.emf"/><Relationship Id="rId5" Type="http://schemas.openxmlformats.org/officeDocument/2006/relationships/control" Target="../activeX/activeX55.xml"/><Relationship Id="rId10" Type="http://schemas.openxmlformats.org/officeDocument/2006/relationships/comments" Target="../comments9.xml"/><Relationship Id="rId4" Type="http://schemas.openxmlformats.org/officeDocument/2006/relationships/image" Target="../media/image81.emf"/><Relationship Id="rId9" Type="http://schemas.openxmlformats.org/officeDocument/2006/relationships/table" Target="../tables/table64.xml"/></Relationships>
</file>

<file path=xl/worksheets/_rels/sheet28.xml.rels><?xml version="1.0" encoding="UTF-8" standalone="yes"?>
<Relationships xmlns="http://schemas.openxmlformats.org/package/2006/relationships"><Relationship Id="rId8" Type="http://schemas.openxmlformats.org/officeDocument/2006/relationships/hyperlink" Target="mailto:facturas_rrc@hotmail.com" TargetMode="External"/><Relationship Id="rId13" Type="http://schemas.openxmlformats.org/officeDocument/2006/relationships/image" Target="../media/image84.emf"/><Relationship Id="rId3" Type="http://schemas.openxmlformats.org/officeDocument/2006/relationships/hyperlink" Target="mailto:artemiomartinez25c@gmail.com" TargetMode="External"/><Relationship Id="rId7" Type="http://schemas.openxmlformats.org/officeDocument/2006/relationships/hyperlink" Target="mailto:noecortez1990@outlook.com" TargetMode="External"/><Relationship Id="rId12" Type="http://schemas.openxmlformats.org/officeDocument/2006/relationships/control" Target="../activeX/activeX57.xml"/><Relationship Id="rId17" Type="http://schemas.openxmlformats.org/officeDocument/2006/relationships/comments" Target="../comments10.xml"/><Relationship Id="rId2" Type="http://schemas.openxmlformats.org/officeDocument/2006/relationships/hyperlink" Target="mailto:transportes.vosa@outlook.com" TargetMode="External"/><Relationship Id="rId16" Type="http://schemas.openxmlformats.org/officeDocument/2006/relationships/table" Target="../tables/table65.xml"/><Relationship Id="rId1" Type="http://schemas.openxmlformats.org/officeDocument/2006/relationships/hyperlink" Target="mailto:transportesdominguez2@outlook.com" TargetMode="External"/><Relationship Id="rId6" Type="http://schemas.openxmlformats.org/officeDocument/2006/relationships/hyperlink" Target="mailto:sotodominguez450@gmail.com" TargetMode="External"/><Relationship Id="rId11" Type="http://schemas.openxmlformats.org/officeDocument/2006/relationships/vmlDrawing" Target="../drawings/vmlDrawing24.vml"/><Relationship Id="rId5" Type="http://schemas.openxmlformats.org/officeDocument/2006/relationships/hyperlink" Target="mailto:jesgar81@hotmail.com" TargetMode="External"/><Relationship Id="rId15" Type="http://schemas.openxmlformats.org/officeDocument/2006/relationships/image" Target="../media/image85.emf"/><Relationship Id="rId10" Type="http://schemas.openxmlformats.org/officeDocument/2006/relationships/drawing" Target="../drawings/drawing25.xml"/><Relationship Id="rId4" Type="http://schemas.openxmlformats.org/officeDocument/2006/relationships/hyperlink" Target="mailto:beris3g@hotmail.com" TargetMode="External"/><Relationship Id="rId9" Type="http://schemas.openxmlformats.org/officeDocument/2006/relationships/printerSettings" Target="../printerSettings/printerSettings23.bin"/><Relationship Id="rId14" Type="http://schemas.openxmlformats.org/officeDocument/2006/relationships/control" Target="../activeX/activeX58.xml"/></Relationships>
</file>

<file path=xl/worksheets/_rels/sheet29.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26.xml"/><Relationship Id="rId1" Type="http://schemas.openxmlformats.org/officeDocument/2006/relationships/pivotTable" Target="../pivotTables/pivotTable13.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66.xml"/><Relationship Id="rId2" Type="http://schemas.openxmlformats.org/officeDocument/2006/relationships/drawing" Target="../drawings/drawing27.xml"/><Relationship Id="rId1" Type="http://schemas.openxmlformats.org/officeDocument/2006/relationships/printerSettings" Target="../printerSettings/printerSettings24.bin"/><Relationship Id="rId4" Type="http://schemas.openxmlformats.org/officeDocument/2006/relationships/table" Target="../tables/table6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4E1B1-418A-47C4-B6CC-3DB631034E25}">
  <sheetPr codeName="Hoja11">
    <tabColor theme="4"/>
    <pageSetUpPr fitToPage="1"/>
  </sheetPr>
  <dimension ref="B2:L73"/>
  <sheetViews>
    <sheetView showGridLines="0" zoomScale="80" zoomScaleNormal="80" zoomScalePageLayoutView="60" workbookViewId="0">
      <selection activeCell="C2" sqref="C2"/>
    </sheetView>
  </sheetViews>
  <sheetFormatPr baseColWidth="10" defaultRowHeight="14.4"/>
  <cols>
    <col min="1" max="1" width="1.6640625" customWidth="1"/>
    <col min="2" max="2" width="30.33203125" bestFit="1" customWidth="1"/>
    <col min="3" max="3" width="22.33203125" customWidth="1"/>
    <col min="4" max="4" width="7" customWidth="1"/>
    <col min="5" max="5" width="6.109375" customWidth="1"/>
    <col min="6" max="6" width="7.44140625" customWidth="1"/>
    <col min="7" max="7" width="7.6640625" customWidth="1"/>
    <col min="8" max="8" width="10.88671875" customWidth="1"/>
    <col min="9" max="9" width="9.44140625" customWidth="1"/>
    <col min="10" max="10" width="16.109375" bestFit="1" customWidth="1"/>
    <col min="11" max="11" width="4.109375" customWidth="1"/>
    <col min="12" max="12" width="8.109375" customWidth="1"/>
    <col min="13" max="13" width="10.6640625" customWidth="1"/>
    <col min="16" max="16" width="31.6640625" bestFit="1" customWidth="1"/>
    <col min="17" max="17" width="26.33203125" bestFit="1" customWidth="1"/>
  </cols>
  <sheetData>
    <row r="2" spans="2:12" ht="15.6">
      <c r="B2" s="10" t="s">
        <v>92</v>
      </c>
      <c r="C2" s="11">
        <v>2</v>
      </c>
    </row>
    <row r="3" spans="2:12">
      <c r="B3" s="4" t="s">
        <v>73</v>
      </c>
      <c r="C3" t="s" vm="2">
        <v>75</v>
      </c>
    </row>
    <row r="4" spans="2:12">
      <c r="B4" s="4" t="s">
        <v>74</v>
      </c>
      <c r="C4" t="s" vm="1">
        <v>99</v>
      </c>
    </row>
    <row r="5" spans="2:12">
      <c r="B5" s="4" t="s">
        <v>96</v>
      </c>
      <c r="C5" t="s" vm="3">
        <v>100</v>
      </c>
    </row>
    <row r="7" spans="2:12">
      <c r="B7" s="4" t="s">
        <v>79</v>
      </c>
    </row>
    <row r="8" spans="2:12">
      <c r="B8" s="4" t="s">
        <v>77</v>
      </c>
      <c r="C8" t="s">
        <v>6</v>
      </c>
    </row>
    <row r="9" spans="2:12">
      <c r="B9" t="s">
        <v>19</v>
      </c>
      <c r="C9" s="5">
        <v>4224</v>
      </c>
    </row>
    <row r="10" spans="2:12">
      <c r="B10" t="s">
        <v>45</v>
      </c>
      <c r="C10" s="5">
        <v>14800</v>
      </c>
    </row>
    <row r="11" spans="2:12" ht="15" customHeight="1">
      <c r="B11" t="s">
        <v>21</v>
      </c>
      <c r="C11" s="5">
        <v>5200</v>
      </c>
      <c r="E11" s="538" t="s">
        <v>3</v>
      </c>
      <c r="F11" s="538"/>
      <c r="G11" s="532" t="str">
        <f>CONCATENATE("PRESUPUESTO"," ","PARA"," ",C2," ",C5,"S")</f>
        <v>PRESUPUESTO PARA 2 PLATAFORMA 2 40 FTS</v>
      </c>
      <c r="H11" s="532"/>
      <c r="I11" s="532"/>
      <c r="J11" s="532"/>
      <c r="K11" s="532"/>
      <c r="L11" s="532"/>
    </row>
    <row r="12" spans="2:12" ht="15" customHeight="1">
      <c r="B12" t="s">
        <v>8</v>
      </c>
      <c r="C12" s="5">
        <v>4004</v>
      </c>
      <c r="E12" s="538"/>
      <c r="F12" s="538"/>
      <c r="G12" s="532"/>
      <c r="H12" s="532"/>
      <c r="I12" s="532"/>
      <c r="J12" s="532"/>
      <c r="K12" s="532"/>
      <c r="L12" s="532"/>
    </row>
    <row r="13" spans="2:12" ht="15" customHeight="1">
      <c r="B13" t="s">
        <v>9</v>
      </c>
      <c r="C13" s="5">
        <v>4004</v>
      </c>
      <c r="E13" s="538"/>
      <c r="F13" s="538"/>
      <c r="G13" s="533" t="str">
        <f>CONCATENATE("DE"," ",C4," ","EJES"," ",C3," ","DE LARGO")</f>
        <v>DE 2 EJES 40 FT DE LARGO</v>
      </c>
      <c r="H13" s="533"/>
      <c r="I13" s="533"/>
      <c r="J13" s="533"/>
      <c r="K13" s="533"/>
      <c r="L13" s="533"/>
    </row>
    <row r="14" spans="2:12" ht="15" customHeight="1">
      <c r="B14" t="s">
        <v>18</v>
      </c>
      <c r="C14" s="5">
        <v>9152</v>
      </c>
      <c r="E14" s="9"/>
      <c r="F14" s="14"/>
      <c r="G14" s="533"/>
      <c r="H14" s="533"/>
      <c r="I14" s="533"/>
      <c r="J14" s="533"/>
      <c r="K14" s="533"/>
      <c r="L14" s="533"/>
    </row>
    <row r="15" spans="2:12">
      <c r="B15" t="s">
        <v>27</v>
      </c>
      <c r="C15" s="5">
        <v>11080</v>
      </c>
      <c r="E15" s="536" t="s">
        <v>93</v>
      </c>
      <c r="F15" s="536"/>
      <c r="G15" s="537" t="s">
        <v>83</v>
      </c>
      <c r="H15" s="537"/>
      <c r="I15" s="9"/>
      <c r="J15" s="9"/>
      <c r="K15" s="9"/>
      <c r="L15" s="9"/>
    </row>
    <row r="16" spans="2:12">
      <c r="B16" t="s">
        <v>34</v>
      </c>
      <c r="C16" s="5">
        <v>2247.6</v>
      </c>
      <c r="E16" s="536"/>
      <c r="F16" s="536"/>
      <c r="G16" s="537"/>
      <c r="H16" s="537"/>
      <c r="I16" s="9"/>
      <c r="J16" s="9"/>
      <c r="K16" s="9"/>
      <c r="L16" s="9"/>
    </row>
    <row r="17" spans="2:3">
      <c r="B17" t="s">
        <v>33</v>
      </c>
      <c r="C17" s="5">
        <v>5060.8</v>
      </c>
    </row>
    <row r="18" spans="2:3">
      <c r="B18" t="s">
        <v>32</v>
      </c>
      <c r="C18" s="5">
        <v>25304</v>
      </c>
    </row>
    <row r="19" spans="2:3">
      <c r="B19" t="s">
        <v>58</v>
      </c>
      <c r="C19" s="5">
        <v>480</v>
      </c>
    </row>
    <row r="20" spans="2:3">
      <c r="B20" t="s">
        <v>39</v>
      </c>
      <c r="C20" s="5">
        <v>49700.200000000004</v>
      </c>
    </row>
    <row r="21" spans="2:3">
      <c r="B21" t="s">
        <v>11</v>
      </c>
      <c r="C21" s="5">
        <v>816</v>
      </c>
    </row>
    <row r="22" spans="2:3">
      <c r="B22" t="s">
        <v>46</v>
      </c>
      <c r="C22" s="5">
        <v>2300</v>
      </c>
    </row>
    <row r="23" spans="2:3">
      <c r="B23" t="s">
        <v>51</v>
      </c>
      <c r="C23" s="5">
        <v>3280</v>
      </c>
    </row>
    <row r="24" spans="2:3">
      <c r="B24" t="s">
        <v>72</v>
      </c>
      <c r="C24" s="5">
        <v>12672</v>
      </c>
    </row>
    <row r="25" spans="2:3">
      <c r="B25" t="s">
        <v>53</v>
      </c>
      <c r="C25" s="5">
        <v>1100</v>
      </c>
    </row>
    <row r="26" spans="2:3">
      <c r="B26" t="s">
        <v>55</v>
      </c>
      <c r="C26" s="5">
        <v>1200</v>
      </c>
    </row>
    <row r="27" spans="2:3">
      <c r="B27" t="s">
        <v>57</v>
      </c>
      <c r="C27" s="5">
        <v>636</v>
      </c>
    </row>
    <row r="28" spans="2:3">
      <c r="B28" t="s">
        <v>56</v>
      </c>
      <c r="C28" s="5">
        <v>580</v>
      </c>
    </row>
    <row r="29" spans="2:3">
      <c r="B29" t="s">
        <v>41</v>
      </c>
      <c r="C29" s="5">
        <v>92800</v>
      </c>
    </row>
    <row r="30" spans="2:3">
      <c r="B30" t="s">
        <v>69</v>
      </c>
      <c r="C30" s="5">
        <v>16000</v>
      </c>
    </row>
    <row r="31" spans="2:3">
      <c r="B31" t="s">
        <v>35</v>
      </c>
      <c r="C31" s="5">
        <v>2184</v>
      </c>
    </row>
    <row r="32" spans="2:3">
      <c r="B32" t="s">
        <v>59</v>
      </c>
      <c r="C32" s="5">
        <v>400</v>
      </c>
    </row>
    <row r="33" spans="2:8">
      <c r="B33" t="s">
        <v>70</v>
      </c>
      <c r="C33" s="5">
        <v>7488</v>
      </c>
    </row>
    <row r="34" spans="2:8">
      <c r="B34" t="s">
        <v>22</v>
      </c>
      <c r="C34" s="5">
        <v>1652</v>
      </c>
    </row>
    <row r="35" spans="2:8">
      <c r="B35" t="s">
        <v>14</v>
      </c>
      <c r="C35" s="5">
        <v>2688</v>
      </c>
    </row>
    <row r="36" spans="2:8">
      <c r="B36" t="s">
        <v>42</v>
      </c>
      <c r="C36" s="5">
        <v>54000</v>
      </c>
    </row>
    <row r="37" spans="2:8">
      <c r="B37" t="s">
        <v>60</v>
      </c>
      <c r="C37" s="5">
        <v>11700</v>
      </c>
    </row>
    <row r="38" spans="2:8">
      <c r="B38" t="s">
        <v>37</v>
      </c>
      <c r="C38" s="5">
        <v>400</v>
      </c>
    </row>
    <row r="39" spans="2:8">
      <c r="B39" t="s">
        <v>13</v>
      </c>
      <c r="C39" s="5">
        <v>832</v>
      </c>
    </row>
    <row r="40" spans="2:8">
      <c r="B40" t="s">
        <v>61</v>
      </c>
      <c r="C40" s="5">
        <v>3000</v>
      </c>
      <c r="H40" t="s">
        <v>103</v>
      </c>
    </row>
    <row r="41" spans="2:8">
      <c r="B41" t="s">
        <v>66</v>
      </c>
      <c r="C41" s="5">
        <v>20000</v>
      </c>
    </row>
    <row r="42" spans="2:8">
      <c r="B42" t="s">
        <v>68</v>
      </c>
      <c r="C42" s="5">
        <v>5000</v>
      </c>
    </row>
    <row r="43" spans="2:8">
      <c r="B43" t="s">
        <v>49</v>
      </c>
      <c r="C43" s="5">
        <v>8304</v>
      </c>
    </row>
    <row r="44" spans="2:8">
      <c r="B44" t="s">
        <v>52</v>
      </c>
      <c r="C44" s="5">
        <v>10360</v>
      </c>
    </row>
    <row r="45" spans="2:8">
      <c r="B45" t="s">
        <v>26</v>
      </c>
      <c r="C45" s="5">
        <v>280</v>
      </c>
    </row>
    <row r="46" spans="2:8">
      <c r="B46" t="s">
        <v>25</v>
      </c>
      <c r="C46" s="5">
        <v>312</v>
      </c>
    </row>
    <row r="47" spans="2:8">
      <c r="B47" t="s">
        <v>44</v>
      </c>
      <c r="C47" s="5">
        <v>14000</v>
      </c>
    </row>
    <row r="48" spans="2:8">
      <c r="B48" t="s">
        <v>43</v>
      </c>
      <c r="C48" s="5">
        <v>3480</v>
      </c>
    </row>
    <row r="49" spans="2:11">
      <c r="B49" t="s">
        <v>62</v>
      </c>
      <c r="C49" s="5">
        <v>3000</v>
      </c>
    </row>
    <row r="50" spans="2:11">
      <c r="B50" t="s">
        <v>65</v>
      </c>
      <c r="C50" s="5">
        <v>20000</v>
      </c>
    </row>
    <row r="51" spans="2:11">
      <c r="B51" t="s">
        <v>64</v>
      </c>
      <c r="C51" s="5">
        <v>30000</v>
      </c>
    </row>
    <row r="52" spans="2:11">
      <c r="B52" t="s">
        <v>63</v>
      </c>
      <c r="C52" s="5">
        <v>66000</v>
      </c>
    </row>
    <row r="53" spans="2:11">
      <c r="B53" t="s">
        <v>29</v>
      </c>
      <c r="C53" s="5">
        <v>39000</v>
      </c>
    </row>
    <row r="54" spans="2:11">
      <c r="B54" t="s">
        <v>24</v>
      </c>
      <c r="C54" s="5">
        <v>11568</v>
      </c>
    </row>
    <row r="55" spans="2:11">
      <c r="B55" t="s">
        <v>10</v>
      </c>
      <c r="C55" s="5">
        <v>288</v>
      </c>
    </row>
    <row r="56" spans="2:11">
      <c r="B56" t="s">
        <v>17</v>
      </c>
      <c r="C56" s="5">
        <v>16968</v>
      </c>
      <c r="G56" s="535" t="s">
        <v>2</v>
      </c>
      <c r="H56" s="535"/>
      <c r="I56" s="534">
        <f>GETPIVOTDATA("[Measures].[Suma de IMP POR POYECTO]",$B$7)</f>
        <v>820296.2</v>
      </c>
      <c r="J56" s="534"/>
    </row>
    <row r="57" spans="2:11">
      <c r="B57" t="s">
        <v>20</v>
      </c>
      <c r="C57" s="5">
        <v>5820</v>
      </c>
      <c r="G57" s="535"/>
      <c r="H57" s="535"/>
      <c r="I57" s="534"/>
      <c r="J57" s="534"/>
      <c r="K57" s="12"/>
    </row>
    <row r="58" spans="2:11">
      <c r="B58" t="s">
        <v>38</v>
      </c>
      <c r="C58" s="5">
        <v>760</v>
      </c>
      <c r="G58" s="535" t="s">
        <v>85</v>
      </c>
      <c r="H58" s="535"/>
      <c r="I58" s="534">
        <f>I56*16%</f>
        <v>131247.39199999999</v>
      </c>
      <c r="J58" s="534"/>
      <c r="K58" s="12"/>
    </row>
    <row r="59" spans="2:11">
      <c r="B59" t="s">
        <v>71</v>
      </c>
      <c r="C59" s="5">
        <v>12680</v>
      </c>
      <c r="G59" s="535"/>
      <c r="H59" s="535"/>
      <c r="I59" s="534"/>
      <c r="J59" s="534"/>
      <c r="K59" s="12"/>
    </row>
    <row r="60" spans="2:11">
      <c r="B60" t="s">
        <v>47</v>
      </c>
      <c r="C60" s="5">
        <v>1600</v>
      </c>
      <c r="G60" s="535" t="s">
        <v>94</v>
      </c>
      <c r="H60" s="535"/>
      <c r="I60" s="534">
        <f>I56*4%</f>
        <v>32811.847999999998</v>
      </c>
      <c r="J60" s="534"/>
      <c r="K60" s="12"/>
    </row>
    <row r="61" spans="2:11">
      <c r="B61" t="s">
        <v>16</v>
      </c>
      <c r="C61" s="5">
        <v>3870</v>
      </c>
      <c r="G61" s="535"/>
      <c r="H61" s="535"/>
      <c r="I61" s="534"/>
      <c r="J61" s="534"/>
    </row>
    <row r="62" spans="2:11">
      <c r="B62" t="s">
        <v>30</v>
      </c>
      <c r="C62" s="5">
        <v>7464</v>
      </c>
      <c r="G62" s="535" t="s">
        <v>84</v>
      </c>
      <c r="H62" s="535"/>
      <c r="I62" s="534">
        <f>I56+I58-I60</f>
        <v>918731.74399999995</v>
      </c>
      <c r="J62" s="534"/>
    </row>
    <row r="63" spans="2:11">
      <c r="B63" t="s">
        <v>31</v>
      </c>
      <c r="C63" s="5">
        <v>61200</v>
      </c>
      <c r="G63" s="535"/>
      <c r="H63" s="535"/>
      <c r="I63" s="534"/>
      <c r="J63" s="534"/>
    </row>
    <row r="64" spans="2:11">
      <c r="B64" t="s">
        <v>12</v>
      </c>
      <c r="C64" s="5">
        <v>460</v>
      </c>
    </row>
    <row r="65" spans="2:12" ht="15" customHeight="1">
      <c r="B65" t="s">
        <v>15</v>
      </c>
      <c r="C65" s="5">
        <v>540</v>
      </c>
    </row>
    <row r="66" spans="2:12" ht="15" customHeight="1">
      <c r="B66" t="s">
        <v>36</v>
      </c>
      <c r="C66" s="5">
        <v>11280</v>
      </c>
      <c r="L66" s="13"/>
    </row>
    <row r="67" spans="2:12" ht="15" customHeight="1">
      <c r="B67" t="s">
        <v>40</v>
      </c>
      <c r="C67" s="5">
        <v>88800</v>
      </c>
      <c r="L67" s="13"/>
    </row>
    <row r="68" spans="2:12" ht="15" customHeight="1">
      <c r="B68" t="s">
        <v>48</v>
      </c>
      <c r="C68" s="5">
        <v>5405.6</v>
      </c>
    </row>
    <row r="69" spans="2:12">
      <c r="B69" t="s">
        <v>54</v>
      </c>
      <c r="C69" s="5">
        <v>600</v>
      </c>
    </row>
    <row r="70" spans="2:12">
      <c r="B70" t="s">
        <v>67</v>
      </c>
      <c r="C70" s="5">
        <v>4000</v>
      </c>
    </row>
    <row r="71" spans="2:12">
      <c r="B71" t="s">
        <v>23</v>
      </c>
      <c r="C71" s="5">
        <v>14800</v>
      </c>
    </row>
    <row r="72" spans="2:12">
      <c r="B72" t="s">
        <v>28</v>
      </c>
      <c r="C72" s="5">
        <v>1472</v>
      </c>
    </row>
    <row r="73" spans="2:12">
      <c r="B73" t="s">
        <v>5</v>
      </c>
      <c r="C73" s="5">
        <v>820296.2</v>
      </c>
    </row>
  </sheetData>
  <mergeCells count="13">
    <mergeCell ref="G11:L12"/>
    <mergeCell ref="G13:L14"/>
    <mergeCell ref="I62:J63"/>
    <mergeCell ref="G62:H63"/>
    <mergeCell ref="E15:F16"/>
    <mergeCell ref="G15:H16"/>
    <mergeCell ref="E11:F13"/>
    <mergeCell ref="I56:J57"/>
    <mergeCell ref="I58:J59"/>
    <mergeCell ref="G58:H59"/>
    <mergeCell ref="G56:H57"/>
    <mergeCell ref="I60:J61"/>
    <mergeCell ref="G60:H61"/>
  </mergeCells>
  <dataValidations count="1">
    <dataValidation type="list" allowBlank="1" showInputMessage="1" showErrorMessage="1" sqref="G15" xr:uid="{14E9A2B5-AB18-4FE4-8EBC-B03EFDA929F0}">
      <formula1>#REF!</formula1>
    </dataValidation>
  </dataValidations>
  <pageMargins left="0.20833333333333334" right="0.15625" top="0.1140625" bottom="6.3368055555555552E-2" header="0.3" footer="0.3"/>
  <pageSetup scale="73" fitToWidth="0" orientation="portrait" r:id="rId2"/>
  <drawing r:id="rId3"/>
  <legacyDrawing r:id="rId4"/>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C5A8F-3A59-40C6-85D3-258E3AB42B70}">
  <sheetPr codeName="Hoja12">
    <pageSetUpPr fitToPage="1"/>
  </sheetPr>
  <dimension ref="A3:P102"/>
  <sheetViews>
    <sheetView showGridLines="0" zoomScale="80" zoomScaleNormal="80" zoomScalePageLayoutView="90" workbookViewId="0">
      <pane ySplit="2" topLeftCell="A5" activePane="bottomLeft" state="frozen"/>
      <selection pane="bottomLeft" activeCell="B13" sqref="B13:G16"/>
    </sheetView>
  </sheetViews>
  <sheetFormatPr baseColWidth="10" defaultRowHeight="14.4"/>
  <cols>
    <col min="1" max="1" width="7.44140625" customWidth="1"/>
    <col min="2" max="2" width="37.88671875" customWidth="1"/>
    <col min="3" max="3" width="25.5546875" customWidth="1"/>
    <col min="4" max="4" width="8.109375" customWidth="1"/>
    <col min="5" max="5" width="6.88671875" customWidth="1"/>
    <col min="6" max="6" width="34.5546875" customWidth="1"/>
    <col min="7" max="7" width="25.5546875" customWidth="1"/>
    <col min="8" max="8" width="7.44140625" customWidth="1"/>
    <col min="9" max="9" width="10.109375" customWidth="1"/>
    <col min="15" max="15" width="13.88671875" bestFit="1" customWidth="1"/>
    <col min="16" max="16" width="6.6640625" bestFit="1" customWidth="1"/>
  </cols>
  <sheetData>
    <row r="3" spans="1:16">
      <c r="A3" s="35" t="e">
        <f>_xlfn.CONCAT("Presupuesto"," ",B18," ",eQUIPAMIENTO!M1," ",eQUIPAMIENTO!M2)</f>
        <v>#REF!</v>
      </c>
    </row>
    <row r="4" spans="1:16" ht="15.6">
      <c r="J4" s="539" t="s">
        <v>386</v>
      </c>
      <c r="K4" s="539"/>
      <c r="O4" s="4" t="s">
        <v>74</v>
      </c>
      <c r="P4" t="s" vm="9">
        <v>409</v>
      </c>
    </row>
    <row r="5" spans="1:16" ht="15.6">
      <c r="J5" s="109" t="s">
        <v>353</v>
      </c>
      <c r="K5" s="110" cm="1">
        <f t="array" ref="K5">INDEX(Tabla3[Color],PRODUCTOS!BW6)</f>
        <v>0</v>
      </c>
      <c r="O5" s="4" t="s">
        <v>73</v>
      </c>
      <c r="P5" t="s" vm="10">
        <v>409</v>
      </c>
    </row>
    <row r="6" spans="1:16" ht="15.6">
      <c r="J6" s="109" t="s">
        <v>361</v>
      </c>
      <c r="K6" s="110" cm="1">
        <f t="array" ref="K6">INDEX(Tabla3[Color],PRODUCTOS!BW5)</f>
        <v>0</v>
      </c>
    </row>
    <row r="13" spans="1:16">
      <c r="B13" s="540" t="str">
        <f>COTIZACION!A16</f>
        <v>SEMIREMOLQUE TIPO: PLATAFORMA 40 FT 2 EJES, CON SUSPENSIÓN FLEET MASTER, EJES FLEET MASTER, 2 PAR PATIN AMPRO, PISO DE PLÁSTICO,  CON RIEL, 10 MATRACA CORREDIZA, GANCHO HOLLAND, BURRO A 1.20 M, REDILAS DE 80 CM, 1 SISTEMA RETRÁCTIL,  SIN RINES,  SIN LLANTAS, 20 PLAFONES AMBAR, 16 PLAFONES ROJO, 1 JALON, DOBLE SOLERA PARTRE TRASERA (COLITA)</v>
      </c>
      <c r="C13" s="540"/>
      <c r="D13" s="540"/>
      <c r="E13" s="540"/>
      <c r="F13" s="540"/>
      <c r="G13" s="540"/>
    </row>
    <row r="14" spans="1:16">
      <c r="B14" s="540"/>
      <c r="C14" s="540"/>
      <c r="D14" s="540"/>
      <c r="E14" s="540"/>
      <c r="F14" s="540"/>
      <c r="G14" s="540"/>
    </row>
    <row r="15" spans="1:16" ht="15" customHeight="1">
      <c r="B15" s="540"/>
      <c r="C15" s="540"/>
      <c r="D15" s="540"/>
      <c r="E15" s="540"/>
      <c r="F15" s="540"/>
      <c r="G15" s="540"/>
      <c r="H15" s="132"/>
    </row>
    <row r="16" spans="1:16" ht="15" customHeight="1">
      <c r="B16" s="540"/>
      <c r="C16" s="540"/>
      <c r="D16" s="540"/>
      <c r="E16" s="540"/>
      <c r="F16" s="540"/>
      <c r="G16" s="540"/>
      <c r="H16" s="132"/>
    </row>
    <row r="17" spans="1:8" ht="15" customHeight="1">
      <c r="B17" s="542" t="s">
        <v>275</v>
      </c>
      <c r="C17" s="542"/>
      <c r="D17" s="139"/>
      <c r="E17" s="139"/>
      <c r="F17" s="140" t="s">
        <v>249</v>
      </c>
      <c r="G17" s="139"/>
      <c r="H17" s="132"/>
    </row>
    <row r="18" spans="1:8" ht="15" customHeight="1">
      <c r="B18" s="541" t="e" cm="1">
        <f t="array" ref="B18">INDEX('CLIENTES'!#REF!,'CLIENTES'!B8)</f>
        <v>#REF!</v>
      </c>
      <c r="C18" s="541"/>
      <c r="D18" s="139"/>
      <c r="E18" s="139"/>
      <c r="F18" s="141" t="s">
        <v>251</v>
      </c>
      <c r="G18" s="139"/>
      <c r="H18" s="132"/>
    </row>
    <row r="20" spans="1:8" ht="15.6">
      <c r="A20" s="33"/>
      <c r="B20" s="8" t="s">
        <v>196</v>
      </c>
      <c r="C20" s="115">
        <v>1</v>
      </c>
      <c r="D20" s="8"/>
      <c r="F20" s="111" t="s">
        <v>86</v>
      </c>
      <c r="G20" s="8" t="s" vm="5">
        <v>90</v>
      </c>
      <c r="H20" s="8"/>
    </row>
    <row r="21" spans="1:8" ht="15.6">
      <c r="B21" s="4" t="s">
        <v>96</v>
      </c>
      <c r="C21" t="s" vm="8">
        <v>335</v>
      </c>
      <c r="D21" s="8"/>
      <c r="F21" s="8"/>
      <c r="G21" s="8"/>
      <c r="H21" s="8"/>
    </row>
    <row r="22" spans="1:8" ht="15.6">
      <c r="B22" s="111" t="s">
        <v>86</v>
      </c>
      <c r="C22" s="8" t="s" vm="7">
        <v>87</v>
      </c>
      <c r="D22" s="8"/>
      <c r="F22" s="111" t="s">
        <v>104</v>
      </c>
      <c r="G22" s="113" t="s">
        <v>79</v>
      </c>
      <c r="H22" s="8" t="s">
        <v>50</v>
      </c>
    </row>
    <row r="23" spans="1:8" ht="15.6">
      <c r="B23" s="8"/>
      <c r="C23" s="8"/>
      <c r="D23" s="8"/>
      <c r="F23" s="108" t="s">
        <v>234</v>
      </c>
      <c r="G23" s="114">
        <v>8000</v>
      </c>
      <c r="H23" s="8">
        <v>1</v>
      </c>
    </row>
    <row r="24" spans="1:8" ht="15.6">
      <c r="B24" s="111" t="s">
        <v>104</v>
      </c>
      <c r="C24" s="8" t="s">
        <v>78</v>
      </c>
      <c r="D24" s="8" t="s">
        <v>50</v>
      </c>
      <c r="F24" s="108" t="s">
        <v>244</v>
      </c>
      <c r="G24" s="114">
        <v>5600</v>
      </c>
      <c r="H24" s="8">
        <v>16</v>
      </c>
    </row>
    <row r="25" spans="1:8" ht="15.6">
      <c r="B25" s="108" t="s">
        <v>147</v>
      </c>
      <c r="C25" s="112">
        <v>960</v>
      </c>
      <c r="D25" s="8">
        <v>2</v>
      </c>
      <c r="F25" s="108" t="s">
        <v>230</v>
      </c>
      <c r="G25" s="114">
        <v>1800</v>
      </c>
      <c r="H25" s="8">
        <v>4</v>
      </c>
    </row>
    <row r="26" spans="1:8" ht="15.6">
      <c r="B26" s="108" t="s">
        <v>45</v>
      </c>
      <c r="C26" s="112">
        <v>768</v>
      </c>
      <c r="D26" s="8">
        <v>1</v>
      </c>
      <c r="F26" s="108" t="s">
        <v>245</v>
      </c>
      <c r="G26" s="114">
        <v>4049.8500000000004</v>
      </c>
      <c r="H26" s="8">
        <v>7.35</v>
      </c>
    </row>
    <row r="27" spans="1:8" ht="15.6">
      <c r="B27" s="108" t="s">
        <v>8</v>
      </c>
      <c r="C27" s="112">
        <v>2064</v>
      </c>
      <c r="D27" s="8">
        <v>1</v>
      </c>
      <c r="F27" s="108" t="s">
        <v>58</v>
      </c>
      <c r="G27" s="114">
        <v>2113.25</v>
      </c>
      <c r="H27" s="8">
        <v>16.75</v>
      </c>
    </row>
    <row r="28" spans="1:8" ht="15.6">
      <c r="B28" s="108" t="s">
        <v>9</v>
      </c>
      <c r="C28" s="112">
        <v>2328</v>
      </c>
      <c r="D28" s="8">
        <v>1</v>
      </c>
      <c r="F28" s="108" t="s">
        <v>51</v>
      </c>
      <c r="G28" s="114">
        <v>14145.512500000001</v>
      </c>
      <c r="H28" s="8">
        <v>17.250624999999999</v>
      </c>
    </row>
    <row r="29" spans="1:8" ht="15.6">
      <c r="B29" s="108" t="s">
        <v>173</v>
      </c>
      <c r="C29" s="112">
        <v>3356</v>
      </c>
      <c r="D29" s="8">
        <v>40</v>
      </c>
      <c r="F29" s="108" t="s">
        <v>53</v>
      </c>
      <c r="G29" s="114">
        <v>4606.25</v>
      </c>
      <c r="H29" s="8">
        <v>8.375</v>
      </c>
    </row>
    <row r="30" spans="1:8" ht="15.6">
      <c r="B30" s="108" t="s">
        <v>174</v>
      </c>
      <c r="C30" s="112">
        <v>300</v>
      </c>
      <c r="D30" s="8">
        <v>2</v>
      </c>
      <c r="F30" s="108" t="s">
        <v>239</v>
      </c>
      <c r="G30" s="114">
        <v>1200</v>
      </c>
      <c r="H30" s="8">
        <v>1</v>
      </c>
    </row>
    <row r="31" spans="1:8" ht="15.6">
      <c r="B31" s="108" t="s">
        <v>27</v>
      </c>
      <c r="C31" s="112">
        <v>5055</v>
      </c>
      <c r="D31" s="8">
        <v>1</v>
      </c>
      <c r="F31" s="108" t="s">
        <v>55</v>
      </c>
      <c r="G31" s="114">
        <v>4425</v>
      </c>
      <c r="H31" s="8">
        <v>29.5</v>
      </c>
    </row>
    <row r="32" spans="1:8" ht="15.6">
      <c r="B32" s="108" t="s">
        <v>175</v>
      </c>
      <c r="C32" s="112">
        <v>3768</v>
      </c>
      <c r="D32" s="8">
        <v>1</v>
      </c>
      <c r="F32" s="108" t="s">
        <v>57</v>
      </c>
      <c r="G32" s="114">
        <v>2751.75</v>
      </c>
      <c r="H32" s="8">
        <v>16.75</v>
      </c>
    </row>
    <row r="33" spans="2:8" ht="15.6">
      <c r="B33" s="108" t="s">
        <v>169</v>
      </c>
      <c r="C33" s="112">
        <v>2035</v>
      </c>
      <c r="D33" s="8">
        <v>1</v>
      </c>
      <c r="F33" s="108" t="s">
        <v>56</v>
      </c>
      <c r="G33" s="114">
        <v>2723.75</v>
      </c>
      <c r="H33" s="8">
        <v>16.75</v>
      </c>
    </row>
    <row r="34" spans="2:8" ht="15.6">
      <c r="B34" s="108" t="s">
        <v>150</v>
      </c>
      <c r="C34" s="112">
        <v>3276</v>
      </c>
      <c r="D34" s="8">
        <v>1</v>
      </c>
      <c r="F34" s="108" t="s">
        <v>238</v>
      </c>
      <c r="G34" s="114">
        <v>300</v>
      </c>
      <c r="H34" s="8">
        <v>1</v>
      </c>
    </row>
    <row r="35" spans="2:8" ht="15.6">
      <c r="B35" s="108" t="s">
        <v>146</v>
      </c>
      <c r="C35" s="112">
        <v>274</v>
      </c>
      <c r="D35" s="8">
        <v>1</v>
      </c>
      <c r="F35" s="108" t="s">
        <v>59</v>
      </c>
      <c r="G35" s="114">
        <v>1675</v>
      </c>
      <c r="H35" s="8">
        <v>83.75</v>
      </c>
    </row>
    <row r="36" spans="2:8" ht="15.6">
      <c r="B36" s="108" t="s">
        <v>13</v>
      </c>
      <c r="C36" s="112">
        <v>437</v>
      </c>
      <c r="D36" s="8">
        <v>1</v>
      </c>
      <c r="F36" s="108" t="s">
        <v>229</v>
      </c>
      <c r="G36" s="114">
        <v>7200</v>
      </c>
      <c r="H36" s="8">
        <v>4</v>
      </c>
    </row>
    <row r="37" spans="2:8" ht="15.6">
      <c r="B37" s="108" t="s">
        <v>149</v>
      </c>
      <c r="C37" s="112">
        <v>1331</v>
      </c>
      <c r="D37" s="8">
        <v>1</v>
      </c>
      <c r="F37" s="108" t="s">
        <v>60</v>
      </c>
      <c r="G37" s="114">
        <v>5850</v>
      </c>
      <c r="H37" s="8">
        <v>1</v>
      </c>
    </row>
    <row r="38" spans="2:8" ht="15.6">
      <c r="B38" s="108" t="s">
        <v>171</v>
      </c>
      <c r="C38" s="112">
        <v>290</v>
      </c>
      <c r="D38" s="8">
        <v>1</v>
      </c>
      <c r="F38" s="108" t="s">
        <v>61</v>
      </c>
      <c r="G38" s="114">
        <v>9704</v>
      </c>
      <c r="H38" s="8">
        <v>16</v>
      </c>
    </row>
    <row r="39" spans="2:8" ht="15.6">
      <c r="B39" s="108" t="s">
        <v>170</v>
      </c>
      <c r="C39" s="112">
        <v>180</v>
      </c>
      <c r="D39" s="8">
        <v>1</v>
      </c>
      <c r="F39" s="108" t="s">
        <v>66</v>
      </c>
      <c r="G39" s="114">
        <v>83750</v>
      </c>
      <c r="H39" s="8">
        <v>8.375</v>
      </c>
    </row>
    <row r="40" spans="2:8" ht="15.6">
      <c r="B40" s="108" t="s">
        <v>24</v>
      </c>
      <c r="C40" s="112">
        <v>5824.5</v>
      </c>
      <c r="D40" s="8">
        <v>1</v>
      </c>
      <c r="F40" s="108" t="s">
        <v>237</v>
      </c>
      <c r="G40" s="114">
        <v>2000</v>
      </c>
      <c r="H40" s="8">
        <v>1</v>
      </c>
    </row>
    <row r="41" spans="2:8" ht="15.6">
      <c r="B41" s="108" t="s">
        <v>10</v>
      </c>
      <c r="C41" s="112">
        <v>84</v>
      </c>
      <c r="D41" s="8">
        <v>1</v>
      </c>
      <c r="F41" s="108" t="s">
        <v>177</v>
      </c>
      <c r="G41" s="114">
        <v>66000</v>
      </c>
      <c r="H41" s="8">
        <v>6</v>
      </c>
    </row>
    <row r="42" spans="2:8" ht="15.6">
      <c r="B42" s="108" t="s">
        <v>168</v>
      </c>
      <c r="C42" s="112">
        <v>835.2</v>
      </c>
      <c r="D42" s="8">
        <v>2</v>
      </c>
      <c r="F42" s="108" t="s">
        <v>163</v>
      </c>
      <c r="G42" s="114">
        <v>165000</v>
      </c>
      <c r="H42" s="8">
        <v>8</v>
      </c>
    </row>
    <row r="43" spans="2:8" ht="15.6">
      <c r="B43" s="108" t="s">
        <v>240</v>
      </c>
      <c r="C43" s="112">
        <v>1845</v>
      </c>
      <c r="D43" s="8">
        <v>1</v>
      </c>
      <c r="F43" s="108" t="s">
        <v>162</v>
      </c>
      <c r="G43" s="114">
        <v>35000</v>
      </c>
      <c r="H43" s="8">
        <v>7</v>
      </c>
    </row>
    <row r="44" spans="2:8" ht="15.6">
      <c r="B44" s="108" t="s">
        <v>20</v>
      </c>
      <c r="C44" s="112">
        <v>4440</v>
      </c>
      <c r="D44" s="8">
        <v>6</v>
      </c>
      <c r="F44" s="108" t="s">
        <v>160</v>
      </c>
      <c r="G44" s="114">
        <v>15000</v>
      </c>
      <c r="H44" s="8">
        <v>1</v>
      </c>
    </row>
    <row r="45" spans="2:8" ht="15.6">
      <c r="B45" s="108" t="s">
        <v>172</v>
      </c>
      <c r="C45" s="112">
        <v>6004.7999999999993</v>
      </c>
      <c r="D45" s="8">
        <v>6</v>
      </c>
      <c r="F45" s="108" t="s">
        <v>161</v>
      </c>
      <c r="G45" s="114">
        <v>21000</v>
      </c>
      <c r="H45" s="8">
        <v>7</v>
      </c>
    </row>
    <row r="46" spans="2:8" ht="15.6">
      <c r="B46" s="108" t="s">
        <v>16</v>
      </c>
      <c r="C46" s="112">
        <v>2520</v>
      </c>
      <c r="D46" s="8">
        <v>5</v>
      </c>
      <c r="F46" s="108" t="s">
        <v>233</v>
      </c>
      <c r="G46" s="114">
        <v>1500</v>
      </c>
      <c r="H46" s="8">
        <v>1</v>
      </c>
    </row>
    <row r="47" spans="2:8" ht="15.6">
      <c r="B47" s="108" t="s">
        <v>5</v>
      </c>
      <c r="C47" s="112">
        <v>47975.5</v>
      </c>
      <c r="D47" s="8">
        <v>78</v>
      </c>
      <c r="F47" s="108" t="s">
        <v>68</v>
      </c>
      <c r="G47" s="114">
        <v>20000</v>
      </c>
      <c r="H47" s="8">
        <v>8</v>
      </c>
    </row>
    <row r="48" spans="2:8" ht="15.6">
      <c r="F48" s="108" t="s">
        <v>52</v>
      </c>
      <c r="G48" s="114">
        <v>43382.5</v>
      </c>
      <c r="H48" s="8">
        <v>33.5</v>
      </c>
    </row>
    <row r="49" spans="2:8" ht="15.6">
      <c r="F49" s="108" t="s">
        <v>164</v>
      </c>
      <c r="G49" s="114">
        <v>0</v>
      </c>
      <c r="H49" s="8">
        <v>0</v>
      </c>
    </row>
    <row r="50" spans="2:8" ht="15.6">
      <c r="F50" s="108" t="s">
        <v>0</v>
      </c>
      <c r="G50" s="114">
        <v>120000</v>
      </c>
      <c r="H50" s="8">
        <v>8</v>
      </c>
    </row>
    <row r="51" spans="2:8" ht="15.6">
      <c r="B51" s="111" t="s">
        <v>86</v>
      </c>
      <c r="C51" s="8" t="s" vm="4">
        <v>88</v>
      </c>
      <c r="D51" s="8"/>
      <c r="F51" s="108" t="s">
        <v>235</v>
      </c>
      <c r="G51" s="114">
        <v>300</v>
      </c>
      <c r="H51" s="8">
        <v>1</v>
      </c>
    </row>
    <row r="52" spans="2:8" ht="15.6">
      <c r="B52" s="8"/>
      <c r="C52" s="8"/>
      <c r="D52" s="8"/>
      <c r="F52" s="108" t="s">
        <v>62</v>
      </c>
      <c r="G52" s="114">
        <v>17937.5</v>
      </c>
      <c r="H52" s="8">
        <v>9.1750000000000007</v>
      </c>
    </row>
    <row r="53" spans="2:8" ht="15.6">
      <c r="B53" s="8"/>
      <c r="C53" s="111" t="s">
        <v>7</v>
      </c>
      <c r="D53" s="8"/>
      <c r="F53" s="108" t="s">
        <v>65</v>
      </c>
      <c r="G53" s="114">
        <v>96000</v>
      </c>
      <c r="H53" s="8">
        <v>7</v>
      </c>
    </row>
    <row r="54" spans="2:8" ht="15.6">
      <c r="B54" s="111" t="s">
        <v>77</v>
      </c>
      <c r="C54" s="8" t="s">
        <v>79</v>
      </c>
      <c r="D54" s="8" t="s">
        <v>50</v>
      </c>
      <c r="F54" s="108" t="s">
        <v>232</v>
      </c>
      <c r="G54" s="114">
        <v>2358</v>
      </c>
      <c r="H54" s="8">
        <v>6</v>
      </c>
    </row>
    <row r="55" spans="2:8" ht="15.6">
      <c r="B55" s="8" t="s">
        <v>186</v>
      </c>
      <c r="C55" s="112">
        <v>249</v>
      </c>
      <c r="D55" s="8">
        <v>0.6</v>
      </c>
      <c r="F55" s="108" t="s">
        <v>236</v>
      </c>
      <c r="G55" s="114">
        <v>800</v>
      </c>
      <c r="H55" s="8">
        <v>1</v>
      </c>
    </row>
    <row r="56" spans="2:8" ht="15.6">
      <c r="B56" s="8" t="s">
        <v>181</v>
      </c>
      <c r="C56" s="112">
        <v>10727.5</v>
      </c>
      <c r="D56" s="8">
        <v>1.75</v>
      </c>
      <c r="F56" s="108" t="s">
        <v>54</v>
      </c>
      <c r="G56" s="114">
        <v>2504</v>
      </c>
      <c r="H56" s="8">
        <v>16</v>
      </c>
    </row>
    <row r="57" spans="2:8" ht="15.6">
      <c r="B57" s="8" t="s">
        <v>182</v>
      </c>
      <c r="C57" s="112">
        <v>321.5625</v>
      </c>
      <c r="D57" s="8">
        <v>1.3125</v>
      </c>
      <c r="F57" s="108" t="s">
        <v>231</v>
      </c>
      <c r="G57" s="114">
        <v>1500</v>
      </c>
      <c r="H57" s="8">
        <v>2</v>
      </c>
    </row>
    <row r="58" spans="2:8" ht="15.6">
      <c r="B58" s="8" t="s">
        <v>178</v>
      </c>
      <c r="C58" s="112">
        <v>23073.75</v>
      </c>
      <c r="D58" s="8">
        <v>0.875</v>
      </c>
      <c r="F58" s="108" t="s">
        <v>67</v>
      </c>
      <c r="G58" s="114">
        <v>16350</v>
      </c>
      <c r="H58" s="8">
        <v>8.1750000000000007</v>
      </c>
    </row>
    <row r="59" spans="2:8" ht="15.6">
      <c r="B59" s="8" t="s">
        <v>185</v>
      </c>
      <c r="C59" s="112">
        <v>9.99</v>
      </c>
      <c r="D59" s="8">
        <v>0.01</v>
      </c>
      <c r="F59" s="108" t="s">
        <v>5</v>
      </c>
      <c r="G59" s="114">
        <v>786526.36250000005</v>
      </c>
      <c r="H59" s="8">
        <v>379.700625</v>
      </c>
    </row>
    <row r="60" spans="2:8" ht="15.6">
      <c r="B60" s="8" t="s">
        <v>187</v>
      </c>
      <c r="C60" s="112">
        <v>72</v>
      </c>
      <c r="D60" s="8">
        <v>0.2</v>
      </c>
      <c r="F60" s="124" t="str">
        <f>eQUIPAMIENTO!AB8</f>
        <v>GANCHO HOLLAND</v>
      </c>
      <c r="G60" s="126">
        <f>eQUIPAMIENTO!AC8</f>
        <v>7100</v>
      </c>
    </row>
    <row r="61" spans="2:8" ht="15.6">
      <c r="B61" s="8" t="s">
        <v>179</v>
      </c>
      <c r="C61" s="112">
        <v>1668.625</v>
      </c>
      <c r="D61" s="8">
        <v>0.875</v>
      </c>
      <c r="F61" s="124" t="str">
        <f>eQUIPAMIENTO!AB9</f>
        <v>CONCHA MADERA DE  m</v>
      </c>
      <c r="G61" s="126">
        <f>eQUIPAMIENTO!AC9</f>
        <v>6240</v>
      </c>
    </row>
    <row r="62" spans="2:8" ht="15.6">
      <c r="B62" s="8" t="s">
        <v>180</v>
      </c>
      <c r="C62" s="112">
        <v>24500</v>
      </c>
      <c r="D62" s="8">
        <v>3.5</v>
      </c>
      <c r="F62" s="124" t="str">
        <f>eQUIPAMIENTO!AB10</f>
        <v>REDILAS SIN REDILAS</v>
      </c>
      <c r="G62" s="126">
        <f>eQUIPAMIENTO!AC10</f>
        <v>0</v>
      </c>
    </row>
    <row r="63" spans="2:8" ht="15.6">
      <c r="B63" s="8" t="s">
        <v>184</v>
      </c>
      <c r="C63" s="112">
        <v>953.5</v>
      </c>
      <c r="D63" s="8">
        <v>0.5</v>
      </c>
      <c r="F63" s="124" t="str">
        <f>eQUIPAMIENTO!AB11</f>
        <v>SISTEMA RETRÁCTIL RETRACTIL</v>
      </c>
      <c r="G63" s="126">
        <f>eQUIPAMIENTO!AC11</f>
        <v>15000</v>
      </c>
    </row>
    <row r="64" spans="2:8" ht="15.6">
      <c r="B64" s="8" t="s">
        <v>183</v>
      </c>
      <c r="C64" s="112">
        <v>5840.1875</v>
      </c>
      <c r="D64" s="8">
        <v>6.125</v>
      </c>
      <c r="F64" s="124" t="str">
        <f>eQUIPAMIENTO!AB12</f>
        <v>RINES RINES DE ACERO</v>
      </c>
      <c r="G64" s="126">
        <f>eQUIPAMIENTO!AC12</f>
        <v>18400</v>
      </c>
    </row>
    <row r="65" spans="2:7" ht="15.6">
      <c r="B65" s="8" t="s">
        <v>246</v>
      </c>
      <c r="C65" s="112">
        <v>704.55875000000003</v>
      </c>
      <c r="D65" s="8">
        <v>0.875</v>
      </c>
      <c r="F65" s="124" t="str">
        <f>eQUIPAMIENTO!AB13</f>
        <v>LLANTAS LLANTAS BF GOODRICH CON 8 LLANT(S)</v>
      </c>
      <c r="G65" s="126">
        <f>eQUIPAMIENTO!AC13</f>
        <v>36000</v>
      </c>
    </row>
    <row r="66" spans="2:7" ht="15.6">
      <c r="B66" s="8" t="s">
        <v>188</v>
      </c>
      <c r="C66" s="112">
        <v>183.4</v>
      </c>
      <c r="D66" s="8">
        <v>0.2</v>
      </c>
      <c r="F66" s="8"/>
      <c r="G66" s="8"/>
    </row>
    <row r="67" spans="2:7" ht="15.6">
      <c r="B67" s="8" t="s">
        <v>5</v>
      </c>
      <c r="C67" s="112">
        <v>68304.073749999996</v>
      </c>
      <c r="D67" s="8">
        <v>16.822500000000002</v>
      </c>
    </row>
    <row r="69" spans="2:7" ht="15.6">
      <c r="F69" s="130" t="s">
        <v>5</v>
      </c>
      <c r="G69" s="131">
        <f>SUM(G55:G68)</f>
        <v>890420.36250000005</v>
      </c>
    </row>
    <row r="71" spans="2:7">
      <c r="F71" s="142" t="s">
        <v>86</v>
      </c>
      <c r="G71" s="147" t="s">
        <v>397</v>
      </c>
    </row>
    <row r="72" spans="2:7" ht="15.6">
      <c r="B72" s="111" t="s">
        <v>86</v>
      </c>
      <c r="C72" s="8" t="s" vm="6">
        <v>89</v>
      </c>
    </row>
    <row r="73" spans="2:7" ht="15.6">
      <c r="F73" s="143" t="s">
        <v>382</v>
      </c>
      <c r="G73" s="148" t="s">
        <v>2</v>
      </c>
    </row>
    <row r="74" spans="2:7" ht="15.6">
      <c r="B74" s="111" t="s">
        <v>104</v>
      </c>
      <c r="C74" s="8" t="s">
        <v>79</v>
      </c>
      <c r="D74" s="8" t="s">
        <v>50</v>
      </c>
      <c r="F74" cm="1">
        <f t="array" ref="F74">INDEX(Tabla8[EXTRAS],'DATOS DE EQUIPAMIENTO'!AV11)</f>
        <v>0</v>
      </c>
      <c r="G74" s="154" t="str">
        <f>IFERROR(INDEX(Tabla8[],MATCH(F74,Tabla8[EXTRAS],0),MATCH($G$73,Tabla8[#Headers],0)),"")</f>
        <v/>
      </c>
    </row>
    <row r="75" spans="2:7" ht="15.6">
      <c r="B75" s="108" t="s">
        <v>247</v>
      </c>
      <c r="C75" s="112">
        <v>48000</v>
      </c>
      <c r="D75" s="8">
        <v>2</v>
      </c>
      <c r="F75" cm="1">
        <f t="array" ref="F75">INDEX(Tabla8[EXTRAS],'DATOS DE EQUIPAMIENTO'!AV12)</f>
        <v>0</v>
      </c>
      <c r="G75" s="154" t="str">
        <f>IFERROR(INDEX(Tabla8[],MATCH(F75,Tabla8[EXTRAS],0),MATCH($G$73,Tabla8[#Headers],0)),"")</f>
        <v/>
      </c>
    </row>
    <row r="76" spans="2:7" ht="15.6">
      <c r="B76" s="108" t="s">
        <v>195</v>
      </c>
      <c r="C76" s="112">
        <v>81000</v>
      </c>
      <c r="D76" s="8">
        <v>3</v>
      </c>
      <c r="E76" s="35" t="e">
        <f>CONCATENATE("PRESUPUESTO"," ",B18," ",H15," ",H16)</f>
        <v>#REF!</v>
      </c>
      <c r="F76" cm="1">
        <f t="array" ref="F76">INDEX(Tabla8[EXTRAS],'DATOS DE EQUIPAMIENTO'!AV13)</f>
        <v>0</v>
      </c>
      <c r="G76" s="154" t="str">
        <f>IFERROR(INDEX(Tabla8[],MATCH(F76,Tabla8[EXTRAS],0),MATCH($G$73,Tabla8[#Headers],0)),"")</f>
        <v/>
      </c>
    </row>
    <row r="77" spans="2:7" ht="15.6">
      <c r="B77" s="108" t="s">
        <v>45</v>
      </c>
      <c r="C77" s="112">
        <v>22200</v>
      </c>
      <c r="D77" s="8">
        <v>6</v>
      </c>
      <c r="F77" cm="1">
        <f t="array" ref="F77">INDEX(Tabla8[EXTRAS],'DATOS DE EQUIPAMIENTO'!AV14)</f>
        <v>0</v>
      </c>
      <c r="G77" s="154" t="str">
        <f>IFERROR(INDEX(Tabla8[],MATCH(F77,Tabla8[EXTRAS],0),MATCH($G$73,Tabla8[#Headers],0)),"")</f>
        <v/>
      </c>
    </row>
    <row r="78" spans="2:7" ht="15.6">
      <c r="B78" s="108" t="s">
        <v>39</v>
      </c>
      <c r="C78" s="112">
        <v>71668.100000000006</v>
      </c>
      <c r="D78" s="8">
        <v>119</v>
      </c>
      <c r="F78" t="str" cm="1">
        <f t="array" ref="F78">INDEX(Tabla8[EXTRAS],'DATOS DE EQUIPAMIENTO'!AV15)</f>
        <v>CANASTILLA</v>
      </c>
      <c r="G78" s="154">
        <f>IFERROR(INDEX(Tabla8[],MATCH(F78,Tabla8[EXTRAS],0),MATCH($G$73,Tabla8[#Headers],0)),"")</f>
        <v>5</v>
      </c>
    </row>
    <row r="79" spans="2:7" ht="15.6">
      <c r="B79" s="108" t="s">
        <v>189</v>
      </c>
      <c r="C79" s="112">
        <v>119068</v>
      </c>
      <c r="D79" s="8">
        <v>206</v>
      </c>
      <c r="G79" s="154" t="str">
        <f>IFERROR(INDEX(Tabla8[],MATCH(F79,Tabla8[EXTRAS],0),MATCH($G$73,Tabla8[#Headers],0)),"")</f>
        <v/>
      </c>
    </row>
    <row r="80" spans="2:7" ht="15.6">
      <c r="B80" s="108" t="s">
        <v>46</v>
      </c>
      <c r="C80" s="112">
        <v>9200</v>
      </c>
      <c r="D80" s="8">
        <v>4</v>
      </c>
      <c r="G80" s="154" t="str">
        <f>IFERROR(INDEX(Tabla8[],MATCH(F80,Tabla8[EXTRAS],0),MATCH($G$73,Tabla8[#Headers],0)),"")</f>
        <v/>
      </c>
    </row>
    <row r="81" spans="2:7" ht="15.6">
      <c r="B81" s="108" t="s">
        <v>219</v>
      </c>
      <c r="C81" s="112">
        <v>1</v>
      </c>
      <c r="D81" s="8">
        <v>1</v>
      </c>
      <c r="F81" s="145" t="s">
        <v>5</v>
      </c>
      <c r="G81" s="146">
        <f>SUM(G67:G80)</f>
        <v>890425.36250000005</v>
      </c>
    </row>
    <row r="82" spans="2:7" ht="15.6">
      <c r="B82" s="108" t="s">
        <v>41</v>
      </c>
      <c r="C82" s="112">
        <v>168505.25</v>
      </c>
      <c r="D82" s="8">
        <v>7</v>
      </c>
    </row>
    <row r="83" spans="2:7" ht="15.6">
      <c r="B83" s="108" t="s">
        <v>217</v>
      </c>
      <c r="C83" s="112">
        <v>2</v>
      </c>
      <c r="D83" s="8">
        <v>2</v>
      </c>
    </row>
    <row r="84" spans="2:7" ht="15.6">
      <c r="B84" s="108" t="s">
        <v>192</v>
      </c>
      <c r="C84" s="112">
        <v>293054.59999999998</v>
      </c>
      <c r="D84" s="8">
        <v>14</v>
      </c>
    </row>
    <row r="85" spans="2:7" ht="15.6">
      <c r="B85" s="108" t="s">
        <v>220</v>
      </c>
      <c r="C85" s="112">
        <v>1</v>
      </c>
      <c r="D85" s="8">
        <v>1</v>
      </c>
      <c r="F85" s="144" t="s">
        <v>398</v>
      </c>
      <c r="G85" s="52">
        <f>GETPIVOTDATA("[Measures].[Suma de IMP POR POYECTO 6]",$B$74)+GETPIVOTDATA("[Measures].[Suma de IMP POR POYECTO 4]",$B$53)+GETPIVOTDATA("[Measures].[Suma de IMP POR POYECTO]",$B$24)+GETPIVOTDATA("[Measures].[Suma de IMP POR POYECTO 3]",$F$22)+G69+G81</f>
        <v>4164632.4112499999</v>
      </c>
    </row>
    <row r="86" spans="2:7" ht="15.6">
      <c r="B86" s="108" t="s">
        <v>42</v>
      </c>
      <c r="C86" s="112">
        <v>75000</v>
      </c>
      <c r="D86" s="8">
        <v>3</v>
      </c>
      <c r="F86" s="23" t="str" cm="1">
        <f t="array" ref="F86">NumLetras(G85)</f>
        <v xml:space="preserve"> CUATRO MILLONES CIENTO SESENTA Y CUATRO MIL SEISCIENTOS TREINTA Y DOS 41/100 M.N.</v>
      </c>
    </row>
    <row r="87" spans="2:7" ht="15.6">
      <c r="B87" s="108" t="s">
        <v>221</v>
      </c>
      <c r="C87" s="112">
        <v>1</v>
      </c>
      <c r="D87" s="8">
        <v>1</v>
      </c>
    </row>
    <row r="88" spans="2:7" ht="15.6">
      <c r="B88" s="108" t="s">
        <v>61</v>
      </c>
      <c r="C88" s="112">
        <v>0</v>
      </c>
      <c r="D88" s="8">
        <v>2</v>
      </c>
    </row>
    <row r="89" spans="2:7" ht="15.6">
      <c r="B89" s="108" t="s">
        <v>194</v>
      </c>
      <c r="C89" s="112">
        <v>20900</v>
      </c>
      <c r="D89" s="8">
        <v>50</v>
      </c>
    </row>
    <row r="90" spans="2:7" ht="15.75" customHeight="1">
      <c r="B90" s="108" t="s">
        <v>49</v>
      </c>
      <c r="C90" s="112">
        <v>12484</v>
      </c>
      <c r="D90" s="8">
        <v>34</v>
      </c>
      <c r="F90" s="8"/>
    </row>
    <row r="91" spans="2:7" ht="15.6">
      <c r="B91" s="108" t="s">
        <v>193</v>
      </c>
      <c r="C91" s="112">
        <v>62060</v>
      </c>
      <c r="D91" s="8">
        <v>10</v>
      </c>
    </row>
    <row r="92" spans="2:7" ht="15.6">
      <c r="B92" s="108" t="s">
        <v>44</v>
      </c>
      <c r="C92" s="112">
        <v>26412</v>
      </c>
      <c r="D92" s="8">
        <v>4</v>
      </c>
    </row>
    <row r="93" spans="2:7" ht="15.6">
      <c r="B93" s="108" t="s">
        <v>43</v>
      </c>
      <c r="C93" s="112">
        <v>4740</v>
      </c>
      <c r="D93" s="8">
        <v>3</v>
      </c>
    </row>
    <row r="94" spans="2:7" ht="15.6">
      <c r="B94" s="108" t="s">
        <v>190</v>
      </c>
      <c r="C94" s="112">
        <v>7500</v>
      </c>
      <c r="D94" s="8">
        <v>5</v>
      </c>
    </row>
    <row r="95" spans="2:7" ht="15.6">
      <c r="B95" s="108" t="s">
        <v>218</v>
      </c>
      <c r="C95" s="112">
        <v>1</v>
      </c>
      <c r="D95" s="8">
        <v>1</v>
      </c>
    </row>
    <row r="96" spans="2:7" ht="15.6">
      <c r="B96" s="108" t="s">
        <v>47</v>
      </c>
      <c r="C96" s="112">
        <v>6400</v>
      </c>
      <c r="D96" s="8">
        <v>8</v>
      </c>
    </row>
    <row r="97" spans="2:4" ht="15.6">
      <c r="B97" s="108" t="s">
        <v>216</v>
      </c>
      <c r="C97" s="112">
        <v>2</v>
      </c>
      <c r="D97" s="8">
        <v>2</v>
      </c>
    </row>
    <row r="98" spans="2:4" ht="15.6">
      <c r="B98" s="108" t="s">
        <v>40</v>
      </c>
      <c r="C98" s="112">
        <v>159990</v>
      </c>
      <c r="D98" s="8">
        <v>7</v>
      </c>
    </row>
    <row r="99" spans="2:4" ht="15.6">
      <c r="B99" s="108" t="s">
        <v>191</v>
      </c>
      <c r="C99" s="112">
        <v>277418</v>
      </c>
      <c r="D99" s="8">
        <v>14</v>
      </c>
    </row>
    <row r="100" spans="2:4" ht="15.6">
      <c r="B100" s="108" t="s">
        <v>215</v>
      </c>
      <c r="C100" s="112">
        <v>2</v>
      </c>
      <c r="D100" s="8">
        <v>2</v>
      </c>
    </row>
    <row r="101" spans="2:4" ht="15.6">
      <c r="B101" s="108" t="s">
        <v>48</v>
      </c>
      <c r="C101" s="112">
        <v>15370.8</v>
      </c>
      <c r="D101" s="8">
        <v>17</v>
      </c>
    </row>
    <row r="102" spans="2:4" ht="15.6">
      <c r="B102" s="108" t="s">
        <v>5</v>
      </c>
      <c r="C102" s="112">
        <v>1480980.7500000002</v>
      </c>
      <c r="D102" s="8">
        <v>528</v>
      </c>
    </row>
  </sheetData>
  <mergeCells count="4">
    <mergeCell ref="J4:K4"/>
    <mergeCell ref="B13:G16"/>
    <mergeCell ref="B18:C18"/>
    <mergeCell ref="B17:C17"/>
  </mergeCells>
  <pageMargins left="0.25" right="0.84259259259259256" top="0.13715277777777779" bottom="0.21666666666666667" header="0.3" footer="0.3"/>
  <pageSetup scale="61" fitToHeight="0" orientation="portrait" r:id="rId7"/>
  <drawing r:id="rId8"/>
  <extLst>
    <ext xmlns:x14="http://schemas.microsoft.com/office/spreadsheetml/2009/9/main" uri="{CCE6A557-97BC-4b89-ADB6-D9C93CAAB3DF}">
      <x14:dataValidations xmlns:xm="http://schemas.microsoft.com/office/excel/2006/main" count="1">
        <x14:dataValidation type="list" allowBlank="1" showInputMessage="1" showErrorMessage="1" xr:uid="{33832C44-1855-482E-B553-170AC6344D18}">
          <x14:formula1>
            <xm:f>PRODUCTOS!$BY$9:$BY$22</xm:f>
          </x14:formula1>
          <xm:sqref>F18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190AB-7F07-414F-B284-8A35AD4FA8A7}">
  <sheetPr codeName="Hoja10"/>
  <dimension ref="A4:R246"/>
  <sheetViews>
    <sheetView workbookViewId="0">
      <pane ySplit="4" topLeftCell="A5" activePane="bottomLeft" state="frozen"/>
      <selection pane="bottomLeft" activeCell="D6" sqref="D6"/>
    </sheetView>
  </sheetViews>
  <sheetFormatPr baseColWidth="10" defaultRowHeight="14.4"/>
  <cols>
    <col min="1" max="1" width="12" customWidth="1"/>
    <col min="2" max="2" width="33.109375" bestFit="1" customWidth="1"/>
    <col min="3" max="3" width="12" bestFit="1" customWidth="1"/>
    <col min="7" max="7" width="12" bestFit="1" customWidth="1"/>
    <col min="8" max="8" width="37.88671875" customWidth="1"/>
    <col min="9" max="9" width="14.88671875" customWidth="1"/>
    <col min="14" max="14" width="23.109375" customWidth="1"/>
    <col min="18" max="18" width="12.6640625" customWidth="1"/>
  </cols>
  <sheetData>
    <row r="4" spans="1:18">
      <c r="C4" s="7"/>
    </row>
    <row r="5" spans="1:18">
      <c r="H5" s="203" t="s">
        <v>502</v>
      </c>
      <c r="I5" s="203"/>
      <c r="J5" s="203"/>
    </row>
    <row r="6" spans="1:18">
      <c r="A6" s="543" t="s">
        <v>504</v>
      </c>
      <c r="B6" s="543"/>
      <c r="C6" s="543"/>
      <c r="D6">
        <v>43</v>
      </c>
      <c r="E6">
        <v>34</v>
      </c>
      <c r="H6" t="s">
        <v>77</v>
      </c>
      <c r="I6" t="s">
        <v>408</v>
      </c>
      <c r="J6" t="s">
        <v>332</v>
      </c>
      <c r="P6">
        <v>43</v>
      </c>
    </row>
    <row r="7" spans="1:18">
      <c r="A7" s="91" t="s">
        <v>490</v>
      </c>
      <c r="B7" s="158" t="s">
        <v>77</v>
      </c>
      <c r="C7" s="158" t="s">
        <v>408</v>
      </c>
      <c r="D7" t="s">
        <v>1298</v>
      </c>
      <c r="E7" t="s">
        <v>1294</v>
      </c>
      <c r="H7" t="s">
        <v>197</v>
      </c>
      <c r="I7" s="6">
        <v>250</v>
      </c>
      <c r="J7">
        <v>1</v>
      </c>
      <c r="N7" t="s">
        <v>201</v>
      </c>
      <c r="O7" t="s">
        <v>1314</v>
      </c>
      <c r="P7" t="s">
        <v>383</v>
      </c>
      <c r="Q7" t="s">
        <v>1315</v>
      </c>
    </row>
    <row r="8" spans="1:18">
      <c r="A8" s="170">
        <v>1</v>
      </c>
      <c r="B8" s="171" t="s">
        <v>8</v>
      </c>
      <c r="C8" s="169">
        <f>Tabla45[[#This Row],[KG X MAT]]*$D$6</f>
        <v>2064</v>
      </c>
      <c r="D8" s="428">
        <v>48</v>
      </c>
      <c r="E8" s="7">
        <f>Tabla45[[#This Row],[KG X MAT]]*$D$6</f>
        <v>2064</v>
      </c>
      <c r="F8" s="7"/>
      <c r="H8" t="s">
        <v>198</v>
      </c>
      <c r="I8" s="6"/>
      <c r="J8">
        <v>1.3</v>
      </c>
      <c r="M8">
        <v>4</v>
      </c>
      <c r="N8" t="s">
        <v>1316</v>
      </c>
      <c r="O8">
        <v>23.4</v>
      </c>
      <c r="P8" s="6">
        <f>O8*$P$6</f>
        <v>1006.1999999999999</v>
      </c>
      <c r="Q8">
        <f>O8*M8</f>
        <v>93.6</v>
      </c>
    </row>
    <row r="9" spans="1:18">
      <c r="A9" s="170">
        <v>1</v>
      </c>
      <c r="B9" s="171" t="s">
        <v>9</v>
      </c>
      <c r="C9" s="169">
        <f>Tabla45[[#This Row],[KG X MAT]]*$D$6</f>
        <v>2236</v>
      </c>
      <c r="D9" s="428">
        <v>52</v>
      </c>
      <c r="E9" s="7">
        <f>Tabla45[[#This Row],[KG X MAT]]*$D$6</f>
        <v>2236</v>
      </c>
      <c r="H9" t="s">
        <v>199</v>
      </c>
      <c r="I9" s="6"/>
      <c r="J9">
        <v>1</v>
      </c>
      <c r="M9">
        <v>4</v>
      </c>
      <c r="N9" t="s">
        <v>1317</v>
      </c>
      <c r="O9">
        <v>16.100000000000001</v>
      </c>
      <c r="P9" s="6">
        <f t="shared" ref="P9:P14" si="0">O9*$P$6</f>
        <v>692.30000000000007</v>
      </c>
      <c r="Q9">
        <f t="shared" ref="Q9:Q14" si="1">O9*M9</f>
        <v>64.400000000000006</v>
      </c>
    </row>
    <row r="10" spans="1:18">
      <c r="A10" s="170">
        <v>1</v>
      </c>
      <c r="B10" s="171" t="s">
        <v>10</v>
      </c>
      <c r="C10" s="169">
        <f>Tabla45[[#This Row],[KG X MAT]]*$D$6</f>
        <v>88.149999999999991</v>
      </c>
      <c r="D10" s="428">
        <v>2.0499999999999998</v>
      </c>
      <c r="E10" s="7">
        <f>Tabla45[[#This Row],[KG X MAT]]*$D$6</f>
        <v>88.149999999999991</v>
      </c>
      <c r="H10" t="s">
        <v>200</v>
      </c>
      <c r="I10" s="6"/>
      <c r="J10">
        <v>2.2000000000000002</v>
      </c>
      <c r="M10">
        <v>1</v>
      </c>
      <c r="N10" t="s">
        <v>1318</v>
      </c>
      <c r="O10">
        <v>22.2</v>
      </c>
      <c r="P10" s="6">
        <f t="shared" si="0"/>
        <v>954.6</v>
      </c>
      <c r="Q10">
        <f t="shared" si="1"/>
        <v>22.2</v>
      </c>
    </row>
    <row r="11" spans="1:18">
      <c r="A11" s="170">
        <v>2</v>
      </c>
      <c r="B11" s="171" t="s">
        <v>147</v>
      </c>
      <c r="C11" s="169">
        <f>Tabla45[[#This Row],[KG X MAT]]*$D$6</f>
        <v>924.5</v>
      </c>
      <c r="D11" s="428">
        <v>21.5</v>
      </c>
      <c r="E11" s="7">
        <f>Tabla45[[#This Row],[KG X MAT]]*$D$6</f>
        <v>924.5</v>
      </c>
      <c r="H11" t="s">
        <v>201</v>
      </c>
      <c r="I11" s="6">
        <v>9406</v>
      </c>
      <c r="J11">
        <v>1</v>
      </c>
      <c r="M11">
        <v>2</v>
      </c>
      <c r="N11" t="s">
        <v>1319</v>
      </c>
      <c r="O11">
        <v>18.3</v>
      </c>
      <c r="P11" s="6">
        <f t="shared" si="0"/>
        <v>786.9</v>
      </c>
      <c r="Q11">
        <f t="shared" si="1"/>
        <v>36.6</v>
      </c>
    </row>
    <row r="12" spans="1:18">
      <c r="A12" s="170">
        <v>1</v>
      </c>
      <c r="B12" s="400" t="s">
        <v>167</v>
      </c>
      <c r="C12" s="401">
        <f>Tabla45[[#This Row],[Columna3]]</f>
        <v>2016</v>
      </c>
      <c r="D12" s="428">
        <v>57.6</v>
      </c>
      <c r="E12" s="402">
        <f>Tabla45[[#This Row],[KG X MAT]]*35</f>
        <v>2016</v>
      </c>
      <c r="H12" t="s">
        <v>202</v>
      </c>
      <c r="I12" s="6"/>
      <c r="J12">
        <v>2</v>
      </c>
      <c r="M12">
        <v>2</v>
      </c>
      <c r="N12" t="s">
        <v>1320</v>
      </c>
      <c r="O12">
        <v>31.2</v>
      </c>
      <c r="P12" s="6">
        <f t="shared" si="0"/>
        <v>1341.6</v>
      </c>
      <c r="Q12">
        <f t="shared" si="1"/>
        <v>62.4</v>
      </c>
    </row>
    <row r="13" spans="1:18">
      <c r="A13" s="170">
        <v>1</v>
      </c>
      <c r="B13" s="171" t="s">
        <v>436</v>
      </c>
      <c r="C13" s="169">
        <f>Tabla45[[#This Row],[KG X MAT]]*$D$6</f>
        <v>442.90000000000003</v>
      </c>
      <c r="D13" s="428">
        <v>10.3</v>
      </c>
      <c r="E13" s="7">
        <f>Tabla45[[#This Row],[KG X MAT]]*$D$6</f>
        <v>442.90000000000003</v>
      </c>
      <c r="H13" t="s">
        <v>203</v>
      </c>
      <c r="I13" s="6"/>
      <c r="J13">
        <v>2</v>
      </c>
      <c r="M13">
        <v>2</v>
      </c>
      <c r="N13" t="s">
        <v>1321</v>
      </c>
      <c r="O13">
        <v>1.5</v>
      </c>
      <c r="P13" s="6">
        <f t="shared" si="0"/>
        <v>64.5</v>
      </c>
      <c r="Q13">
        <f t="shared" si="1"/>
        <v>3</v>
      </c>
    </row>
    <row r="14" spans="1:18">
      <c r="A14" s="170">
        <v>1</v>
      </c>
      <c r="B14" s="171" t="s">
        <v>16</v>
      </c>
      <c r="C14" s="169">
        <f>Tabla45[[#This Row],[KG X MAT]]*$D$6</f>
        <v>408.5</v>
      </c>
      <c r="D14" s="428">
        <v>9.5</v>
      </c>
      <c r="E14" s="7">
        <f>Tabla45[[#This Row],[KG X MAT]]*$D$6</f>
        <v>408.5</v>
      </c>
      <c r="H14" t="s">
        <v>204</v>
      </c>
      <c r="I14" s="6"/>
      <c r="J14">
        <v>2</v>
      </c>
      <c r="M14">
        <v>2</v>
      </c>
      <c r="N14" t="s">
        <v>1322</v>
      </c>
      <c r="O14">
        <v>27.3</v>
      </c>
      <c r="P14" s="6">
        <f t="shared" si="0"/>
        <v>1173.9000000000001</v>
      </c>
      <c r="Q14">
        <f t="shared" si="1"/>
        <v>54.6</v>
      </c>
    </row>
    <row r="15" spans="1:18">
      <c r="A15" s="170">
        <v>1</v>
      </c>
      <c r="B15" s="171" t="s">
        <v>169</v>
      </c>
      <c r="C15" s="169">
        <f>Tabla45[[#This Row],[KG X MAT]]*$D$6</f>
        <v>2113.4499999999998</v>
      </c>
      <c r="D15" s="428">
        <v>49.15</v>
      </c>
      <c r="E15" s="7">
        <f>Tabla45[[#This Row],[KG X MAT]]*$D$6</f>
        <v>2113.4499999999998</v>
      </c>
      <c r="H15" t="s">
        <v>205</v>
      </c>
      <c r="I15" s="6">
        <v>1752.76</v>
      </c>
      <c r="J15">
        <v>1</v>
      </c>
      <c r="P15" s="378"/>
      <c r="Q15" s="23">
        <f>SUM(Q8:Q14)</f>
        <v>336.8</v>
      </c>
      <c r="R15" t="s">
        <v>1323</v>
      </c>
    </row>
    <row r="16" spans="1:18">
      <c r="A16" s="170">
        <v>1</v>
      </c>
      <c r="B16" s="400" t="s">
        <v>20</v>
      </c>
      <c r="C16" s="401">
        <v>425</v>
      </c>
      <c r="D16" s="428">
        <v>53</v>
      </c>
      <c r="E16" s="402">
        <f>Tabla45[[#This Row],[KG X MAT]]*$E$6</f>
        <v>1802</v>
      </c>
      <c r="H16" t="s">
        <v>206</v>
      </c>
      <c r="I16" s="6"/>
      <c r="J16">
        <v>0.5</v>
      </c>
      <c r="Q16" s="380">
        <f>Q15*P6</f>
        <v>14482.4</v>
      </c>
      <c r="R16" s="379" t="s">
        <v>1324</v>
      </c>
    </row>
    <row r="17" spans="1:14" ht="15" thickBot="1">
      <c r="A17" s="170">
        <v>1</v>
      </c>
      <c r="B17" s="171" t="s">
        <v>24</v>
      </c>
      <c r="C17" s="169">
        <f>Tabla45[[#This Row],[KG X MAT]]*$D$6</f>
        <v>5203</v>
      </c>
      <c r="D17" s="428">
        <v>121</v>
      </c>
      <c r="E17" s="7">
        <f>Tabla45[[#This Row],[KG X MAT]]*$D$6</f>
        <v>5203</v>
      </c>
      <c r="H17" t="s">
        <v>207</v>
      </c>
      <c r="I17" s="6">
        <v>869</v>
      </c>
      <c r="J17">
        <v>1.5</v>
      </c>
    </row>
    <row r="18" spans="1:14">
      <c r="A18" s="170">
        <v>1</v>
      </c>
      <c r="B18" s="171" t="s">
        <v>25</v>
      </c>
      <c r="C18" s="169">
        <f>Tabla45[[#This Row],[KG X MAT]]*$D$6</f>
        <v>220.16</v>
      </c>
      <c r="D18" s="428">
        <v>5.12</v>
      </c>
      <c r="E18" s="7">
        <f>Tabla45[[#This Row],[KG X MAT]]*$D$6</f>
        <v>220.16</v>
      </c>
      <c r="H18" t="s">
        <v>208</v>
      </c>
      <c r="I18" s="6">
        <v>261</v>
      </c>
      <c r="J18">
        <v>0.8</v>
      </c>
      <c r="N18" s="382" t="s">
        <v>439</v>
      </c>
    </row>
    <row r="19" spans="1:14">
      <c r="A19" s="170">
        <v>1</v>
      </c>
      <c r="B19" s="357" t="s">
        <v>171</v>
      </c>
      <c r="C19" s="169">
        <f>Tabla45[[#This Row],[Columna3]]</f>
        <v>145</v>
      </c>
      <c r="D19" s="428">
        <v>145</v>
      </c>
      <c r="E19" s="358">
        <f>Tabla45[[#This Row],[KG X MAT]]*1</f>
        <v>145</v>
      </c>
      <c r="H19" t="s">
        <v>209</v>
      </c>
      <c r="I19" s="6"/>
      <c r="J19">
        <v>0.28000000000000003</v>
      </c>
      <c r="N19" s="383" t="s">
        <v>1343</v>
      </c>
    </row>
    <row r="20" spans="1:14">
      <c r="A20" s="170">
        <v>1</v>
      </c>
      <c r="B20" s="171" t="s">
        <v>437</v>
      </c>
      <c r="C20" s="169">
        <f>Tabla45[[#This Row],[KG X MAT]]*$D$6</f>
        <v>4751.5</v>
      </c>
      <c r="D20" s="428">
        <v>110.5</v>
      </c>
      <c r="E20" s="7">
        <f>Tabla45[[#This Row],[KG X MAT]]*$D$6</f>
        <v>4751.5</v>
      </c>
      <c r="H20" t="s">
        <v>210</v>
      </c>
      <c r="I20" s="6"/>
      <c r="J20">
        <v>1.4</v>
      </c>
      <c r="N20" s="383" t="s">
        <v>1344</v>
      </c>
    </row>
    <row r="21" spans="1:14">
      <c r="A21" s="172">
        <v>1</v>
      </c>
      <c r="B21" s="171" t="s">
        <v>146</v>
      </c>
      <c r="C21" s="169">
        <f>Tabla45[[#This Row],[KG X MAT]]*$D$6</f>
        <v>344</v>
      </c>
      <c r="D21" s="428">
        <v>8</v>
      </c>
      <c r="E21" s="7">
        <f>Tabla45[[#This Row],[KG X MAT]]*$D$6</f>
        <v>344</v>
      </c>
      <c r="H21" t="s">
        <v>211</v>
      </c>
      <c r="I21" s="6">
        <v>3288</v>
      </c>
      <c r="J21">
        <v>1</v>
      </c>
      <c r="N21" s="383" t="s">
        <v>1345</v>
      </c>
    </row>
    <row r="22" spans="1:14" ht="15" thickBot="1">
      <c r="A22" s="173">
        <v>1</v>
      </c>
      <c r="B22" s="171" t="s">
        <v>149</v>
      </c>
      <c r="C22" s="169">
        <f>Tabla45[[#This Row],[KG X MAT]]*$D$6</f>
        <v>266.60000000000002</v>
      </c>
      <c r="D22" s="428">
        <v>6.2</v>
      </c>
      <c r="E22" s="7">
        <f>Tabla45[[#This Row],[KG X MAT]]*$D$6</f>
        <v>266.60000000000002</v>
      </c>
      <c r="H22" t="s">
        <v>212</v>
      </c>
      <c r="I22" s="6">
        <v>100</v>
      </c>
      <c r="J22">
        <v>2.2000000000000002</v>
      </c>
      <c r="N22" s="384" t="s">
        <v>1346</v>
      </c>
    </row>
    <row r="23" spans="1:14">
      <c r="A23" s="172">
        <v>1</v>
      </c>
      <c r="B23" s="171" t="s">
        <v>438</v>
      </c>
      <c r="C23" s="169">
        <f>Tabla45[[#This Row],[KG X MAT]]*$D$6</f>
        <v>967.5</v>
      </c>
      <c r="D23" s="428">
        <v>22.5</v>
      </c>
      <c r="E23" s="7">
        <f>Tabla45[[#This Row],[KG X MAT]]*$D$6</f>
        <v>967.5</v>
      </c>
      <c r="H23" t="s">
        <v>213</v>
      </c>
      <c r="I23" s="6">
        <v>142</v>
      </c>
      <c r="J23">
        <v>2</v>
      </c>
    </row>
    <row r="24" spans="1:14">
      <c r="A24" s="174">
        <v>1</v>
      </c>
      <c r="B24" s="171" t="s">
        <v>173</v>
      </c>
      <c r="C24" s="169">
        <f>Tabla45[[#This Row],[KG X MAT]]*$D$6</f>
        <v>55.9</v>
      </c>
      <c r="D24" s="428">
        <v>1.3</v>
      </c>
      <c r="E24" s="7">
        <f>Tabla45[[#This Row],[KG X MAT]]*$D$6</f>
        <v>55.9</v>
      </c>
      <c r="H24" t="s">
        <v>214</v>
      </c>
      <c r="I24" s="6">
        <v>100</v>
      </c>
      <c r="J24">
        <v>2</v>
      </c>
    </row>
    <row r="25" spans="1:14">
      <c r="A25" s="170">
        <v>1</v>
      </c>
      <c r="B25" s="171" t="s">
        <v>439</v>
      </c>
      <c r="C25" s="169">
        <f>Tabla45[[#This Row],[KG X MAT]]*$D$6</f>
        <v>2322</v>
      </c>
      <c r="D25" s="428">
        <v>54</v>
      </c>
      <c r="E25" s="7">
        <f>Tabla45[[#This Row],[KG X MAT]]*$D$6</f>
        <v>2322</v>
      </c>
    </row>
    <row r="26" spans="1:14">
      <c r="A26" s="170">
        <v>1</v>
      </c>
      <c r="B26" s="171" t="s">
        <v>150</v>
      </c>
      <c r="C26" s="169">
        <f>Tabla45[[#This Row],[KG X MAT]]*$D$6</f>
        <v>709.5</v>
      </c>
      <c r="D26" s="428">
        <v>16.5</v>
      </c>
      <c r="E26" s="7">
        <f>Tabla45[[#This Row],[KG X MAT]]*$D$6</f>
        <v>709.5</v>
      </c>
    </row>
    <row r="27" spans="1:14">
      <c r="A27" s="170"/>
      <c r="B27" s="171" t="s">
        <v>1348</v>
      </c>
      <c r="C27" s="169">
        <f>Tabla45[[#This Row],[KG X MAT]]*$D$6</f>
        <v>709.5</v>
      </c>
      <c r="D27" s="428">
        <v>16.5</v>
      </c>
      <c r="E27" s="7">
        <f>Tabla45[[#This Row],[KG X MAT]]*$D$6</f>
        <v>709.5</v>
      </c>
      <c r="G27">
        <v>1</v>
      </c>
      <c r="H27" s="204" t="s">
        <v>503</v>
      </c>
      <c r="I27" s="202"/>
    </row>
    <row r="28" spans="1:14">
      <c r="A28" s="170"/>
      <c r="B28" s="171" t="s">
        <v>1311</v>
      </c>
      <c r="C28" s="169">
        <f>Tabla45[[#This Row],[KG X MAT]]*$D$6</f>
        <v>838.5</v>
      </c>
      <c r="D28" s="428">
        <v>19.5</v>
      </c>
      <c r="E28" s="7">
        <f>Tabla45[[#This Row],[KG X MAT]]*$D$6</f>
        <v>838.5</v>
      </c>
      <c r="H28" t="s">
        <v>77</v>
      </c>
      <c r="I28" t="s">
        <v>408</v>
      </c>
    </row>
    <row r="29" spans="1:14">
      <c r="A29" s="170"/>
      <c r="B29" s="171" t="s">
        <v>1349</v>
      </c>
      <c r="C29" s="169">
        <f>Tabla45[[#This Row],[KG X MAT]]*$D$6</f>
        <v>301</v>
      </c>
      <c r="D29" s="428">
        <v>7</v>
      </c>
      <c r="E29" s="7">
        <f>Tabla45[[#This Row],[KG X MAT]]*$D$6</f>
        <v>301</v>
      </c>
      <c r="H29" t="s">
        <v>218</v>
      </c>
      <c r="I29" s="6">
        <v>28998.81</v>
      </c>
    </row>
    <row r="30" spans="1:14">
      <c r="A30" s="172">
        <v>2</v>
      </c>
      <c r="B30" s="171" t="s">
        <v>174</v>
      </c>
      <c r="C30" s="169">
        <f>Tabla45[[#This Row],[KG X MAT]]*$D$6</f>
        <v>86</v>
      </c>
      <c r="D30" s="428">
        <v>2</v>
      </c>
      <c r="E30" s="7">
        <f>Tabla45[[#This Row],[KG X MAT]]*$D$6</f>
        <v>86</v>
      </c>
      <c r="H30" t="s">
        <v>219</v>
      </c>
      <c r="I30" s="6">
        <v>4400</v>
      </c>
    </row>
    <row r="31" spans="1:14">
      <c r="A31" s="170">
        <v>1</v>
      </c>
      <c r="B31" s="171" t="s">
        <v>440</v>
      </c>
      <c r="C31" s="169">
        <f>Tabla45[[#This Row],[KG X MAT]]*$D$6</f>
        <v>4224.75</v>
      </c>
      <c r="D31" s="428">
        <v>98.25</v>
      </c>
      <c r="E31" s="7">
        <f>Tabla45[[#This Row],[KG X MAT]]*$D$6</f>
        <v>4224.75</v>
      </c>
      <c r="H31" t="s">
        <v>220</v>
      </c>
      <c r="I31" s="6">
        <v>650</v>
      </c>
    </row>
    <row r="32" spans="1:14">
      <c r="A32" s="181">
        <v>1</v>
      </c>
      <c r="B32" s="91" t="s">
        <v>486</v>
      </c>
      <c r="C32" s="169">
        <f>Tabla45[[#This Row],[KG X MAT]]*$D$6</f>
        <v>5805</v>
      </c>
      <c r="D32" s="232">
        <v>135</v>
      </c>
      <c r="E32" s="7">
        <f>Tabla45[[#This Row],[KG X MAT]]*$D$6</f>
        <v>5805</v>
      </c>
      <c r="H32" t="s">
        <v>221</v>
      </c>
      <c r="I32" s="169">
        <v>23000</v>
      </c>
    </row>
    <row r="33" spans="1:9">
      <c r="A33" s="170"/>
      <c r="B33" s="171" t="s">
        <v>1370</v>
      </c>
      <c r="C33" s="169">
        <f>Tabla45[[#This Row],[KG X MAT]]*$D$6</f>
        <v>89.225000000000009</v>
      </c>
      <c r="D33" s="428">
        <v>2.0750000000000002</v>
      </c>
      <c r="E33" s="7">
        <f>Tabla45[[#This Row],[KG X MAT]]*43</f>
        <v>89.225000000000009</v>
      </c>
      <c r="H33" t="s">
        <v>48</v>
      </c>
      <c r="I33" s="6">
        <v>2300</v>
      </c>
    </row>
    <row r="34" spans="1:9">
      <c r="A34" s="170"/>
      <c r="B34" s="171" t="s">
        <v>1371</v>
      </c>
      <c r="C34" s="169">
        <f>Tabla45[[#This Row],[KG X MAT]]*$D$6</f>
        <v>655.75</v>
      </c>
      <c r="D34" s="428">
        <v>15.25</v>
      </c>
      <c r="E34" s="7">
        <f>Tabla45[[#This Row],[KG X MAT]]*43</f>
        <v>655.75</v>
      </c>
      <c r="H34" t="s">
        <v>61</v>
      </c>
      <c r="I34" s="6">
        <v>670</v>
      </c>
    </row>
    <row r="35" spans="1:9">
      <c r="A35" s="170"/>
      <c r="B35" s="171"/>
      <c r="C35" s="169"/>
      <c r="D35" s="359"/>
      <c r="E35" s="7"/>
      <c r="I35" s="6"/>
    </row>
    <row r="36" spans="1:9">
      <c r="A36" s="170"/>
      <c r="B36" s="171"/>
      <c r="C36" s="169"/>
      <c r="D36" s="359"/>
      <c r="E36" s="7"/>
      <c r="I36" s="6"/>
    </row>
    <row r="37" spans="1:9">
      <c r="A37" s="170"/>
      <c r="B37" s="171"/>
      <c r="C37" s="169"/>
      <c r="D37" s="359"/>
      <c r="E37" s="7"/>
    </row>
    <row r="38" spans="1:9">
      <c r="A38" s="170"/>
      <c r="B38" s="171"/>
      <c r="C38" s="169"/>
      <c r="D38" s="250"/>
      <c r="E38" s="7"/>
      <c r="H38" s="205" t="s">
        <v>505</v>
      </c>
      <c r="I38" s="202"/>
    </row>
    <row r="39" spans="1:9">
      <c r="A39" s="91"/>
      <c r="B39" s="91"/>
      <c r="C39" s="169"/>
      <c r="H39" t="s">
        <v>77</v>
      </c>
      <c r="I39" s="2" t="s">
        <v>408</v>
      </c>
    </row>
    <row r="40" spans="1:9">
      <c r="A40" s="543" t="s">
        <v>441</v>
      </c>
      <c r="B40" s="543"/>
      <c r="C40" s="543"/>
      <c r="H40" t="s">
        <v>53</v>
      </c>
      <c r="I40" s="6">
        <v>550</v>
      </c>
    </row>
    <row r="41" spans="1:9">
      <c r="A41" s="2" t="s">
        <v>1368</v>
      </c>
      <c r="B41" s="161" t="s">
        <v>77</v>
      </c>
      <c r="C41" s="161" t="s">
        <v>408</v>
      </c>
      <c r="H41" t="s">
        <v>222</v>
      </c>
      <c r="I41" s="6">
        <v>1295</v>
      </c>
    </row>
    <row r="42" spans="1:9">
      <c r="A42" s="170">
        <v>1.2</v>
      </c>
      <c r="B42" s="171" t="s">
        <v>28</v>
      </c>
      <c r="C42" s="175">
        <v>136</v>
      </c>
      <c r="H42" t="s">
        <v>223</v>
      </c>
      <c r="I42" s="6">
        <v>1500</v>
      </c>
    </row>
    <row r="43" spans="1:9">
      <c r="A43" s="170">
        <v>1</v>
      </c>
      <c r="B43" s="176" t="s">
        <v>178</v>
      </c>
      <c r="C43" s="175">
        <v>20137</v>
      </c>
      <c r="E43" s="7"/>
      <c r="H43" t="s">
        <v>224</v>
      </c>
      <c r="I43" s="6">
        <v>300</v>
      </c>
    </row>
    <row r="44" spans="1:9">
      <c r="A44" s="170">
        <v>5</v>
      </c>
      <c r="B44" s="171" t="s">
        <v>442</v>
      </c>
      <c r="C44" s="175">
        <v>6482</v>
      </c>
      <c r="D44" s="360"/>
      <c r="H44" t="s">
        <v>225</v>
      </c>
      <c r="I44" s="6">
        <v>700</v>
      </c>
    </row>
    <row r="45" spans="1:9">
      <c r="A45" s="170">
        <v>2</v>
      </c>
      <c r="B45" s="171" t="s">
        <v>1365</v>
      </c>
      <c r="C45" s="175">
        <v>5060.5600000000004</v>
      </c>
      <c r="H45" t="s">
        <v>226</v>
      </c>
      <c r="I45" s="6">
        <v>350</v>
      </c>
    </row>
    <row r="46" spans="1:9">
      <c r="A46" s="170">
        <v>4.2</v>
      </c>
      <c r="B46" s="171" t="s">
        <v>443</v>
      </c>
      <c r="C46" s="175">
        <v>33.332999999999998</v>
      </c>
      <c r="H46" t="s">
        <v>227</v>
      </c>
      <c r="I46" s="6">
        <v>0</v>
      </c>
    </row>
    <row r="47" spans="1:9">
      <c r="A47" s="170">
        <v>8</v>
      </c>
      <c r="B47" s="171" t="s">
        <v>444</v>
      </c>
      <c r="C47" s="175">
        <v>799</v>
      </c>
      <c r="H47" t="s">
        <v>228</v>
      </c>
      <c r="I47" s="6">
        <v>0</v>
      </c>
    </row>
    <row r="48" spans="1:9">
      <c r="A48" s="170" t="s">
        <v>1369</v>
      </c>
      <c r="B48" s="171" t="s">
        <v>445</v>
      </c>
      <c r="C48" s="175">
        <v>266.22500000000002</v>
      </c>
      <c r="H48" t="s">
        <v>68</v>
      </c>
      <c r="I48" s="6">
        <v>2500</v>
      </c>
    </row>
    <row r="49" spans="1:11">
      <c r="A49" s="170">
        <v>1.2</v>
      </c>
      <c r="B49" s="171" t="s">
        <v>1300</v>
      </c>
      <c r="C49" s="177">
        <v>140</v>
      </c>
    </row>
    <row r="50" spans="1:11">
      <c r="A50" s="170">
        <v>1.5</v>
      </c>
      <c r="B50" s="171" t="s">
        <v>1367</v>
      </c>
      <c r="C50" s="177">
        <v>43</v>
      </c>
      <c r="H50" s="205" t="s">
        <v>506</v>
      </c>
      <c r="I50" s="202"/>
    </row>
    <row r="51" spans="1:11">
      <c r="A51" s="170">
        <v>1.2</v>
      </c>
      <c r="B51" s="171" t="s">
        <v>446</v>
      </c>
      <c r="C51" s="177">
        <v>59</v>
      </c>
      <c r="H51" s="6" t="s">
        <v>77</v>
      </c>
      <c r="I51" s="206" t="s">
        <v>408</v>
      </c>
      <c r="K51" s="7"/>
    </row>
    <row r="52" spans="1:11">
      <c r="A52" s="170">
        <v>1.2</v>
      </c>
      <c r="B52" s="385" t="s">
        <v>1364</v>
      </c>
      <c r="C52" s="177">
        <v>172.072</v>
      </c>
      <c r="H52" s="6" t="s">
        <v>229</v>
      </c>
      <c r="I52" s="6">
        <v>2146</v>
      </c>
    </row>
    <row r="53" spans="1:11">
      <c r="A53" s="170">
        <v>1.2</v>
      </c>
      <c r="B53" s="171" t="s">
        <v>447</v>
      </c>
      <c r="C53" s="177">
        <v>67.462000000000003</v>
      </c>
      <c r="H53" s="6" t="s">
        <v>230</v>
      </c>
      <c r="I53" s="6">
        <v>2146</v>
      </c>
    </row>
    <row r="54" spans="1:11">
      <c r="A54" s="170">
        <v>2.2000000000000002</v>
      </c>
      <c r="B54" s="171" t="s">
        <v>1376</v>
      </c>
      <c r="C54" s="177">
        <v>43</v>
      </c>
      <c r="H54" s="6" t="s">
        <v>231</v>
      </c>
      <c r="I54" s="6">
        <v>986</v>
      </c>
    </row>
    <row r="55" spans="1:11">
      <c r="A55" s="170">
        <v>1.2</v>
      </c>
      <c r="B55" s="171" t="s">
        <v>1299</v>
      </c>
      <c r="C55" s="177">
        <v>203.40600000000001</v>
      </c>
    </row>
    <row r="56" spans="1:11">
      <c r="A56" s="170">
        <v>2.1</v>
      </c>
      <c r="B56" s="171" t="s">
        <v>1366</v>
      </c>
      <c r="C56" s="177">
        <v>116.39</v>
      </c>
      <c r="H56" s="205" t="s">
        <v>507</v>
      </c>
      <c r="I56" s="202"/>
    </row>
    <row r="57" spans="1:11">
      <c r="A57" s="170">
        <v>1.2</v>
      </c>
      <c r="B57" s="171" t="s">
        <v>448</v>
      </c>
      <c r="C57" s="177">
        <v>183.4</v>
      </c>
      <c r="H57" t="s">
        <v>77</v>
      </c>
      <c r="I57" s="2" t="s">
        <v>408</v>
      </c>
    </row>
    <row r="58" spans="1:11">
      <c r="A58" s="170"/>
      <c r="B58" s="171"/>
      <c r="C58" s="177"/>
      <c r="H58" t="s">
        <v>65</v>
      </c>
      <c r="I58" s="6">
        <v>6000</v>
      </c>
    </row>
    <row r="59" spans="1:11">
      <c r="A59" s="170"/>
      <c r="B59" s="171"/>
      <c r="C59" s="177"/>
    </row>
    <row r="60" spans="1:11">
      <c r="H60" s="205" t="s">
        <v>508</v>
      </c>
      <c r="I60" s="202"/>
    </row>
    <row r="61" spans="1:11">
      <c r="A61" s="170"/>
      <c r="B61" s="171"/>
      <c r="C61" s="177"/>
      <c r="H61" t="s">
        <v>77</v>
      </c>
      <c r="I61" s="2" t="s">
        <v>408</v>
      </c>
    </row>
    <row r="62" spans="1:11">
      <c r="A62" s="546" t="s">
        <v>89</v>
      </c>
      <c r="B62" s="546"/>
      <c r="C62" s="546"/>
      <c r="H62" t="s">
        <v>232</v>
      </c>
      <c r="I62" s="6">
        <v>278.39999999999998</v>
      </c>
    </row>
    <row r="63" spans="1:11">
      <c r="A63" s="91" t="s">
        <v>50</v>
      </c>
      <c r="B63" s="166" t="s">
        <v>77</v>
      </c>
      <c r="C63" s="166" t="s">
        <v>408</v>
      </c>
    </row>
    <row r="64" spans="1:11">
      <c r="A64" s="170">
        <v>1</v>
      </c>
      <c r="B64" s="171" t="s">
        <v>189</v>
      </c>
      <c r="C64" s="169">
        <v>577</v>
      </c>
    </row>
    <row r="65" spans="1:9">
      <c r="A65" s="179">
        <v>1</v>
      </c>
      <c r="B65" s="171" t="s">
        <v>190</v>
      </c>
      <c r="C65" s="175">
        <f>1215*1.16</f>
        <v>1409.3999999999999</v>
      </c>
      <c r="H65" s="205" t="s">
        <v>509</v>
      </c>
      <c r="I65" s="202"/>
    </row>
    <row r="66" spans="1:9">
      <c r="A66" s="180">
        <v>1</v>
      </c>
      <c r="B66" s="171" t="s">
        <v>46</v>
      </c>
      <c r="C66" s="175">
        <f>2100*1.16</f>
        <v>2436</v>
      </c>
      <c r="H66" s="6" t="s">
        <v>77</v>
      </c>
      <c r="I66" s="206" t="s">
        <v>408</v>
      </c>
    </row>
    <row r="67" spans="1:9">
      <c r="A67" s="180">
        <v>1</v>
      </c>
      <c r="B67" s="171" t="s">
        <v>449</v>
      </c>
      <c r="C67" s="175">
        <f>800*1.16</f>
        <v>927.99999999999989</v>
      </c>
      <c r="H67" s="6" t="s">
        <v>233</v>
      </c>
      <c r="I67" s="6">
        <v>1500</v>
      </c>
    </row>
    <row r="68" spans="1:9">
      <c r="A68" s="170">
        <v>1</v>
      </c>
      <c r="B68" s="171" t="s">
        <v>48</v>
      </c>
      <c r="C68" s="175">
        <f>932*1.16</f>
        <v>1081.1199999999999</v>
      </c>
      <c r="H68" s="6" t="s">
        <v>234</v>
      </c>
      <c r="I68" s="6">
        <v>8000</v>
      </c>
    </row>
    <row r="69" spans="1:9">
      <c r="A69" s="249">
        <v>1</v>
      </c>
      <c r="B69" s="171" t="s">
        <v>450</v>
      </c>
      <c r="C69" s="175">
        <f>265*1.16</f>
        <v>307.39999999999998</v>
      </c>
      <c r="H69" s="6" t="s">
        <v>163</v>
      </c>
      <c r="I69" s="28">
        <v>15000</v>
      </c>
    </row>
    <row r="70" spans="1:9">
      <c r="A70" s="170">
        <v>1</v>
      </c>
      <c r="B70" s="171" t="s">
        <v>451</v>
      </c>
      <c r="C70" s="175"/>
    </row>
    <row r="71" spans="1:9">
      <c r="A71" s="170"/>
      <c r="B71" s="171" t="s">
        <v>496</v>
      </c>
      <c r="C71" s="175">
        <v>0</v>
      </c>
    </row>
    <row r="72" spans="1:9">
      <c r="A72" s="172"/>
      <c r="B72" s="171"/>
      <c r="C72" s="175"/>
      <c r="H72" s="205" t="s">
        <v>510</v>
      </c>
      <c r="I72" s="202"/>
    </row>
    <row r="73" spans="1:9">
      <c r="A73" s="543" t="s">
        <v>452</v>
      </c>
      <c r="B73" s="543"/>
      <c r="C73" s="543"/>
      <c r="H73" t="s">
        <v>77</v>
      </c>
      <c r="I73" s="2" t="s">
        <v>408</v>
      </c>
    </row>
    <row r="74" spans="1:9">
      <c r="A74" s="91" t="s">
        <v>490</v>
      </c>
      <c r="B74" s="166" t="s">
        <v>77</v>
      </c>
      <c r="C74" s="166" t="s">
        <v>408</v>
      </c>
      <c r="H74" t="s">
        <v>235</v>
      </c>
      <c r="I74" s="6">
        <v>300</v>
      </c>
    </row>
    <row r="75" spans="1:9">
      <c r="A75" s="189">
        <v>1</v>
      </c>
      <c r="B75" s="171" t="s">
        <v>453</v>
      </c>
      <c r="C75" s="169">
        <v>23000</v>
      </c>
      <c r="H75" t="s">
        <v>236</v>
      </c>
      <c r="I75" s="6">
        <v>800</v>
      </c>
    </row>
    <row r="76" spans="1:9">
      <c r="A76" s="170">
        <v>1</v>
      </c>
      <c r="B76" s="171" t="s">
        <v>454</v>
      </c>
      <c r="C76" s="175">
        <v>27000</v>
      </c>
      <c r="H76" t="s">
        <v>237</v>
      </c>
      <c r="I76" s="6">
        <v>2000</v>
      </c>
    </row>
    <row r="77" spans="1:9">
      <c r="A77" s="91"/>
      <c r="B77" s="91"/>
      <c r="C77" s="169"/>
      <c r="H77" t="s">
        <v>0</v>
      </c>
      <c r="I77" s="6">
        <v>15000</v>
      </c>
    </row>
    <row r="78" spans="1:9">
      <c r="A78" s="543" t="s">
        <v>455</v>
      </c>
      <c r="B78" s="543"/>
      <c r="C78" s="543"/>
      <c r="H78" t="s">
        <v>238</v>
      </c>
      <c r="I78" s="6">
        <v>300</v>
      </c>
    </row>
    <row r="79" spans="1:9">
      <c r="A79" s="91" t="s">
        <v>50</v>
      </c>
      <c r="B79" s="166" t="s">
        <v>77</v>
      </c>
      <c r="C79" s="166" t="s">
        <v>408</v>
      </c>
      <c r="H79" t="s">
        <v>239</v>
      </c>
      <c r="I79" s="6">
        <v>1200</v>
      </c>
    </row>
    <row r="80" spans="1:9">
      <c r="A80" s="172">
        <v>5</v>
      </c>
      <c r="B80" s="171" t="s">
        <v>456</v>
      </c>
      <c r="C80" s="175">
        <v>23118</v>
      </c>
    </row>
    <row r="81" spans="1:9">
      <c r="A81" s="201">
        <v>5</v>
      </c>
      <c r="B81" s="91" t="s">
        <v>457</v>
      </c>
      <c r="C81" s="169">
        <v>23118</v>
      </c>
    </row>
    <row r="82" spans="1:9">
      <c r="A82" s="91"/>
      <c r="B82" s="91" t="s">
        <v>458</v>
      </c>
      <c r="C82" s="169">
        <v>35844</v>
      </c>
    </row>
    <row r="83" spans="1:9">
      <c r="A83" s="91"/>
      <c r="B83" s="91" t="s">
        <v>459</v>
      </c>
      <c r="C83" s="169"/>
      <c r="H83" s="205" t="s">
        <v>511</v>
      </c>
      <c r="I83" s="202"/>
    </row>
    <row r="84" spans="1:9">
      <c r="A84" s="91"/>
      <c r="B84" s="91" t="s">
        <v>460</v>
      </c>
      <c r="C84" s="169">
        <v>43700</v>
      </c>
      <c r="H84" t="s">
        <v>77</v>
      </c>
      <c r="I84" s="2" t="s">
        <v>408</v>
      </c>
    </row>
    <row r="85" spans="1:9">
      <c r="A85" s="91"/>
      <c r="B85" s="91" t="s">
        <v>2398</v>
      </c>
      <c r="C85" s="169">
        <f>24550*1.16</f>
        <v>28477.999999999996</v>
      </c>
      <c r="H85" t="s">
        <v>1403</v>
      </c>
      <c r="I85" s="6">
        <v>21800</v>
      </c>
    </row>
    <row r="86" spans="1:9">
      <c r="A86" s="91"/>
      <c r="B86" s="91"/>
      <c r="C86" s="169"/>
    </row>
    <row r="87" spans="1:9">
      <c r="A87" s="543" t="s">
        <v>41</v>
      </c>
      <c r="B87" s="543"/>
      <c r="C87" s="543"/>
    </row>
    <row r="88" spans="1:9">
      <c r="A88" s="91" t="s">
        <v>50</v>
      </c>
      <c r="B88" s="166" t="s">
        <v>77</v>
      </c>
      <c r="C88" s="166" t="s">
        <v>408</v>
      </c>
    </row>
    <row r="89" spans="1:9">
      <c r="A89" s="190">
        <v>2</v>
      </c>
      <c r="B89" s="91" t="s">
        <v>217</v>
      </c>
      <c r="C89" s="169">
        <f>19165*1.16</f>
        <v>22231.399999999998</v>
      </c>
    </row>
    <row r="90" spans="1:9">
      <c r="A90" s="201">
        <v>2</v>
      </c>
      <c r="B90" s="91" t="s">
        <v>461</v>
      </c>
      <c r="C90" s="169">
        <v>20099.990000000002</v>
      </c>
      <c r="E90" s="7"/>
    </row>
    <row r="91" spans="1:9">
      <c r="A91" s="91"/>
      <c r="B91" s="91"/>
      <c r="C91" s="169"/>
    </row>
    <row r="92" spans="1:9">
      <c r="A92" s="543" t="s">
        <v>367</v>
      </c>
      <c r="B92" s="543"/>
      <c r="C92" s="543"/>
    </row>
    <row r="93" spans="1:9">
      <c r="A93" s="91" t="s">
        <v>50</v>
      </c>
      <c r="B93" s="166" t="s">
        <v>77</v>
      </c>
      <c r="C93" s="166" t="s">
        <v>408</v>
      </c>
    </row>
    <row r="94" spans="1:9">
      <c r="A94" s="190">
        <v>2</v>
      </c>
      <c r="B94" s="91" t="s">
        <v>462</v>
      </c>
      <c r="C94" s="169">
        <v>13461.4</v>
      </c>
    </row>
    <row r="95" spans="1:9">
      <c r="A95" s="91">
        <v>4</v>
      </c>
      <c r="B95" s="91" t="s">
        <v>463</v>
      </c>
      <c r="C95" s="169">
        <v>5798.81</v>
      </c>
    </row>
    <row r="96" spans="1:9">
      <c r="A96" s="91">
        <v>1</v>
      </c>
      <c r="B96" s="91" t="s">
        <v>464</v>
      </c>
      <c r="C96" s="169">
        <v>5336</v>
      </c>
    </row>
    <row r="97" spans="1:6">
      <c r="A97" s="91"/>
      <c r="B97" s="91"/>
      <c r="C97" s="169"/>
    </row>
    <row r="98" spans="1:6">
      <c r="A98" s="91"/>
      <c r="B98" s="91"/>
      <c r="C98" s="169"/>
    </row>
    <row r="99" spans="1:6">
      <c r="A99" s="91"/>
      <c r="B99" s="91"/>
      <c r="C99" s="169"/>
    </row>
    <row r="100" spans="1:6">
      <c r="A100" s="543" t="s">
        <v>68</v>
      </c>
      <c r="B100" s="543"/>
      <c r="C100" s="543"/>
      <c r="F100" s="7"/>
    </row>
    <row r="101" spans="1:6">
      <c r="A101" s="91" t="s">
        <v>50</v>
      </c>
      <c r="B101" s="166" t="s">
        <v>77</v>
      </c>
      <c r="C101" s="166" t="s">
        <v>408</v>
      </c>
    </row>
    <row r="102" spans="1:6">
      <c r="A102" s="170">
        <v>1</v>
      </c>
      <c r="B102" s="171" t="s">
        <v>51</v>
      </c>
      <c r="C102" s="175">
        <v>905</v>
      </c>
    </row>
    <row r="103" spans="1:6">
      <c r="A103" s="170">
        <v>1</v>
      </c>
      <c r="B103" s="171" t="s">
        <v>52</v>
      </c>
      <c r="C103" s="175">
        <v>945</v>
      </c>
    </row>
    <row r="104" spans="1:6">
      <c r="A104" s="170">
        <v>1</v>
      </c>
      <c r="B104" s="171" t="s">
        <v>53</v>
      </c>
      <c r="C104" s="175">
        <f>550*1.16</f>
        <v>638</v>
      </c>
    </row>
    <row r="105" spans="1:6">
      <c r="A105" s="170">
        <v>1</v>
      </c>
      <c r="B105" s="171" t="s">
        <v>54</v>
      </c>
      <c r="C105" s="175">
        <v>82</v>
      </c>
    </row>
    <row r="106" spans="1:6">
      <c r="A106" s="170">
        <v>1</v>
      </c>
      <c r="B106" s="171" t="s">
        <v>465</v>
      </c>
      <c r="C106" s="175">
        <f>40*1.16</f>
        <v>46.4</v>
      </c>
    </row>
    <row r="107" spans="1:6">
      <c r="A107" s="170">
        <v>1</v>
      </c>
      <c r="B107" s="171" t="s">
        <v>56</v>
      </c>
      <c r="C107" s="175">
        <f>65*1.16</f>
        <v>75.399999999999991</v>
      </c>
    </row>
    <row r="108" spans="1:6">
      <c r="A108" s="170">
        <v>1</v>
      </c>
      <c r="B108" s="171" t="s">
        <v>57</v>
      </c>
      <c r="C108" s="175">
        <f>35*1.16</f>
        <v>40.599999999999994</v>
      </c>
    </row>
    <row r="109" spans="1:6">
      <c r="A109" s="170">
        <v>1</v>
      </c>
      <c r="B109" s="171" t="s">
        <v>58</v>
      </c>
      <c r="C109" s="175">
        <f>90*1.16</f>
        <v>104.39999999999999</v>
      </c>
    </row>
    <row r="110" spans="1:6">
      <c r="A110" s="170">
        <v>1</v>
      </c>
      <c r="B110" s="171" t="s">
        <v>59</v>
      </c>
      <c r="C110" s="175">
        <f>20*1.16</f>
        <v>23.2</v>
      </c>
    </row>
    <row r="111" spans="1:6">
      <c r="A111" s="170">
        <v>1</v>
      </c>
      <c r="B111" s="171" t="s">
        <v>245</v>
      </c>
      <c r="C111" s="431">
        <v>827</v>
      </c>
    </row>
    <row r="112" spans="1:6">
      <c r="A112" s="170">
        <v>1</v>
      </c>
      <c r="B112" s="171" t="s">
        <v>61</v>
      </c>
      <c r="C112" s="175">
        <v>670</v>
      </c>
    </row>
    <row r="113" spans="1:7">
      <c r="A113" s="170">
        <v>1</v>
      </c>
      <c r="B113" s="171" t="s">
        <v>244</v>
      </c>
      <c r="C113" s="169">
        <f>345*1.16</f>
        <v>400.2</v>
      </c>
    </row>
    <row r="114" spans="1:7">
      <c r="A114" s="170">
        <v>1</v>
      </c>
      <c r="B114" s="171" t="s">
        <v>66</v>
      </c>
      <c r="C114" s="175">
        <v>8939.64</v>
      </c>
    </row>
    <row r="115" spans="1:7">
      <c r="A115" s="170">
        <v>1</v>
      </c>
      <c r="B115" s="171" t="s">
        <v>67</v>
      </c>
      <c r="C115" s="175">
        <v>2000</v>
      </c>
    </row>
    <row r="116" spans="1:7">
      <c r="A116" s="170">
        <v>1</v>
      </c>
      <c r="B116" s="171" t="s">
        <v>68</v>
      </c>
      <c r="C116" s="175">
        <v>2500</v>
      </c>
    </row>
    <row r="117" spans="1:7">
      <c r="A117" s="170"/>
      <c r="B117" s="171"/>
      <c r="C117" s="175"/>
    </row>
    <row r="118" spans="1:7">
      <c r="A118" s="91"/>
      <c r="B118" s="91"/>
      <c r="C118" s="169"/>
    </row>
    <row r="119" spans="1:7">
      <c r="A119" s="544" t="s">
        <v>370</v>
      </c>
      <c r="B119" s="544"/>
      <c r="C119" s="544"/>
    </row>
    <row r="120" spans="1:7">
      <c r="A120" s="91" t="s">
        <v>50</v>
      </c>
      <c r="B120" s="166" t="s">
        <v>77</v>
      </c>
      <c r="C120" s="166" t="s">
        <v>408</v>
      </c>
    </row>
    <row r="121" spans="1:7">
      <c r="A121" s="193">
        <v>3</v>
      </c>
      <c r="B121" s="171" t="s">
        <v>62</v>
      </c>
      <c r="C121" s="175">
        <v>2552</v>
      </c>
      <c r="E121">
        <f>1100*2.32</f>
        <v>2552</v>
      </c>
    </row>
    <row r="122" spans="1:7">
      <c r="A122" s="170">
        <v>1</v>
      </c>
      <c r="B122" s="171" t="s">
        <v>1179</v>
      </c>
      <c r="C122" s="175">
        <v>22000</v>
      </c>
    </row>
    <row r="123" spans="1:7">
      <c r="A123" s="170">
        <v>1</v>
      </c>
      <c r="B123" s="171" t="s">
        <v>1180</v>
      </c>
      <c r="C123" s="175">
        <v>22000</v>
      </c>
    </row>
    <row r="124" spans="1:7">
      <c r="A124" s="170">
        <v>1</v>
      </c>
      <c r="B124" s="171" t="s">
        <v>2190</v>
      </c>
      <c r="C124" s="431">
        <v>35000</v>
      </c>
    </row>
    <row r="125" spans="1:7">
      <c r="A125" s="170"/>
      <c r="B125" s="171" t="s">
        <v>1419</v>
      </c>
      <c r="C125" s="175">
        <v>36182.720000000001</v>
      </c>
    </row>
    <row r="126" spans="1:7">
      <c r="A126" s="170">
        <v>1</v>
      </c>
      <c r="B126" s="171" t="s">
        <v>425</v>
      </c>
      <c r="C126" s="175">
        <v>28224</v>
      </c>
    </row>
    <row r="127" spans="1:7">
      <c r="A127" s="170">
        <v>1</v>
      </c>
      <c r="B127" s="91" t="s">
        <v>1182</v>
      </c>
      <c r="C127" s="169">
        <v>50000</v>
      </c>
      <c r="G127" s="430"/>
    </row>
    <row r="128" spans="1:7">
      <c r="A128" s="170">
        <v>1</v>
      </c>
      <c r="B128" s="91" t="s">
        <v>1183</v>
      </c>
      <c r="C128" s="169">
        <v>63500</v>
      </c>
    </row>
    <row r="129" spans="1:5">
      <c r="A129" s="170"/>
      <c r="B129" s="171" t="s">
        <v>1142</v>
      </c>
      <c r="C129" s="175"/>
    </row>
    <row r="130" spans="1:5">
      <c r="A130" s="170">
        <v>1</v>
      </c>
      <c r="B130" s="171" t="s">
        <v>1148</v>
      </c>
      <c r="C130" s="175">
        <v>22000</v>
      </c>
    </row>
    <row r="131" spans="1:5">
      <c r="A131" s="91"/>
      <c r="B131" s="91"/>
      <c r="C131" s="169"/>
    </row>
    <row r="132" spans="1:5">
      <c r="A132" s="544" t="s">
        <v>371</v>
      </c>
      <c r="B132" s="544"/>
      <c r="C132" s="544"/>
    </row>
    <row r="133" spans="1:5">
      <c r="A133" s="91" t="s">
        <v>50</v>
      </c>
      <c r="B133" s="166" t="s">
        <v>77</v>
      </c>
      <c r="C133" s="166" t="s">
        <v>408</v>
      </c>
      <c r="D133" t="s">
        <v>490</v>
      </c>
    </row>
    <row r="134" spans="1:5">
      <c r="A134" s="192">
        <v>3</v>
      </c>
      <c r="B134" s="182" t="s">
        <v>2131</v>
      </c>
      <c r="C134" s="183">
        <f>11189*1.16</f>
        <v>12979.24</v>
      </c>
    </row>
    <row r="135" spans="1:5">
      <c r="A135" s="181">
        <v>1</v>
      </c>
      <c r="B135" s="182" t="s">
        <v>2130</v>
      </c>
      <c r="C135" s="183">
        <f>18873*1.16</f>
        <v>21892.68</v>
      </c>
    </row>
    <row r="136" spans="1:5">
      <c r="A136" s="181">
        <v>1</v>
      </c>
      <c r="B136" s="182" t="s">
        <v>2129</v>
      </c>
      <c r="C136" s="183">
        <v>6948.4</v>
      </c>
    </row>
    <row r="137" spans="1:5">
      <c r="A137" s="181"/>
      <c r="B137" s="182" t="s">
        <v>401</v>
      </c>
      <c r="C137" s="183"/>
    </row>
    <row r="138" spans="1:5">
      <c r="A138" s="181"/>
      <c r="B138" s="182" t="s">
        <v>123</v>
      </c>
      <c r="C138" s="183"/>
    </row>
    <row r="139" spans="1:5">
      <c r="A139" s="91"/>
      <c r="B139" s="91"/>
      <c r="C139" s="169"/>
    </row>
    <row r="140" spans="1:5">
      <c r="A140" s="545" t="s">
        <v>91</v>
      </c>
      <c r="B140" s="545"/>
      <c r="C140" s="545"/>
    </row>
    <row r="141" spans="1:5">
      <c r="A141" s="91" t="s">
        <v>50</v>
      </c>
      <c r="B141" s="166" t="s">
        <v>77</v>
      </c>
      <c r="C141" s="166" t="s">
        <v>408</v>
      </c>
      <c r="D141" t="s">
        <v>490</v>
      </c>
      <c r="E141" t="s">
        <v>1293</v>
      </c>
    </row>
    <row r="142" spans="1:5">
      <c r="A142" s="181">
        <v>1</v>
      </c>
      <c r="B142" s="185" t="s">
        <v>473</v>
      </c>
      <c r="C142" s="186">
        <v>15000</v>
      </c>
      <c r="E142" s="7">
        <f>Tabla47[[#This Row],[Columna1]]*$D$6</f>
        <v>0</v>
      </c>
    </row>
    <row r="143" spans="1:5">
      <c r="A143" s="181"/>
      <c r="B143" s="185" t="s">
        <v>474</v>
      </c>
      <c r="C143" s="186">
        <v>10000</v>
      </c>
      <c r="E143" s="7">
        <f>Tabla47[[#This Row],[Columna1]]*$D$6</f>
        <v>0</v>
      </c>
    </row>
    <row r="144" spans="1:5">
      <c r="A144" s="91"/>
      <c r="B144" s="91" t="s">
        <v>475</v>
      </c>
      <c r="C144" s="427">
        <v>461</v>
      </c>
      <c r="E144" s="7">
        <f>Tabla47[[#This Row],[Columna1]]*$D$6</f>
        <v>0</v>
      </c>
    </row>
    <row r="145" spans="1:5">
      <c r="A145" s="181"/>
      <c r="B145" t="s">
        <v>487</v>
      </c>
      <c r="C145">
        <v>0</v>
      </c>
      <c r="E145" s="7">
        <f>Tabla47[[#This Row],[Columna1]]*$D$6</f>
        <v>0</v>
      </c>
    </row>
    <row r="146" spans="1:5">
      <c r="A146" s="181"/>
      <c r="D146" s="7"/>
      <c r="E146" s="7">
        <f>Tabla47[[#This Row],[Columna1]]*$D$6</f>
        <v>0</v>
      </c>
    </row>
    <row r="147" spans="1:5">
      <c r="A147" s="181"/>
    </row>
    <row r="148" spans="1:5">
      <c r="A148" s="91"/>
      <c r="B148" s="91"/>
      <c r="C148" s="169"/>
    </row>
    <row r="149" spans="1:5">
      <c r="A149">
        <v>5</v>
      </c>
      <c r="B149" s="194" t="s">
        <v>154</v>
      </c>
      <c r="C149" s="194"/>
    </row>
    <row r="150" spans="1:5">
      <c r="A150" s="91" t="s">
        <v>50</v>
      </c>
      <c r="B150" s="166" t="s">
        <v>77</v>
      </c>
      <c r="C150" s="166" t="s">
        <v>408</v>
      </c>
    </row>
    <row r="151" spans="1:5">
      <c r="A151" s="181">
        <v>1</v>
      </c>
      <c r="B151" s="91" t="s">
        <v>476</v>
      </c>
      <c r="C151" s="186">
        <v>35000</v>
      </c>
    </row>
    <row r="152" spans="1:5">
      <c r="A152" s="181">
        <v>1</v>
      </c>
      <c r="B152" s="91" t="s">
        <v>2518</v>
      </c>
      <c r="C152" s="186">
        <v>35500</v>
      </c>
    </row>
    <row r="153" spans="1:5">
      <c r="A153" s="181">
        <v>1</v>
      </c>
      <c r="B153" s="91" t="s">
        <v>477</v>
      </c>
      <c r="C153" s="186">
        <v>36000</v>
      </c>
    </row>
    <row r="154" spans="1:5">
      <c r="A154" s="181">
        <v>1</v>
      </c>
      <c r="B154" s="91" t="s">
        <v>2289</v>
      </c>
      <c r="C154" s="186">
        <v>42000</v>
      </c>
    </row>
    <row r="155" spans="1:5">
      <c r="A155" s="181"/>
      <c r="B155" s="91" t="s">
        <v>399</v>
      </c>
      <c r="C155" s="186" t="s">
        <v>123</v>
      </c>
    </row>
    <row r="156" spans="1:5">
      <c r="A156" s="181"/>
      <c r="B156" s="91"/>
      <c r="C156" s="186"/>
    </row>
    <row r="157" spans="1:5">
      <c r="A157" s="181"/>
      <c r="B157" s="91"/>
      <c r="C157" s="186"/>
    </row>
    <row r="158" spans="1:5">
      <c r="A158" s="195">
        <v>16</v>
      </c>
      <c r="B158" s="184" t="s">
        <v>374</v>
      </c>
      <c r="C158" s="195"/>
    </row>
    <row r="159" spans="1:5">
      <c r="A159" s="91" t="s">
        <v>50</v>
      </c>
      <c r="B159" s="166" t="s">
        <v>77</v>
      </c>
      <c r="C159" s="166" t="s">
        <v>408</v>
      </c>
      <c r="D159" t="s">
        <v>1484</v>
      </c>
    </row>
    <row r="160" spans="1:5">
      <c r="A160" s="181">
        <v>2</v>
      </c>
      <c r="B160" s="91" t="s">
        <v>1516</v>
      </c>
      <c r="C160" s="169">
        <v>6160</v>
      </c>
      <c r="D160" s="2"/>
    </row>
    <row r="161" spans="1:5">
      <c r="A161" s="181"/>
      <c r="B161" s="91" t="s">
        <v>1577</v>
      </c>
      <c r="C161" s="169">
        <v>6891</v>
      </c>
      <c r="D161" s="406"/>
    </row>
    <row r="162" spans="1:5">
      <c r="A162" s="181">
        <v>1</v>
      </c>
      <c r="B162" s="91" t="s">
        <v>2401</v>
      </c>
      <c r="C162" s="169">
        <v>7500</v>
      </c>
      <c r="D162" s="2">
        <f>Tabla49[[#This Row],[$ C/U]]/48</f>
        <v>156.25</v>
      </c>
    </row>
    <row r="163" spans="1:5">
      <c r="A163" s="187">
        <v>1</v>
      </c>
      <c r="B163" s="91" t="s">
        <v>2413</v>
      </c>
      <c r="C163" s="169">
        <v>11750</v>
      </c>
      <c r="D163" s="2">
        <f>Tabla49[[#This Row],[$ C/U]]/48</f>
        <v>244.79166666666666</v>
      </c>
    </row>
    <row r="164" spans="1:5">
      <c r="A164" s="181">
        <v>17</v>
      </c>
      <c r="B164" s="91" t="s">
        <v>480</v>
      </c>
      <c r="C164" s="169">
        <v>7536</v>
      </c>
      <c r="D164" s="2"/>
    </row>
    <row r="165" spans="1:5">
      <c r="A165" s="187">
        <v>1</v>
      </c>
      <c r="B165" s="91" t="s">
        <v>481</v>
      </c>
      <c r="C165" s="169">
        <v>8800</v>
      </c>
      <c r="D165" s="2"/>
    </row>
    <row r="166" spans="1:5">
      <c r="A166" s="187">
        <v>1</v>
      </c>
      <c r="B166" s="91" t="s">
        <v>2517</v>
      </c>
      <c r="C166" s="169">
        <v>10000</v>
      </c>
      <c r="D166" s="2">
        <f>Tabla49[[#This Row],[$ C/U]]/48</f>
        <v>208.33333333333334</v>
      </c>
    </row>
    <row r="167" spans="1:5">
      <c r="A167" s="187">
        <v>1</v>
      </c>
      <c r="B167" s="91" t="s">
        <v>2413</v>
      </c>
      <c r="C167" s="169">
        <v>11750</v>
      </c>
      <c r="D167" s="2">
        <f>Tabla49[[#This Row],[$ C/U]]/48</f>
        <v>244.79166666666666</v>
      </c>
    </row>
    <row r="168" spans="1:5">
      <c r="A168" s="187">
        <v>1</v>
      </c>
      <c r="B168" s="91" t="s">
        <v>482</v>
      </c>
      <c r="C168" s="169">
        <v>7680</v>
      </c>
      <c r="D168" s="2"/>
    </row>
    <row r="169" spans="1:5">
      <c r="A169" s="187">
        <v>1</v>
      </c>
      <c r="B169" s="91" t="s">
        <v>2523</v>
      </c>
      <c r="C169" s="169">
        <v>7250</v>
      </c>
      <c r="D169" s="2">
        <f>Tabla49[[#This Row],[$ C/U]]/48</f>
        <v>151.04166666666666</v>
      </c>
    </row>
    <row r="170" spans="1:5">
      <c r="A170" s="187">
        <v>1</v>
      </c>
      <c r="B170" s="91" t="s">
        <v>2525</v>
      </c>
      <c r="C170" s="169">
        <v>8700</v>
      </c>
      <c r="D170" s="2">
        <f>Tabla49[[#This Row],[$ C/U]]/48</f>
        <v>181.25</v>
      </c>
    </row>
    <row r="171" spans="1:5">
      <c r="A171" s="181">
        <v>1</v>
      </c>
      <c r="B171" s="91" t="s">
        <v>1485</v>
      </c>
      <c r="C171" s="169">
        <v>5800</v>
      </c>
      <c r="D171" s="2">
        <v>120</v>
      </c>
    </row>
    <row r="172" spans="1:5">
      <c r="B172" s="91" t="s">
        <v>1198</v>
      </c>
      <c r="C172" s="169">
        <v>6240</v>
      </c>
      <c r="D172" s="2"/>
    </row>
    <row r="173" spans="1:5">
      <c r="B173" s="91" t="s">
        <v>2358</v>
      </c>
      <c r="C173" s="169">
        <f>Tabla49[[#This Row],[KG]]*D6</f>
        <v>4515</v>
      </c>
      <c r="D173" s="2">
        <v>105</v>
      </c>
    </row>
    <row r="174" spans="1:5">
      <c r="B174" s="91" t="s">
        <v>1410</v>
      </c>
      <c r="C174" s="169">
        <f>Tabla49[[#This Row],[KG]]*D6</f>
        <v>5891</v>
      </c>
      <c r="D174" s="2">
        <v>137</v>
      </c>
    </row>
    <row r="175" spans="1:5">
      <c r="B175" s="91" t="s">
        <v>402</v>
      </c>
      <c r="C175" s="169"/>
      <c r="D175" s="2">
        <f>Tabla49[[#This Row],[$ C/U]]/48</f>
        <v>0</v>
      </c>
      <c r="E175" s="7"/>
    </row>
    <row r="176" spans="1:5">
      <c r="B176" s="91"/>
      <c r="C176" s="169"/>
      <c r="D176" s="2"/>
    </row>
    <row r="178" spans="1:7">
      <c r="A178" s="196">
        <v>1</v>
      </c>
      <c r="B178" s="178" t="s">
        <v>484</v>
      </c>
      <c r="C178" s="196"/>
    </row>
    <row r="179" spans="1:7">
      <c r="A179" s="91" t="s">
        <v>50</v>
      </c>
      <c r="B179" s="166" t="s">
        <v>77</v>
      </c>
      <c r="C179" s="166" t="s">
        <v>408</v>
      </c>
    </row>
    <row r="180" spans="1:7">
      <c r="A180" s="181">
        <v>5</v>
      </c>
      <c r="B180" s="91" t="s">
        <v>157</v>
      </c>
      <c r="C180" s="169">
        <v>1391.97</v>
      </c>
    </row>
    <row r="181" spans="1:7">
      <c r="A181" s="244">
        <v>4</v>
      </c>
      <c r="B181" s="91" t="s">
        <v>158</v>
      </c>
      <c r="C181" s="169">
        <v>4268.8</v>
      </c>
    </row>
    <row r="182" spans="1:7">
      <c r="A182" s="181">
        <v>4</v>
      </c>
      <c r="B182" s="91" t="s">
        <v>489</v>
      </c>
      <c r="C182" s="169"/>
      <c r="G182" s="1"/>
    </row>
    <row r="183" spans="1:7">
      <c r="A183" s="181"/>
      <c r="B183" s="91" t="s">
        <v>421</v>
      </c>
      <c r="C183" s="169"/>
      <c r="G183" s="1"/>
    </row>
    <row r="184" spans="1:7">
      <c r="A184" s="91"/>
      <c r="B184" s="91"/>
      <c r="C184" s="169"/>
      <c r="G184" s="1"/>
    </row>
    <row r="185" spans="1:7">
      <c r="A185" s="196">
        <v>6</v>
      </c>
      <c r="B185" s="178" t="s">
        <v>340</v>
      </c>
      <c r="C185" s="196"/>
      <c r="G185" s="1"/>
    </row>
    <row r="186" spans="1:7">
      <c r="A186" s="91" t="s">
        <v>50</v>
      </c>
      <c r="B186" s="166" t="s">
        <v>77</v>
      </c>
      <c r="C186" s="166" t="s">
        <v>408</v>
      </c>
      <c r="G186" s="1"/>
    </row>
    <row r="187" spans="1:7">
      <c r="A187" s="201">
        <v>9</v>
      </c>
      <c r="B187" s="91" t="s">
        <v>415</v>
      </c>
      <c r="C187" s="188">
        <v>3586</v>
      </c>
      <c r="G187" s="1"/>
    </row>
    <row r="188" spans="1:7">
      <c r="A188" s="91">
        <v>10</v>
      </c>
      <c r="B188" s="91" t="s">
        <v>416</v>
      </c>
      <c r="C188" s="188">
        <v>8790</v>
      </c>
      <c r="G188" s="1"/>
    </row>
    <row r="189" spans="1:7">
      <c r="A189" s="91">
        <v>1</v>
      </c>
      <c r="B189" s="91" t="s">
        <v>417</v>
      </c>
      <c r="C189" s="188">
        <v>5600</v>
      </c>
      <c r="G189" s="1"/>
    </row>
    <row r="190" spans="1:7">
      <c r="A190" s="91">
        <v>1</v>
      </c>
      <c r="B190" s="91" t="s">
        <v>418</v>
      </c>
      <c r="C190" s="188">
        <v>11750</v>
      </c>
      <c r="G190" s="1"/>
    </row>
    <row r="191" spans="1:7">
      <c r="A191" s="91"/>
      <c r="B191" s="91" t="s">
        <v>2402</v>
      </c>
      <c r="C191" s="188">
        <v>5400</v>
      </c>
      <c r="G191" s="1"/>
    </row>
    <row r="192" spans="1:7">
      <c r="A192" s="91">
        <v>1</v>
      </c>
      <c r="B192" s="91" t="s">
        <v>419</v>
      </c>
      <c r="C192" s="188">
        <v>4000</v>
      </c>
      <c r="G192" s="1"/>
    </row>
    <row r="193" spans="1:7">
      <c r="A193" s="91">
        <v>1</v>
      </c>
      <c r="B193" s="91" t="s">
        <v>420</v>
      </c>
      <c r="C193" s="188">
        <v>3581</v>
      </c>
      <c r="G193" s="1"/>
    </row>
    <row r="194" spans="1:7">
      <c r="A194" s="91"/>
      <c r="B194" s="91" t="s">
        <v>1494</v>
      </c>
      <c r="C194" s="188">
        <v>5400.01</v>
      </c>
      <c r="G194" s="1"/>
    </row>
    <row r="195" spans="1:7">
      <c r="A195" s="91">
        <v>1</v>
      </c>
      <c r="B195" s="91" t="s">
        <v>159</v>
      </c>
      <c r="C195" s="188"/>
      <c r="G195" s="1"/>
    </row>
    <row r="196" spans="1:7">
      <c r="A196" s="91"/>
      <c r="B196" s="91" t="s">
        <v>123</v>
      </c>
      <c r="C196" s="169"/>
      <c r="G196" s="1"/>
    </row>
    <row r="197" spans="1:7">
      <c r="G197" s="1"/>
    </row>
    <row r="198" spans="1:7">
      <c r="A198" s="181"/>
      <c r="C198" s="169"/>
      <c r="G198" s="1"/>
    </row>
    <row r="199" spans="1:7">
      <c r="E199" s="1"/>
    </row>
    <row r="200" spans="1:7">
      <c r="D200" s="1"/>
      <c r="E200" s="1"/>
    </row>
    <row r="201" spans="1:7">
      <c r="A201" s="223" t="s">
        <v>490</v>
      </c>
      <c r="B201" s="223" t="s">
        <v>429</v>
      </c>
      <c r="C201" s="223" t="s">
        <v>408</v>
      </c>
      <c r="D201" s="1"/>
      <c r="E201" s="1"/>
    </row>
    <row r="202" spans="1:7">
      <c r="A202">
        <v>6</v>
      </c>
      <c r="B202" s="91" t="s">
        <v>1431</v>
      </c>
      <c r="C202" s="6">
        <v>6000</v>
      </c>
      <c r="D202" s="1"/>
      <c r="E202" s="1"/>
    </row>
    <row r="203" spans="1:7">
      <c r="A203">
        <v>1</v>
      </c>
      <c r="B203" s="91" t="s">
        <v>1427</v>
      </c>
      <c r="C203" s="6">
        <v>10000</v>
      </c>
      <c r="D203" s="1"/>
      <c r="E203" s="1"/>
    </row>
    <row r="204" spans="1:7">
      <c r="A204">
        <v>4</v>
      </c>
      <c r="B204" s="91" t="s">
        <v>404</v>
      </c>
      <c r="C204" s="6">
        <v>9500</v>
      </c>
      <c r="D204" s="1"/>
    </row>
    <row r="205" spans="1:7">
      <c r="A205">
        <v>27</v>
      </c>
      <c r="B205" s="91" t="s">
        <v>1569</v>
      </c>
      <c r="C205" s="6">
        <v>5000</v>
      </c>
      <c r="D205" s="1"/>
    </row>
    <row r="206" spans="1:7">
      <c r="A206">
        <v>9</v>
      </c>
      <c r="B206" s="91" t="s">
        <v>1495</v>
      </c>
      <c r="C206" s="6">
        <v>3500</v>
      </c>
      <c r="D206" s="1"/>
    </row>
    <row r="207" spans="1:7">
      <c r="A207">
        <v>28</v>
      </c>
      <c r="B207" s="91" t="s">
        <v>407</v>
      </c>
      <c r="C207" s="6">
        <v>8000</v>
      </c>
      <c r="D207" s="1"/>
    </row>
    <row r="208" spans="1:7">
      <c r="A208">
        <v>28</v>
      </c>
      <c r="B208" t="s">
        <v>1024</v>
      </c>
      <c r="C208" s="6">
        <v>400</v>
      </c>
      <c r="D208" s="1"/>
    </row>
    <row r="209" spans="1:6">
      <c r="A209">
        <v>10</v>
      </c>
      <c r="B209" s="91" t="s">
        <v>1025</v>
      </c>
      <c r="C209" s="6">
        <v>400</v>
      </c>
      <c r="D209" s="1"/>
      <c r="E209">
        <v>10</v>
      </c>
      <c r="F209" s="7">
        <f>Tabla53[[#This Row],[$ C/U]]*E209</f>
        <v>4000</v>
      </c>
    </row>
    <row r="210" spans="1:6">
      <c r="A210">
        <v>10</v>
      </c>
      <c r="B210" s="91" t="s">
        <v>1527</v>
      </c>
      <c r="C210" s="6">
        <v>168.2</v>
      </c>
      <c r="D210" s="1"/>
    </row>
    <row r="211" spans="1:6">
      <c r="B211" s="91" t="s">
        <v>1528</v>
      </c>
      <c r="C211" s="6">
        <v>168.2</v>
      </c>
      <c r="D211" s="1"/>
    </row>
    <row r="212" spans="1:6">
      <c r="A212">
        <v>28</v>
      </c>
      <c r="B212" t="s">
        <v>771</v>
      </c>
      <c r="C212" s="6">
        <v>3250</v>
      </c>
      <c r="D212" s="1"/>
    </row>
    <row r="213" spans="1:6">
      <c r="B213" s="91" t="s">
        <v>772</v>
      </c>
      <c r="C213" s="6">
        <v>8000</v>
      </c>
      <c r="D213" s="1"/>
    </row>
    <row r="214" spans="1:6">
      <c r="B214" s="91" t="s">
        <v>1017</v>
      </c>
      <c r="C214" s="6"/>
      <c r="D214" s="1"/>
    </row>
    <row r="215" spans="1:6">
      <c r="B215" s="91" t="s">
        <v>2412</v>
      </c>
      <c r="C215" s="6">
        <v>1500</v>
      </c>
      <c r="D215" s="1"/>
    </row>
    <row r="216" spans="1:6">
      <c r="B216" s="91" t="s">
        <v>1023</v>
      </c>
      <c r="C216" s="6"/>
      <c r="D216" s="1"/>
    </row>
    <row r="217" spans="1:6">
      <c r="B217" s="91" t="s">
        <v>1026</v>
      </c>
      <c r="C217" s="6">
        <v>874</v>
      </c>
      <c r="D217" s="1"/>
    </row>
    <row r="218" spans="1:6">
      <c r="B218" s="91" t="s">
        <v>1401</v>
      </c>
      <c r="C218" s="6">
        <v>20000</v>
      </c>
      <c r="D218" s="1"/>
    </row>
    <row r="219" spans="1:6">
      <c r="B219" s="91" t="s">
        <v>70</v>
      </c>
      <c r="C219" s="6">
        <v>3768</v>
      </c>
      <c r="D219" s="1"/>
    </row>
    <row r="220" spans="1:6">
      <c r="B220" s="91" t="s">
        <v>1034</v>
      </c>
      <c r="C220" s="6">
        <v>6000</v>
      </c>
      <c r="D220" s="1"/>
    </row>
    <row r="221" spans="1:6">
      <c r="B221" s="91" t="s">
        <v>1357</v>
      </c>
      <c r="C221" s="28"/>
      <c r="D221" s="1"/>
    </row>
    <row r="222" spans="1:6">
      <c r="B222" s="91" t="s">
        <v>1248</v>
      </c>
      <c r="C222" s="6">
        <v>1450</v>
      </c>
    </row>
    <row r="223" spans="1:6">
      <c r="B223" s="91" t="s">
        <v>1247</v>
      </c>
      <c r="C223" s="6">
        <v>50000</v>
      </c>
    </row>
    <row r="224" spans="1:6">
      <c r="B224" s="91" t="s">
        <v>1035</v>
      </c>
      <c r="C224" s="6"/>
    </row>
    <row r="225" spans="1:3">
      <c r="B225" s="91" t="s">
        <v>474</v>
      </c>
      <c r="C225" s="6">
        <v>14786</v>
      </c>
    </row>
    <row r="226" spans="1:3">
      <c r="B226" s="91" t="s">
        <v>1476</v>
      </c>
      <c r="C226" s="6">
        <v>1250</v>
      </c>
    </row>
    <row r="227" spans="1:3">
      <c r="B227" s="91" t="s">
        <v>1529</v>
      </c>
      <c r="C227" s="6">
        <v>168.2</v>
      </c>
    </row>
    <row r="228" spans="1:3">
      <c r="B228" s="91" t="s">
        <v>1530</v>
      </c>
      <c r="C228" s="6">
        <v>168.2</v>
      </c>
    </row>
    <row r="229" spans="1:3">
      <c r="B229" s="91" t="s">
        <v>123</v>
      </c>
      <c r="C229" s="6"/>
    </row>
    <row r="236" spans="1:3">
      <c r="A236">
        <v>10</v>
      </c>
      <c r="B236" s="2" t="s">
        <v>1042</v>
      </c>
    </row>
    <row r="237" spans="1:3">
      <c r="B237" t="s">
        <v>1482</v>
      </c>
    </row>
    <row r="238" spans="1:3">
      <c r="B238" t="s">
        <v>1043</v>
      </c>
    </row>
    <row r="239" spans="1:3">
      <c r="B239" t="s">
        <v>1544</v>
      </c>
    </row>
    <row r="240" spans="1:3">
      <c r="B240" t="s">
        <v>1488</v>
      </c>
    </row>
    <row r="241" spans="2:2">
      <c r="B241" t="s">
        <v>1060</v>
      </c>
    </row>
    <row r="242" spans="2:2">
      <c r="B242" t="s">
        <v>1064</v>
      </c>
    </row>
    <row r="243" spans="2:2">
      <c r="B243" t="s">
        <v>1483</v>
      </c>
    </row>
    <row r="244" spans="2:2">
      <c r="B244" t="s">
        <v>1562</v>
      </c>
    </row>
    <row r="245" spans="2:2">
      <c r="B245" t="s">
        <v>1080</v>
      </c>
    </row>
    <row r="246" spans="2:2">
      <c r="B246" t="s">
        <v>123</v>
      </c>
    </row>
  </sheetData>
  <mergeCells count="11">
    <mergeCell ref="A100:C100"/>
    <mergeCell ref="A119:C119"/>
    <mergeCell ref="A132:C132"/>
    <mergeCell ref="A140:C140"/>
    <mergeCell ref="A6:C6"/>
    <mergeCell ref="A40:C40"/>
    <mergeCell ref="A62:C62"/>
    <mergeCell ref="A87:C87"/>
    <mergeCell ref="A78:C78"/>
    <mergeCell ref="A73:C73"/>
    <mergeCell ref="A92:C92"/>
  </mergeCells>
  <phoneticPr fontId="3" type="noConversion"/>
  <pageMargins left="0.7" right="0.7" top="0.75" bottom="0.75" header="0.3" footer="0.3"/>
  <pageSetup orientation="portrait" r:id="rId1"/>
  <drawing r:id="rId2"/>
  <legacyDrawing r:id="rId3"/>
  <controls>
    <mc:AlternateContent xmlns:mc="http://schemas.openxmlformats.org/markup-compatibility/2006">
      <mc:Choice Requires="x14">
        <control shapeId="32769" r:id="rId4" name="TARIFBTON">
          <controlPr defaultSize="0" autoLine="0" r:id="rId5">
            <anchor moveWithCells="1">
              <from>
                <xdr:col>8</xdr:col>
                <xdr:colOff>30480</xdr:colOff>
                <xdr:row>0</xdr:row>
                <xdr:rowOff>60960</xdr:rowOff>
              </from>
              <to>
                <xdr:col>9</xdr:col>
                <xdr:colOff>236220</xdr:colOff>
                <xdr:row>2</xdr:row>
                <xdr:rowOff>91440</xdr:rowOff>
              </to>
            </anchor>
          </controlPr>
        </control>
      </mc:Choice>
      <mc:Fallback>
        <control shapeId="32769" r:id="rId4" name="TARIFBTON"/>
      </mc:Fallback>
    </mc:AlternateContent>
  </controls>
  <tableParts count="2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9C9C8-CF25-497E-A003-F207F81DF005}">
  <sheetPr codeName="Hoja15"/>
  <dimension ref="A4:CM202"/>
  <sheetViews>
    <sheetView showGridLines="0" zoomScaleNormal="100" workbookViewId="0">
      <selection activeCell="BH28" sqref="BH28"/>
    </sheetView>
  </sheetViews>
  <sheetFormatPr baseColWidth="10" defaultRowHeight="14.4"/>
  <cols>
    <col min="1" max="1" width="6.5546875" customWidth="1"/>
    <col min="2" max="2" width="6" hidden="1" customWidth="1"/>
    <col min="3" max="3" width="13" hidden="1" customWidth="1"/>
    <col min="4" max="4" width="7.6640625" hidden="1" customWidth="1"/>
    <col min="5" max="5" width="0.6640625" hidden="1" customWidth="1"/>
    <col min="6" max="6" width="15" hidden="1" customWidth="1"/>
    <col min="7" max="7" width="19.5546875" hidden="1" customWidth="1"/>
    <col min="8" max="8" width="15.33203125" hidden="1" customWidth="1"/>
    <col min="9" max="9" width="7.33203125" hidden="1" customWidth="1"/>
    <col min="10" max="10" width="11.44140625" hidden="1" customWidth="1"/>
    <col min="11" max="11" width="16" hidden="1" customWidth="1"/>
    <col min="12" max="12" width="11.44140625" hidden="1" customWidth="1"/>
    <col min="13" max="13" width="7.33203125" hidden="1" customWidth="1"/>
    <col min="14" max="14" width="13.6640625" hidden="1" customWidth="1"/>
    <col min="15" max="15" width="18.44140625" hidden="1" customWidth="1"/>
    <col min="16" max="16" width="15.44140625" hidden="1" customWidth="1"/>
    <col min="17" max="17" width="10.88671875" hidden="1" customWidth="1"/>
    <col min="18" max="18" width="14.88671875" hidden="1" customWidth="1"/>
    <col min="19" max="19" width="19.5546875" hidden="1" customWidth="1"/>
    <col min="20" max="20" width="15.33203125" hidden="1" customWidth="1"/>
    <col min="21" max="21" width="11.33203125" hidden="1" customWidth="1"/>
    <col min="22" max="22" width="15.5546875" hidden="1" customWidth="1"/>
    <col min="23" max="23" width="11.44140625" hidden="1" customWidth="1"/>
    <col min="24" max="24" width="5.44140625" hidden="1" customWidth="1"/>
    <col min="25" max="25" width="13.5546875" hidden="1" customWidth="1"/>
    <col min="26" max="26" width="4.33203125" hidden="1" customWidth="1"/>
    <col min="27" max="27" width="25.33203125" hidden="1" customWidth="1"/>
    <col min="28" max="28" width="13.88671875" hidden="1" customWidth="1"/>
    <col min="29" max="29" width="14.88671875" hidden="1" customWidth="1"/>
    <col min="30" max="30" width="14.44140625" hidden="1" customWidth="1"/>
    <col min="31" max="31" width="9.109375" hidden="1" customWidth="1"/>
    <col min="32" max="32" width="11.44140625" hidden="1" customWidth="1"/>
    <col min="33" max="33" width="16" hidden="1" customWidth="1"/>
    <col min="34" max="34" width="10.44140625" hidden="1" customWidth="1"/>
    <col min="35" max="35" width="6.6640625" hidden="1" customWidth="1"/>
    <col min="36" max="36" width="11.33203125" hidden="1" customWidth="1"/>
    <col min="37" max="37" width="19.5546875" hidden="1" customWidth="1"/>
    <col min="38" max="38" width="24" hidden="1" customWidth="1"/>
    <col min="39" max="39" width="11.44140625" hidden="1" customWidth="1"/>
    <col min="40" max="40" width="14.88671875" hidden="1" customWidth="1"/>
    <col min="41" max="41" width="13.6640625" hidden="1" customWidth="1"/>
    <col min="42" max="42" width="8.88671875" hidden="1" customWidth="1"/>
    <col min="43" max="43" width="11.33203125" hidden="1" customWidth="1"/>
    <col min="44" max="44" width="16" hidden="1" customWidth="1"/>
    <col min="45" max="45" width="10.109375" hidden="1" customWidth="1"/>
    <col min="46" max="46" width="11.44140625" hidden="1" customWidth="1"/>
    <col min="47" max="47" width="12.88671875" hidden="1" customWidth="1"/>
    <col min="48" max="48" width="0.109375" hidden="1" customWidth="1"/>
    <col min="49" max="49" width="24" hidden="1" customWidth="1"/>
    <col min="50" max="50" width="10.6640625" hidden="1" customWidth="1"/>
    <col min="51" max="51" width="14.88671875" hidden="1" customWidth="1"/>
    <col min="52" max="52" width="3.44140625" hidden="1" customWidth="1"/>
    <col min="53" max="53" width="15.33203125" hidden="1" customWidth="1"/>
    <col min="54" max="54" width="11.109375" hidden="1" customWidth="1"/>
    <col min="55" max="55" width="16" hidden="1" customWidth="1"/>
    <col min="56" max="56" width="11.44140625" hidden="1" customWidth="1"/>
    <col min="57" max="57" width="8.6640625" customWidth="1"/>
    <col min="58" max="58" width="12.5546875" customWidth="1"/>
    <col min="59" max="59" width="13" customWidth="1"/>
    <col min="60" max="60" width="8" customWidth="1"/>
    <col min="61" max="61" width="10.88671875" customWidth="1"/>
    <col min="62" max="62" width="28.44140625" hidden="1" customWidth="1"/>
    <col min="80" max="80" width="14.5546875" customWidth="1"/>
    <col min="82" max="82" width="8.33203125" customWidth="1"/>
    <col min="84" max="84" width="9.5546875" customWidth="1"/>
    <col min="86" max="86" width="14.5546875" customWidth="1"/>
    <col min="87" max="87" width="13.6640625" customWidth="1"/>
    <col min="88" max="88" width="9.88671875" customWidth="1"/>
    <col min="89" max="89" width="13.5546875" customWidth="1"/>
    <col min="90" max="90" width="10.109375" customWidth="1"/>
  </cols>
  <sheetData>
    <row r="4" spans="1:91">
      <c r="A4" s="67"/>
    </row>
    <row r="5" spans="1:91">
      <c r="BW5">
        <v>12</v>
      </c>
    </row>
    <row r="6" spans="1:91">
      <c r="BW6" s="128">
        <v>12</v>
      </c>
    </row>
    <row r="7" spans="1:91">
      <c r="BF7">
        <v>2</v>
      </c>
      <c r="CB7">
        <v>1</v>
      </c>
    </row>
    <row r="8" spans="1:91">
      <c r="B8" s="50" t="s">
        <v>50</v>
      </c>
      <c r="C8" s="39" t="s">
        <v>81</v>
      </c>
      <c r="D8" s="39" t="s">
        <v>96</v>
      </c>
      <c r="E8" s="39" t="s">
        <v>77</v>
      </c>
      <c r="F8" s="39" t="s">
        <v>76</v>
      </c>
      <c r="G8" s="39" t="s">
        <v>78</v>
      </c>
      <c r="H8" s="39" t="s">
        <v>74</v>
      </c>
      <c r="I8" s="39" t="s">
        <v>73</v>
      </c>
      <c r="J8" s="39" t="s">
        <v>86</v>
      </c>
      <c r="K8" s="51" t="s">
        <v>80</v>
      </c>
      <c r="M8" s="21" t="s">
        <v>50</v>
      </c>
      <c r="N8" s="21" t="s">
        <v>81</v>
      </c>
      <c r="O8" s="21" t="s">
        <v>96</v>
      </c>
      <c r="P8" s="21" t="s">
        <v>77</v>
      </c>
      <c r="Q8" s="21" t="s">
        <v>86</v>
      </c>
      <c r="R8" s="21" t="s">
        <v>76</v>
      </c>
      <c r="S8" s="21" t="s">
        <v>78</v>
      </c>
      <c r="T8" s="21" t="s">
        <v>74</v>
      </c>
      <c r="U8" s="21" t="s">
        <v>73</v>
      </c>
      <c r="V8" s="21" t="s">
        <v>80</v>
      </c>
      <c r="X8" s="21" t="s">
        <v>50</v>
      </c>
      <c r="Y8" s="21" t="s">
        <v>81</v>
      </c>
      <c r="Z8" s="21" t="s">
        <v>96</v>
      </c>
      <c r="AA8" s="21" t="s">
        <v>77</v>
      </c>
      <c r="AB8" s="21" t="s">
        <v>76</v>
      </c>
      <c r="AC8" s="21" t="s">
        <v>78</v>
      </c>
      <c r="AD8" s="21" t="s">
        <v>74</v>
      </c>
      <c r="AE8" s="21" t="s">
        <v>73</v>
      </c>
      <c r="AF8" s="21" t="s">
        <v>86</v>
      </c>
      <c r="AG8" s="21" t="s">
        <v>80</v>
      </c>
      <c r="AI8" s="21" t="s">
        <v>50</v>
      </c>
      <c r="AJ8" s="21" t="s">
        <v>81</v>
      </c>
      <c r="AK8" s="21" t="s">
        <v>96</v>
      </c>
      <c r="AL8" s="21" t="s">
        <v>77</v>
      </c>
      <c r="AM8" s="21" t="s">
        <v>76</v>
      </c>
      <c r="AN8" s="21" t="s">
        <v>78</v>
      </c>
      <c r="AO8" s="21" t="s">
        <v>74</v>
      </c>
      <c r="AP8" s="21" t="s">
        <v>73</v>
      </c>
      <c r="AQ8" s="21" t="s">
        <v>86</v>
      </c>
      <c r="AR8" s="21" t="s">
        <v>80</v>
      </c>
      <c r="AT8" s="21" t="s">
        <v>50</v>
      </c>
      <c r="AU8" s="21" t="s">
        <v>81</v>
      </c>
      <c r="AV8" s="21" t="s">
        <v>96</v>
      </c>
      <c r="AW8" s="21" t="s">
        <v>77</v>
      </c>
      <c r="AX8" s="21" t="s">
        <v>76</v>
      </c>
      <c r="AY8" s="21" t="s">
        <v>78</v>
      </c>
      <c r="AZ8" s="21" t="s">
        <v>74</v>
      </c>
      <c r="BA8" s="21" t="s">
        <v>73</v>
      </c>
      <c r="BB8" s="21" t="s">
        <v>86</v>
      </c>
      <c r="BC8" s="21" t="s">
        <v>80</v>
      </c>
      <c r="BF8" s="21" t="s">
        <v>96</v>
      </c>
      <c r="BG8" s="21" t="s">
        <v>81</v>
      </c>
      <c r="BH8" s="21" t="s">
        <v>74</v>
      </c>
      <c r="BI8" s="21" t="s">
        <v>73</v>
      </c>
      <c r="BJ8" s="21" t="s">
        <v>493</v>
      </c>
      <c r="BK8" s="21" t="s">
        <v>283</v>
      </c>
      <c r="BL8" s="21" t="s">
        <v>291</v>
      </c>
      <c r="BM8" s="21" t="s">
        <v>296</v>
      </c>
      <c r="BN8" s="21" t="s">
        <v>285</v>
      </c>
      <c r="BO8" s="21" t="s">
        <v>324</v>
      </c>
      <c r="BP8" s="91" t="s">
        <v>310</v>
      </c>
      <c r="BQ8" s="92" t="s">
        <v>304</v>
      </c>
      <c r="BR8" s="21" t="s">
        <v>342</v>
      </c>
      <c r="BS8" s="21" t="s">
        <v>1156</v>
      </c>
      <c r="BU8" t="s">
        <v>107</v>
      </c>
      <c r="BW8" t="s">
        <v>353</v>
      </c>
      <c r="BY8" t="s">
        <v>250</v>
      </c>
      <c r="CB8" t="s">
        <v>96</v>
      </c>
      <c r="CC8" t="s">
        <v>81</v>
      </c>
      <c r="CD8" t="s">
        <v>74</v>
      </c>
      <c r="CE8" t="s">
        <v>73</v>
      </c>
      <c r="CF8" t="s">
        <v>283</v>
      </c>
      <c r="CG8" t="s">
        <v>291</v>
      </c>
      <c r="CH8" t="s">
        <v>296</v>
      </c>
      <c r="CI8" t="s">
        <v>285</v>
      </c>
      <c r="CJ8" t="s">
        <v>324</v>
      </c>
      <c r="CK8" t="s">
        <v>310</v>
      </c>
      <c r="CL8" t="s">
        <v>304</v>
      </c>
      <c r="CM8" t="s">
        <v>342</v>
      </c>
    </row>
    <row r="9" spans="1:91">
      <c r="B9" s="41">
        <v>1</v>
      </c>
      <c r="C9" s="42" t="s">
        <v>82</v>
      </c>
      <c r="D9" s="24" t="str">
        <f>CONCATENATE(ACERO1[[#This Row],[TIPO]]," ",ACERO1[[#This Row],[NUM. DE EJES]]," ",ACERO1[[#This Row],[LARGO]])</f>
        <v>PLATAFORMA 2 40 FT</v>
      </c>
      <c r="E9" s="42" t="s">
        <v>8</v>
      </c>
      <c r="F9" s="43">
        <v>2002</v>
      </c>
      <c r="G9" s="43">
        <f>PRODUCTOS!$B9*PRODUCTOS!$F9*COTIZACION!$I$135</f>
        <v>2002</v>
      </c>
      <c r="H9" s="44">
        <v>2</v>
      </c>
      <c r="I9" s="48" t="s">
        <v>75</v>
      </c>
      <c r="J9" s="44" t="s">
        <v>87</v>
      </c>
      <c r="K9" s="45"/>
      <c r="M9" s="15">
        <v>1</v>
      </c>
      <c r="N9" s="15" t="s">
        <v>82</v>
      </c>
      <c r="O9" s="15" t="str">
        <f>CONCATENATE(extras[[#This Row],[TIPO]]," ",extras[[#This Row],[NUM. DE EJES]]," ",extras[[#This Row],[LARGO]])</f>
        <v>PLATAFORMA 2 40 FT</v>
      </c>
      <c r="P9" s="15" t="s">
        <v>69</v>
      </c>
      <c r="Q9" t="s">
        <v>91</v>
      </c>
      <c r="R9" s="17">
        <v>8000</v>
      </c>
      <c r="S9" s="27">
        <f>extras[[#This Row],[PZAS]]*extras[[#This Row],[PRECIO $ C/U]]*COTIZACION!$I$135</f>
        <v>8000</v>
      </c>
      <c r="T9" s="18">
        <v>2</v>
      </c>
      <c r="U9" s="15" t="s">
        <v>75</v>
      </c>
      <c r="V9" s="15"/>
      <c r="X9" s="15">
        <v>2</v>
      </c>
      <c r="Y9" s="15" t="s">
        <v>82</v>
      </c>
      <c r="Z9" s="15" t="str">
        <f>CONCATENATE(otros[[#This Row],[TIPO]]," ",otros[[#This Row],[NUM. DE EJES]]," ",otros[[#This Row],[LARGO]])</f>
        <v>PLATAFORMA 2 40 FT</v>
      </c>
      <c r="AA9" s="15" t="s">
        <v>51</v>
      </c>
      <c r="AB9" s="17">
        <v>820</v>
      </c>
      <c r="AC9" s="27">
        <f>otros[[#This Row],[PZAS]]*otros[[#This Row],[PRECIO $ C/U]]*COTIZACION!$I$135</f>
        <v>1640</v>
      </c>
      <c r="AD9" s="18">
        <v>2</v>
      </c>
      <c r="AE9" s="15" t="s">
        <v>75</v>
      </c>
      <c r="AF9" s="16" t="s">
        <v>90</v>
      </c>
      <c r="AG9" s="15"/>
      <c r="AI9" s="15">
        <v>1</v>
      </c>
      <c r="AJ9" s="15" t="s">
        <v>82</v>
      </c>
      <c r="AK9" s="15" t="str">
        <f>CONCATENATE(piramide[[#This Row],[TIPO]]," ",piramide[[#This Row],[NUM. DE EJES]]," ",piramide[[#This Row],[LARGO]])</f>
        <v>PLATAFORMA 2 40 FT</v>
      </c>
      <c r="AL9" s="15" t="s">
        <v>28</v>
      </c>
      <c r="AM9" s="17">
        <v>736</v>
      </c>
      <c r="AN9" s="27">
        <f>piramide[[#This Row],[PZAS]]*piramide[[#This Row],[PRECIO $ C/U]]*COTIZACION!$I$135</f>
        <v>736</v>
      </c>
      <c r="AO9" s="18">
        <v>2</v>
      </c>
      <c r="AP9" s="15" t="s">
        <v>75</v>
      </c>
      <c r="AQ9" t="s">
        <v>88</v>
      </c>
      <c r="AR9" s="15"/>
      <c r="AT9" s="15">
        <v>38</v>
      </c>
      <c r="AU9" s="15" t="s">
        <v>82</v>
      </c>
      <c r="AV9" s="15" t="str">
        <f>CONCATENATE(truckzone[[#This Row],[TIPO]]," ",truckzone[[#This Row],[NUM. DE EJES]]," ",truckzone[[#This Row],[LARGO]])</f>
        <v>PLATAFORMA 2 40 FT</v>
      </c>
      <c r="AW9" s="15" t="s">
        <v>39</v>
      </c>
      <c r="AX9" s="17">
        <v>653.95000000000005</v>
      </c>
      <c r="AY9" s="27">
        <f>truckzone[[#This Row],[PZAS]]*truckzone[[#This Row],[PRECIO $ C/U]]*COTIZACION!$I$135</f>
        <v>24850.100000000002</v>
      </c>
      <c r="AZ9" s="18">
        <v>2</v>
      </c>
      <c r="BA9" s="15" t="s">
        <v>75</v>
      </c>
      <c r="BB9" s="40" t="s">
        <v>89</v>
      </c>
      <c r="BC9" s="15"/>
      <c r="BF9" s="16" t="str">
        <f>CONCATENATE(Tabla24[[#This Row],[TIPO]]," ",Tabla24[[#This Row],[NUM. DE EJES]]," ",Tabla24[[#This Row],[LARGO]])</f>
        <v>PLATAFORMA 3 40 FT</v>
      </c>
      <c r="BG9" s="34" t="s">
        <v>82</v>
      </c>
      <c r="BH9" s="34">
        <v>3</v>
      </c>
      <c r="BI9" s="34" t="s">
        <v>75</v>
      </c>
      <c r="BJ9" t="str">
        <f>_xlfn.CONCAT(Tabla24[[#This Row],[TIPO]]," ",Tabla24[[#This Row],[LARGO]]," ",Tabla24[[#This Row],[NUM. DE EJES]]," ","EJES")</f>
        <v>PLATAFORMA 40 FT 3 EJES</v>
      </c>
      <c r="BK9" s="90">
        <v>6800</v>
      </c>
      <c r="BL9" s="90">
        <v>34000</v>
      </c>
      <c r="BM9" t="s">
        <v>341</v>
      </c>
      <c r="BN9" s="90">
        <v>22353</v>
      </c>
      <c r="BO9">
        <v>12</v>
      </c>
      <c r="BP9" s="90">
        <v>17000</v>
      </c>
      <c r="BQ9" s="90">
        <v>17000</v>
      </c>
      <c r="BR9" s="102">
        <v>12.192</v>
      </c>
      <c r="BS9" s="90" t="s">
        <v>1157</v>
      </c>
      <c r="BU9">
        <v>2024</v>
      </c>
      <c r="BW9" t="s">
        <v>352</v>
      </c>
      <c r="BY9" t="s">
        <v>251</v>
      </c>
      <c r="CB9" t="s">
        <v>332</v>
      </c>
      <c r="CC9" t="s">
        <v>4</v>
      </c>
      <c r="CD9">
        <v>2</v>
      </c>
      <c r="CE9" t="s">
        <v>276</v>
      </c>
      <c r="CF9" s="90">
        <v>2500</v>
      </c>
      <c r="CG9" s="90">
        <v>34000</v>
      </c>
      <c r="CH9" t="s">
        <v>341</v>
      </c>
      <c r="CI9" s="90">
        <v>20000</v>
      </c>
      <c r="CJ9">
        <v>8</v>
      </c>
      <c r="CK9" s="90">
        <v>17000</v>
      </c>
      <c r="CL9" s="90">
        <v>17000</v>
      </c>
      <c r="CM9" s="102">
        <v>11.482900000000001</v>
      </c>
    </row>
    <row r="10" spans="1:91">
      <c r="B10" s="46">
        <v>1</v>
      </c>
      <c r="C10" s="24" t="s">
        <v>82</v>
      </c>
      <c r="D10" s="24" t="str">
        <f>CONCATENATE(ACERO1[[#This Row],[TIPO]]," ",ACERO1[[#This Row],[NUM. DE EJES]]," ",ACERO1[[#This Row],[LARGO]])</f>
        <v>PLATAFORMA 2 40 FT</v>
      </c>
      <c r="E10" s="24" t="s">
        <v>9</v>
      </c>
      <c r="F10" s="29">
        <v>2002</v>
      </c>
      <c r="G10" s="29">
        <f>PRODUCTOS!$B10*PRODUCTOS!$F10*COTIZACION!$I$135</f>
        <v>2002</v>
      </c>
      <c r="H10" s="30">
        <v>2</v>
      </c>
      <c r="I10" s="49" t="s">
        <v>75</v>
      </c>
      <c r="J10" s="30" t="s">
        <v>87</v>
      </c>
      <c r="K10" s="47"/>
      <c r="M10" s="16">
        <v>1</v>
      </c>
      <c r="N10" s="16" t="s">
        <v>82</v>
      </c>
      <c r="O10" s="16" t="str">
        <f>CONCATENATE(extras[[#This Row],[TIPO]]," ",extras[[#This Row],[NUM. DE EJES]]," ",extras[[#This Row],[LARGO]])</f>
        <v>PLATAFORMA 2 40 FT</v>
      </c>
      <c r="P10" s="16" t="s">
        <v>70</v>
      </c>
      <c r="Q10" t="s">
        <v>91</v>
      </c>
      <c r="R10" s="19">
        <v>3744</v>
      </c>
      <c r="S10" s="27">
        <f>extras[[#This Row],[PZAS]]*extras[[#This Row],[PRECIO $ C/U]]*COTIZACION!$I$135</f>
        <v>3744</v>
      </c>
      <c r="T10" s="20">
        <v>2</v>
      </c>
      <c r="U10" s="16" t="s">
        <v>75</v>
      </c>
      <c r="V10" s="16"/>
      <c r="X10" s="16">
        <v>4</v>
      </c>
      <c r="Y10" s="16" t="s">
        <v>82</v>
      </c>
      <c r="Z10" s="16" t="str">
        <f>CONCATENATE(otros[[#This Row],[TIPO]]," ",otros[[#This Row],[NUM. DE EJES]]," ",otros[[#This Row],[LARGO]])</f>
        <v>PLATAFORMA 2 40 FT</v>
      </c>
      <c r="AA10" s="16" t="s">
        <v>52</v>
      </c>
      <c r="AB10" s="19">
        <v>1295</v>
      </c>
      <c r="AC10" s="27">
        <f>otros[[#This Row],[PZAS]]*otros[[#This Row],[PRECIO $ C/U]]*COTIZACION!$I$135</f>
        <v>5180</v>
      </c>
      <c r="AD10" s="20">
        <v>2</v>
      </c>
      <c r="AE10" s="16" t="s">
        <v>75</v>
      </c>
      <c r="AF10" s="16" t="s">
        <v>90</v>
      </c>
      <c r="AG10" s="16"/>
      <c r="AI10" s="16">
        <v>1</v>
      </c>
      <c r="AJ10" s="16" t="s">
        <v>82</v>
      </c>
      <c r="AK10" s="16" t="str">
        <f>CONCATENATE(piramide[[#This Row],[TIPO]]," ",piramide[[#This Row],[NUM. DE EJES]]," ",piramide[[#This Row],[LARGO]])</f>
        <v>PLATAFORMA 2 40 FT</v>
      </c>
      <c r="AL10" s="16" t="s">
        <v>29</v>
      </c>
      <c r="AM10" s="19">
        <v>19500</v>
      </c>
      <c r="AN10" s="27">
        <f>piramide[[#This Row],[PZAS]]*piramide[[#This Row],[PRECIO $ C/U]]*COTIZACION!$I$135</f>
        <v>19500</v>
      </c>
      <c r="AO10" s="20">
        <v>2</v>
      </c>
      <c r="AP10" s="16" t="s">
        <v>75</v>
      </c>
      <c r="AQ10" t="s">
        <v>88</v>
      </c>
      <c r="AR10" s="16"/>
      <c r="AT10" s="16">
        <v>2</v>
      </c>
      <c r="AU10" s="16" t="s">
        <v>82</v>
      </c>
      <c r="AV10" s="16" t="str">
        <f>CONCATENATE(truckzone[[#This Row],[TIPO]]," ",truckzone[[#This Row],[NUM. DE EJES]]," ",truckzone[[#This Row],[LARGO]])</f>
        <v>PLATAFORMA 2 40 FT</v>
      </c>
      <c r="AW10" s="16" t="s">
        <v>40</v>
      </c>
      <c r="AX10" s="19">
        <v>22200</v>
      </c>
      <c r="AY10" s="27">
        <f>truckzone[[#This Row],[PZAS]]*truckzone[[#This Row],[PRECIO $ C/U]]*COTIZACION!$I$135</f>
        <v>44400</v>
      </c>
      <c r="AZ10" s="20">
        <v>2</v>
      </c>
      <c r="BA10" s="16" t="s">
        <v>75</v>
      </c>
      <c r="BB10" s="40" t="s">
        <v>89</v>
      </c>
      <c r="BC10" s="16"/>
      <c r="BF10" s="16" t="str">
        <f>CONCATENATE(Tabla24[[#This Row],[TIPO]]," ",Tabla24[[#This Row],[NUM. DE EJES]]," ",Tabla24[[#This Row],[LARGO]])</f>
        <v>PLATAFORMA 2 40 FT</v>
      </c>
      <c r="BG10" s="24" t="s">
        <v>82</v>
      </c>
      <c r="BH10" s="24">
        <v>2</v>
      </c>
      <c r="BI10" s="24" t="s">
        <v>75</v>
      </c>
      <c r="BJ10" t="str">
        <f>_xlfn.CONCAT(Tabla24[[#This Row],[TIPO]]," ",Tabla24[[#This Row],[LARGO]]," ",Tabla24[[#This Row],[NUM. DE EJES]]," ","EJES")</f>
        <v>PLATAFORMA 40 FT 2 EJES</v>
      </c>
      <c r="BK10" s="90"/>
      <c r="BL10" s="90"/>
      <c r="BN10" s="90"/>
      <c r="BO10">
        <v>8</v>
      </c>
      <c r="BP10" s="90"/>
      <c r="BQ10" s="90"/>
      <c r="BR10" s="102">
        <v>12.192</v>
      </c>
      <c r="BS10" s="90" t="s">
        <v>1157</v>
      </c>
      <c r="BW10" t="s">
        <v>347</v>
      </c>
      <c r="BY10" t="s">
        <v>391</v>
      </c>
    </row>
    <row r="11" spans="1:91">
      <c r="B11" s="41">
        <v>1</v>
      </c>
      <c r="C11" s="42" t="s">
        <v>82</v>
      </c>
      <c r="D11" s="24" t="str">
        <f>CONCATENATE(ACERO1[[#This Row],[TIPO]]," ",ACERO1[[#This Row],[NUM. DE EJES]]," ",ACERO1[[#This Row],[LARGO]])</f>
        <v>PLATAFORMA 2 40 FT</v>
      </c>
      <c r="E11" s="42" t="s">
        <v>10</v>
      </c>
      <c r="F11" s="43">
        <v>144</v>
      </c>
      <c r="G11" s="43">
        <f>PRODUCTOS!$B11*PRODUCTOS!$F11*COTIZACION!$I$135</f>
        <v>144</v>
      </c>
      <c r="H11" s="44">
        <v>2</v>
      </c>
      <c r="I11" s="48" t="s">
        <v>75</v>
      </c>
      <c r="J11" s="44" t="s">
        <v>87</v>
      </c>
      <c r="K11" s="45"/>
      <c r="M11" s="15">
        <v>1</v>
      </c>
      <c r="N11" s="15" t="s">
        <v>82</v>
      </c>
      <c r="O11" s="15" t="str">
        <f>CONCATENATE(extras[[#This Row],[TIPO]]," ",extras[[#This Row],[NUM. DE EJES]]," ",extras[[#This Row],[LARGO]])</f>
        <v>PLATAFORMA 2 40 FT</v>
      </c>
      <c r="P11" s="15" t="s">
        <v>131</v>
      </c>
      <c r="Q11" t="s">
        <v>91</v>
      </c>
      <c r="R11" s="17">
        <v>6340</v>
      </c>
      <c r="S11" s="27">
        <f>extras[[#This Row],[PZAS]]*extras[[#This Row],[PRECIO $ C/U]]*COTIZACION!$I$135</f>
        <v>6340</v>
      </c>
      <c r="T11" s="18">
        <v>2</v>
      </c>
      <c r="U11" s="15" t="s">
        <v>75</v>
      </c>
      <c r="V11" s="15"/>
      <c r="X11" s="15">
        <v>1</v>
      </c>
      <c r="Y11" s="15" t="s">
        <v>82</v>
      </c>
      <c r="Z11" s="15" t="str">
        <f>CONCATENATE(otros[[#This Row],[TIPO]]," ",otros[[#This Row],[NUM. DE EJES]]," ",otros[[#This Row],[LARGO]])</f>
        <v>PLATAFORMA 2 40 FT</v>
      </c>
      <c r="AA11" s="15" t="s">
        <v>53</v>
      </c>
      <c r="AB11" s="17">
        <v>550</v>
      </c>
      <c r="AC11" s="27">
        <f>otros[[#This Row],[PZAS]]*otros[[#This Row],[PRECIO $ C/U]]*COTIZACION!$I$135</f>
        <v>550</v>
      </c>
      <c r="AD11" s="18">
        <v>2</v>
      </c>
      <c r="AE11" s="15" t="s">
        <v>75</v>
      </c>
      <c r="AF11" s="16" t="s">
        <v>90</v>
      </c>
      <c r="AG11" s="15"/>
      <c r="AI11" s="15">
        <v>1</v>
      </c>
      <c r="AJ11" s="15" t="s">
        <v>82</v>
      </c>
      <c r="AK11" s="15" t="str">
        <f>CONCATENATE(piramide[[#This Row],[TIPO]]," ",piramide[[#This Row],[NUM. DE EJES]]," ",piramide[[#This Row],[LARGO]])</f>
        <v>PLATAFORMA 2 40 FT</v>
      </c>
      <c r="AL11" s="15" t="s">
        <v>30</v>
      </c>
      <c r="AM11" s="17">
        <v>3732</v>
      </c>
      <c r="AN11" s="27">
        <f>piramide[[#This Row],[PZAS]]*piramide[[#This Row],[PRECIO $ C/U]]*COTIZACION!$I$135</f>
        <v>3732</v>
      </c>
      <c r="AO11" s="18">
        <v>2</v>
      </c>
      <c r="AP11" s="15" t="s">
        <v>75</v>
      </c>
      <c r="AQ11" t="s">
        <v>88</v>
      </c>
      <c r="AR11" s="15"/>
      <c r="AT11" s="15">
        <v>2</v>
      </c>
      <c r="AU11" s="15" t="s">
        <v>82</v>
      </c>
      <c r="AV11" s="15" t="str">
        <f>CONCATENATE(truckzone[[#This Row],[TIPO]]," ",truckzone[[#This Row],[NUM. DE EJES]]," ",truckzone[[#This Row],[LARGO]])</f>
        <v>PLATAFORMA 2 40 FT</v>
      </c>
      <c r="AW11" s="15" t="s">
        <v>41</v>
      </c>
      <c r="AX11" s="17">
        <v>23200</v>
      </c>
      <c r="AY11" s="27">
        <f>truckzone[[#This Row],[PZAS]]*truckzone[[#This Row],[PRECIO $ C/U]]*COTIZACION!$I$135</f>
        <v>46400</v>
      </c>
      <c r="AZ11" s="18">
        <v>2</v>
      </c>
      <c r="BA11" s="15" t="s">
        <v>75</v>
      </c>
      <c r="BB11" s="40" t="s">
        <v>89</v>
      </c>
      <c r="BC11" s="15"/>
      <c r="BF11" s="24" t="str">
        <f>CONCATENATE(Tabla24[[#This Row],[TIPO]]," ",Tabla24[[#This Row],[NUM. DE EJES]]," ",Tabla24[[#This Row],[LARGO]])</f>
        <v>PLATAFORMA 2 45 FT</v>
      </c>
      <c r="BG11" s="24" t="s">
        <v>82</v>
      </c>
      <c r="BH11" s="24">
        <v>2</v>
      </c>
      <c r="BI11" s="24" t="s">
        <v>165</v>
      </c>
      <c r="BJ11" t="str">
        <f>_xlfn.CONCAT(Tabla24[[#This Row],[TIPO]]," ",Tabla24[[#This Row],[LARGO]]," ",Tabla24[[#This Row],[NUM. DE EJES]]," ","EJES")</f>
        <v>PLATAFORMA 45 FT 2 EJES</v>
      </c>
      <c r="BK11" s="90"/>
      <c r="BL11" s="90"/>
      <c r="BN11" s="90"/>
      <c r="BO11">
        <v>8</v>
      </c>
      <c r="BP11" s="90"/>
      <c r="BQ11" s="90"/>
      <c r="BR11" s="102">
        <v>13.715999999999999</v>
      </c>
      <c r="BS11" s="90" t="s">
        <v>1157</v>
      </c>
      <c r="BW11" t="s">
        <v>350</v>
      </c>
      <c r="BY11" t="s">
        <v>392</v>
      </c>
    </row>
    <row r="12" spans="1:91">
      <c r="B12" s="46">
        <v>2</v>
      </c>
      <c r="C12" s="24" t="s">
        <v>82</v>
      </c>
      <c r="D12" s="24" t="str">
        <f>CONCATENATE(ACERO1[[#This Row],[TIPO]]," ",ACERO1[[#This Row],[NUM. DE EJES]]," ",ACERO1[[#This Row],[LARGO]])</f>
        <v>PLATAFORMA 2 40 FT</v>
      </c>
      <c r="E12" s="24" t="s">
        <v>11</v>
      </c>
      <c r="F12" s="29">
        <v>204</v>
      </c>
      <c r="G12" s="29">
        <f>PRODUCTOS!$B12*PRODUCTOS!$F12*COTIZACION!$I$135</f>
        <v>408</v>
      </c>
      <c r="H12" s="30">
        <v>2</v>
      </c>
      <c r="I12" s="49" t="s">
        <v>75</v>
      </c>
      <c r="J12" s="30" t="s">
        <v>87</v>
      </c>
      <c r="K12" s="47"/>
      <c r="M12" s="16">
        <v>1</v>
      </c>
      <c r="N12" s="16" t="s">
        <v>82</v>
      </c>
      <c r="O12" s="16" t="str">
        <f>CONCATENATE(extras[[#This Row],[TIPO]]," ",extras[[#This Row],[NUM. DE EJES]]," ",extras[[#This Row],[LARGO]])</f>
        <v>PLATAFORMA 2 40 FT</v>
      </c>
      <c r="P12" s="16" t="s">
        <v>72</v>
      </c>
      <c r="Q12" t="s">
        <v>91</v>
      </c>
      <c r="R12" s="19">
        <v>6336</v>
      </c>
      <c r="S12" s="27">
        <f>extras[[#This Row],[PZAS]]*extras[[#This Row],[PRECIO $ C/U]]*COTIZACION!$I$135</f>
        <v>6336</v>
      </c>
      <c r="T12" s="20">
        <v>2</v>
      </c>
      <c r="U12" s="16" t="s">
        <v>75</v>
      </c>
      <c r="V12" s="16"/>
      <c r="X12" s="16">
        <v>2</v>
      </c>
      <c r="Y12" s="16" t="s">
        <v>82</v>
      </c>
      <c r="Z12" s="16" t="str">
        <f>CONCATENATE(otros[[#This Row],[TIPO]]," ",otros[[#This Row],[NUM. DE EJES]]," ",otros[[#This Row],[LARGO]])</f>
        <v>PLATAFORMA 2 40 FT</v>
      </c>
      <c r="AA12" s="16" t="s">
        <v>54</v>
      </c>
      <c r="AB12" s="19">
        <v>150</v>
      </c>
      <c r="AC12" s="27">
        <f>otros[[#This Row],[PZAS]]*otros[[#This Row],[PRECIO $ C/U]]*COTIZACION!$I$135</f>
        <v>300</v>
      </c>
      <c r="AD12" s="20">
        <v>2</v>
      </c>
      <c r="AE12" s="16" t="s">
        <v>75</v>
      </c>
      <c r="AF12" s="16" t="s">
        <v>90</v>
      </c>
      <c r="AG12" s="16"/>
      <c r="AI12" s="16">
        <v>4</v>
      </c>
      <c r="AJ12" s="16" t="s">
        <v>82</v>
      </c>
      <c r="AK12" s="16" t="str">
        <f>CONCATENATE(piramide[[#This Row],[TIPO]]," ",piramide[[#This Row],[NUM. DE EJES]]," ",piramide[[#This Row],[LARGO]])</f>
        <v>PLATAFORMA 2 40 FT</v>
      </c>
      <c r="AL12" s="16" t="s">
        <v>31</v>
      </c>
      <c r="AM12" s="19">
        <v>7650</v>
      </c>
      <c r="AN12" s="27">
        <f>piramide[[#This Row],[PZAS]]*piramide[[#This Row],[PRECIO $ C/U]]*COTIZACION!$I$135</f>
        <v>30600</v>
      </c>
      <c r="AO12" s="20">
        <v>2</v>
      </c>
      <c r="AP12" s="16" t="s">
        <v>75</v>
      </c>
      <c r="AQ12" t="s">
        <v>88</v>
      </c>
      <c r="AR12" s="16"/>
      <c r="AT12" s="16">
        <v>1</v>
      </c>
      <c r="AU12" s="16" t="s">
        <v>82</v>
      </c>
      <c r="AV12" s="16" t="str">
        <f>CONCATENATE(truckzone[[#This Row],[TIPO]]," ",truckzone[[#This Row],[NUM. DE EJES]]," ",truckzone[[#This Row],[LARGO]])</f>
        <v>PLATAFORMA 2 40 FT</v>
      </c>
      <c r="AW12" s="16" t="s">
        <v>42</v>
      </c>
      <c r="AX12" s="19">
        <v>27000</v>
      </c>
      <c r="AY12" s="27">
        <f>truckzone[[#This Row],[PZAS]]*truckzone[[#This Row],[PRECIO $ C/U]]*COTIZACION!$I$135</f>
        <v>27000</v>
      </c>
      <c r="AZ12" s="20">
        <v>2</v>
      </c>
      <c r="BA12" s="16" t="s">
        <v>75</v>
      </c>
      <c r="BB12" s="40" t="s">
        <v>89</v>
      </c>
      <c r="BC12" s="16"/>
      <c r="BF12" s="24" t="str">
        <f>CONCATENATE(Tabla24[[#This Row],[TIPO]]," ",Tabla24[[#This Row],[NUM. DE EJES]]," ",Tabla24[[#This Row],[LARGO]])</f>
        <v>PLATAFORMA 3 48 FT</v>
      </c>
      <c r="BG12" t="s">
        <v>82</v>
      </c>
      <c r="BH12" s="24">
        <v>3</v>
      </c>
      <c r="BI12" s="24" t="s">
        <v>176</v>
      </c>
      <c r="BJ12" t="str">
        <f>_xlfn.CONCAT(Tabla24[[#This Row],[TIPO]]," ",Tabla24[[#This Row],[LARGO]]," ",Tabla24[[#This Row],[NUM. DE EJES]]," ","EJES")</f>
        <v>PLATAFORMA 48 FT 3 EJES</v>
      </c>
      <c r="BK12" s="90"/>
      <c r="BL12" s="90"/>
      <c r="BN12" s="90"/>
      <c r="BO12">
        <v>12</v>
      </c>
      <c r="BP12" s="90"/>
      <c r="BQ12" s="90"/>
      <c r="BR12" s="102">
        <v>14.63</v>
      </c>
      <c r="BS12" s="90" t="s">
        <v>1157</v>
      </c>
      <c r="BW12" t="s">
        <v>354</v>
      </c>
      <c r="BY12" t="s">
        <v>393</v>
      </c>
    </row>
    <row r="13" spans="1:91">
      <c r="B13" s="46">
        <v>1</v>
      </c>
      <c r="C13" s="24" t="s">
        <v>82</v>
      </c>
      <c r="D13" s="24" t="str">
        <f>CONCATENATE(ACERO1[[#This Row],[TIPO]]," ",ACERO1[[#This Row],[NUM. DE EJES]]," ",ACERO1[[#This Row],[LARGO]])</f>
        <v>PLATAFORMA 2 40 FT</v>
      </c>
      <c r="E13" s="24" t="s">
        <v>13</v>
      </c>
      <c r="F13" s="29">
        <v>416</v>
      </c>
      <c r="G13" s="29">
        <f>PRODUCTOS!$B13*PRODUCTOS!$F13*COTIZACION!$I$135</f>
        <v>416</v>
      </c>
      <c r="H13" s="30">
        <v>2</v>
      </c>
      <c r="I13" s="49" t="s">
        <v>75</v>
      </c>
      <c r="J13" s="30" t="s">
        <v>87</v>
      </c>
      <c r="K13" s="47"/>
      <c r="M13">
        <v>1</v>
      </c>
      <c r="N13" t="s">
        <v>82</v>
      </c>
      <c r="O13" s="16" t="str">
        <f>CONCATENATE(extras[[#This Row],[TIPO]]," ",extras[[#This Row],[NUM. DE EJES]]," ",extras[[#This Row],[LARGO]])</f>
        <v>PLATAFORMA 2 40 FT</v>
      </c>
      <c r="P13" t="s">
        <v>133</v>
      </c>
      <c r="Q13" t="s">
        <v>91</v>
      </c>
      <c r="R13" s="26">
        <v>2300</v>
      </c>
      <c r="S13" s="27">
        <f>extras[[#This Row],[PZAS]]*extras[[#This Row],[PRECIO $ C/U]]*COTIZACION!$I$135</f>
        <v>2300</v>
      </c>
      <c r="T13" s="1">
        <v>2</v>
      </c>
      <c r="U13" t="s">
        <v>75</v>
      </c>
      <c r="X13" s="16">
        <v>2</v>
      </c>
      <c r="Y13" s="16" t="s">
        <v>82</v>
      </c>
      <c r="Z13" s="16" t="str">
        <f>CONCATENATE(otros[[#This Row],[TIPO]]," ",otros[[#This Row],[NUM. DE EJES]]," ",otros[[#This Row],[LARGO]])</f>
        <v>PLATAFORMA 2 40 FT</v>
      </c>
      <c r="AA13" s="16" t="s">
        <v>56</v>
      </c>
      <c r="AB13" s="19">
        <v>145</v>
      </c>
      <c r="AC13" s="27">
        <f>otros[[#This Row],[PZAS]]*otros[[#This Row],[PRECIO $ C/U]]*COTIZACION!$I$135</f>
        <v>290</v>
      </c>
      <c r="AD13" s="20">
        <v>2</v>
      </c>
      <c r="AE13" s="16" t="s">
        <v>75</v>
      </c>
      <c r="AF13" s="16" t="s">
        <v>90</v>
      </c>
      <c r="AG13" s="16"/>
      <c r="AI13" s="16">
        <v>0.4</v>
      </c>
      <c r="AJ13" s="16" t="s">
        <v>82</v>
      </c>
      <c r="AK13" s="16" t="str">
        <f>CONCATENATE(piramide[[#This Row],[TIPO]]," ",piramide[[#This Row],[NUM. DE EJES]]," ",piramide[[#This Row],[LARGO]])</f>
        <v>PLATAFORMA 2 40 FT</v>
      </c>
      <c r="AL13" s="16" t="s">
        <v>33</v>
      </c>
      <c r="AM13" s="19">
        <v>6326</v>
      </c>
      <c r="AN13" s="27">
        <f>piramide[[#This Row],[PZAS]]*piramide[[#This Row],[PRECIO $ C/U]]*COTIZACION!$I$135</f>
        <v>2530.4</v>
      </c>
      <c r="AO13" s="20">
        <v>2</v>
      </c>
      <c r="AP13" s="16" t="s">
        <v>75</v>
      </c>
      <c r="AQ13" t="s">
        <v>88</v>
      </c>
      <c r="AR13" s="16"/>
      <c r="AT13" s="16">
        <v>1</v>
      </c>
      <c r="AU13" s="16" t="s">
        <v>82</v>
      </c>
      <c r="AV13" s="16" t="str">
        <f>CONCATENATE(truckzone[[#This Row],[TIPO]]," ",truckzone[[#This Row],[NUM. DE EJES]]," ",truckzone[[#This Row],[LARGO]])</f>
        <v>PLATAFORMA 2 40 FT</v>
      </c>
      <c r="AW13" s="16" t="s">
        <v>44</v>
      </c>
      <c r="AX13" s="19">
        <v>7000</v>
      </c>
      <c r="AY13" s="27">
        <f>truckzone[[#This Row],[PZAS]]*truckzone[[#This Row],[PRECIO $ C/U]]*COTIZACION!$I$135</f>
        <v>7000</v>
      </c>
      <c r="AZ13" s="20">
        <v>2</v>
      </c>
      <c r="BA13" s="16" t="s">
        <v>75</v>
      </c>
      <c r="BB13" s="40" t="s">
        <v>89</v>
      </c>
      <c r="BC13" s="16"/>
      <c r="BF13" s="24" t="str">
        <f>CONCATENATE(Tabla24[[#This Row],[TIPO]]," ",Tabla24[[#This Row],[NUM. DE EJES]]," ",Tabla24[[#This Row],[LARGO]])</f>
        <v>PLATAFORMA 2 42 FT</v>
      </c>
      <c r="BG13" t="s">
        <v>82</v>
      </c>
      <c r="BH13" s="24">
        <v>2</v>
      </c>
      <c r="BI13" s="24" t="s">
        <v>242</v>
      </c>
      <c r="BJ13" t="str">
        <f>_xlfn.CONCAT(Tabla24[[#This Row],[TIPO]]," ",Tabla24[[#This Row],[LARGO]]," ",Tabla24[[#This Row],[NUM. DE EJES]]," ","EJES")</f>
        <v>PLATAFORMA 42 FT 2 EJES</v>
      </c>
      <c r="BK13" s="90"/>
      <c r="BL13" s="90"/>
      <c r="BN13" s="90"/>
      <c r="BO13">
        <v>8</v>
      </c>
      <c r="BP13" s="90"/>
      <c r="BQ13" s="90"/>
      <c r="BR13" s="102">
        <v>12.802</v>
      </c>
      <c r="BS13" s="90" t="s">
        <v>1157</v>
      </c>
      <c r="BW13" t="s">
        <v>356</v>
      </c>
    </row>
    <row r="14" spans="1:91">
      <c r="B14" s="41">
        <v>2</v>
      </c>
      <c r="C14" s="42" t="s">
        <v>82</v>
      </c>
      <c r="D14" s="24" t="str">
        <f>CONCATENATE(ACERO1[[#This Row],[TIPO]]," ",ACERO1[[#This Row],[NUM. DE EJES]]," ",ACERO1[[#This Row],[LARGO]])</f>
        <v>PLATAFORMA 2 40 FT</v>
      </c>
      <c r="E14" s="42" t="s">
        <v>14</v>
      </c>
      <c r="F14" s="43">
        <v>672</v>
      </c>
      <c r="G14" s="43">
        <f>PRODUCTOS!$B14*PRODUCTOS!$F14*COTIZACION!$I$135</f>
        <v>1344</v>
      </c>
      <c r="H14" s="44">
        <v>2</v>
      </c>
      <c r="I14" s="48" t="s">
        <v>75</v>
      </c>
      <c r="J14" s="44" t="s">
        <v>87</v>
      </c>
      <c r="K14" s="45"/>
      <c r="M14" s="16">
        <v>1</v>
      </c>
      <c r="N14" s="16" t="s">
        <v>82</v>
      </c>
      <c r="O14" s="16" t="str">
        <f>CONCATENATE(extras[[#This Row],[TIPO]]," ",extras[[#This Row],[NUM. DE EJES]]," ",extras[[#This Row],[LARGO]])</f>
        <v>PLATAFORMA 2 40 FT</v>
      </c>
      <c r="P14" s="16" t="s">
        <v>63</v>
      </c>
      <c r="Q14" t="s">
        <v>91</v>
      </c>
      <c r="R14" s="27">
        <v>33000</v>
      </c>
      <c r="S14" s="27">
        <f>extras[[#This Row],[PZAS]]*extras[[#This Row],[PRECIO $ C/U]]*COTIZACION!$I$135</f>
        <v>33000</v>
      </c>
      <c r="T14" s="20">
        <v>2</v>
      </c>
      <c r="U14" s="16" t="s">
        <v>75</v>
      </c>
      <c r="V14" s="16"/>
      <c r="X14" s="15">
        <v>2</v>
      </c>
      <c r="Y14" s="15" t="s">
        <v>82</v>
      </c>
      <c r="Z14" s="15" t="str">
        <f>CONCATENATE(otros[[#This Row],[TIPO]]," ",otros[[#This Row],[NUM. DE EJES]]," ",otros[[#This Row],[LARGO]])</f>
        <v>PLATAFORMA 2 40 FT</v>
      </c>
      <c r="AA14" s="15" t="s">
        <v>57</v>
      </c>
      <c r="AB14" s="17">
        <v>159</v>
      </c>
      <c r="AC14" s="27">
        <f>otros[[#This Row],[PZAS]]*otros[[#This Row],[PRECIO $ C/U]]*COTIZACION!$I$135</f>
        <v>318</v>
      </c>
      <c r="AD14" s="18">
        <v>2</v>
      </c>
      <c r="AE14" s="15" t="s">
        <v>75</v>
      </c>
      <c r="AF14" s="16" t="s">
        <v>90</v>
      </c>
      <c r="AG14" s="15"/>
      <c r="AI14" s="15">
        <v>0.6</v>
      </c>
      <c r="AJ14" s="15" t="s">
        <v>82</v>
      </c>
      <c r="AK14" s="15" t="str">
        <f>CONCATENATE(piramide[[#This Row],[TIPO]]," ",piramide[[#This Row],[NUM. DE EJES]]," ",piramide[[#This Row],[LARGO]])</f>
        <v>PLATAFORMA 2 40 FT</v>
      </c>
      <c r="AL14" s="15" t="s">
        <v>34</v>
      </c>
      <c r="AM14" s="17">
        <v>1873</v>
      </c>
      <c r="AN14" s="27">
        <f>piramide[[#This Row],[PZAS]]*piramide[[#This Row],[PRECIO $ C/U]]*COTIZACION!$I$135</f>
        <v>1123.8</v>
      </c>
      <c r="AO14" s="18">
        <v>2</v>
      </c>
      <c r="AP14" s="15" t="s">
        <v>75</v>
      </c>
      <c r="AQ14" t="s">
        <v>88</v>
      </c>
      <c r="AR14" s="15"/>
      <c r="AT14" s="15">
        <v>2</v>
      </c>
      <c r="AU14" s="15" t="s">
        <v>82</v>
      </c>
      <c r="AV14" s="15" t="str">
        <f>CONCATENATE(truckzone[[#This Row],[TIPO]]," ",truckzone[[#This Row],[NUM. DE EJES]]," ",truckzone[[#This Row],[LARGO]])</f>
        <v>PLATAFORMA 2 40 FT</v>
      </c>
      <c r="AW14" s="15" t="s">
        <v>45</v>
      </c>
      <c r="AX14" s="17">
        <v>3700</v>
      </c>
      <c r="AY14" s="27">
        <f>truckzone[[#This Row],[PZAS]]*truckzone[[#This Row],[PRECIO $ C/U]]*COTIZACION!$I$135</f>
        <v>7400</v>
      </c>
      <c r="AZ14" s="18">
        <v>2</v>
      </c>
      <c r="BA14" s="15" t="s">
        <v>75</v>
      </c>
      <c r="BB14" s="40" t="s">
        <v>89</v>
      </c>
      <c r="BC14" s="15"/>
      <c r="BF14" s="24" t="str">
        <f>CONCATENATE(Tabla24[[#This Row],[TIPO]]," ",Tabla24[[#This Row],[NUM. DE EJES]]," ",Tabla24[[#This Row],[LARGO]])</f>
        <v>PLATAFORMA 3 42 FT</v>
      </c>
      <c r="BG14" t="s">
        <v>82</v>
      </c>
      <c r="BH14" s="24">
        <v>3</v>
      </c>
      <c r="BI14" s="24" t="s">
        <v>242</v>
      </c>
      <c r="BJ14" t="str">
        <f>_xlfn.CONCAT(Tabla24[[#This Row],[TIPO]]," ",Tabla24[[#This Row],[LARGO]]," ",Tabla24[[#This Row],[NUM. DE EJES]]," ","EJES")</f>
        <v>PLATAFORMA 42 FT 3 EJES</v>
      </c>
      <c r="BK14" s="90">
        <v>7800</v>
      </c>
      <c r="BL14" s="90">
        <v>47000</v>
      </c>
      <c r="BM14" t="s">
        <v>341</v>
      </c>
      <c r="BN14" s="90">
        <v>31176</v>
      </c>
      <c r="BO14">
        <v>12</v>
      </c>
      <c r="BP14" s="90">
        <v>23500</v>
      </c>
      <c r="BQ14" s="90">
        <v>2000</v>
      </c>
      <c r="BR14" s="102">
        <v>12.802</v>
      </c>
      <c r="BS14" s="90" t="s">
        <v>1157</v>
      </c>
      <c r="BW14" t="s">
        <v>357</v>
      </c>
    </row>
    <row r="15" spans="1:91">
      <c r="B15" s="46">
        <v>1</v>
      </c>
      <c r="C15" s="24" t="s">
        <v>82</v>
      </c>
      <c r="D15" s="24" t="str">
        <f>CONCATENATE(ACERO1[[#This Row],[TIPO]]," ",ACERO1[[#This Row],[NUM. DE EJES]]," ",ACERO1[[#This Row],[LARGO]])</f>
        <v>PLATAFORMA 2 40 FT</v>
      </c>
      <c r="E15" s="24" t="s">
        <v>15</v>
      </c>
      <c r="F15" s="29">
        <v>270</v>
      </c>
      <c r="G15" s="29">
        <f>PRODUCTOS!$B15*PRODUCTOS!$F15*COTIZACION!$I$135</f>
        <v>270</v>
      </c>
      <c r="H15" s="30">
        <v>2</v>
      </c>
      <c r="I15" s="49" t="s">
        <v>75</v>
      </c>
      <c r="J15" s="30" t="s">
        <v>87</v>
      </c>
      <c r="K15" s="47"/>
      <c r="M15" s="24">
        <v>1</v>
      </c>
      <c r="N15" s="24" t="s">
        <v>82</v>
      </c>
      <c r="O15" s="24" t="str">
        <f>CONCATENATE(extras[[#This Row],[TIPO]]," ",extras[[#This Row],[NUM. DE EJES]]," ",extras[[#This Row],[LARGO]])</f>
        <v>PLATAFORMA 2 40 FT</v>
      </c>
      <c r="P15" s="24" t="s">
        <v>64</v>
      </c>
      <c r="Q15" t="s">
        <v>91</v>
      </c>
      <c r="R15" s="29">
        <v>15000</v>
      </c>
      <c r="S15" s="27">
        <f>extras[[#This Row],[PZAS]]*extras[[#This Row],[PRECIO $ C/U]]*COTIZACION!$I$135</f>
        <v>15000</v>
      </c>
      <c r="T15" s="30">
        <v>2</v>
      </c>
      <c r="U15" s="24" t="s">
        <v>75</v>
      </c>
      <c r="V15" s="24"/>
      <c r="X15" s="16">
        <v>2</v>
      </c>
      <c r="Y15" s="16" t="s">
        <v>82</v>
      </c>
      <c r="Z15" s="16" t="str">
        <f>CONCATENATE(otros[[#This Row],[TIPO]]," ",otros[[#This Row],[NUM. DE EJES]]," ",otros[[#This Row],[LARGO]])</f>
        <v>PLATAFORMA 2 40 FT</v>
      </c>
      <c r="AA15" s="16" t="s">
        <v>58</v>
      </c>
      <c r="AB15" s="19">
        <v>120</v>
      </c>
      <c r="AC15" s="27">
        <f>otros[[#This Row],[PZAS]]*otros[[#This Row],[PRECIO $ C/U]]*COTIZACION!$I$135</f>
        <v>240</v>
      </c>
      <c r="AD15" s="20">
        <v>2</v>
      </c>
      <c r="AE15" s="16" t="s">
        <v>75</v>
      </c>
      <c r="AF15" s="16" t="s">
        <v>90</v>
      </c>
      <c r="AG15" s="16"/>
      <c r="AI15" s="16">
        <v>1.5</v>
      </c>
      <c r="AJ15" s="16" t="s">
        <v>82</v>
      </c>
      <c r="AK15" s="16" t="str">
        <f>CONCATENATE(piramide[[#This Row],[TIPO]]," ",piramide[[#This Row],[NUM. DE EJES]]," ",piramide[[#This Row],[LARGO]])</f>
        <v>PLATAFORMA 2 40 FT</v>
      </c>
      <c r="AL15" s="16" t="s">
        <v>35</v>
      </c>
      <c r="AM15" s="19">
        <v>728</v>
      </c>
      <c r="AN15" s="27">
        <f>piramide[[#This Row],[PZAS]]*piramide[[#This Row],[PRECIO $ C/U]]*COTIZACION!$I$135</f>
        <v>1092</v>
      </c>
      <c r="AO15" s="20">
        <v>2</v>
      </c>
      <c r="AP15" s="16" t="s">
        <v>75</v>
      </c>
      <c r="AQ15" t="s">
        <v>88</v>
      </c>
      <c r="AR15" s="16"/>
      <c r="AT15" s="16">
        <v>0.5</v>
      </c>
      <c r="AU15" s="16" t="s">
        <v>82</v>
      </c>
      <c r="AV15" s="16" t="str">
        <f>CONCATENATE(truckzone[[#This Row],[TIPO]]," ",truckzone[[#This Row],[NUM. DE EJES]]," ",truckzone[[#This Row],[LARGO]])</f>
        <v>PLATAFORMA 2 40 FT</v>
      </c>
      <c r="AW15" s="16" t="s">
        <v>46</v>
      </c>
      <c r="AX15" s="19">
        <v>2300</v>
      </c>
      <c r="AY15" s="27">
        <f>truckzone[[#This Row],[PZAS]]*truckzone[[#This Row],[PRECIO $ C/U]]*COTIZACION!$I$135</f>
        <v>1150</v>
      </c>
      <c r="AZ15" s="20">
        <v>2</v>
      </c>
      <c r="BA15" s="16" t="s">
        <v>75</v>
      </c>
      <c r="BB15" s="40" t="s">
        <v>89</v>
      </c>
      <c r="BC15" s="16"/>
      <c r="BF15" s="24" t="str">
        <f>CONCATENATE(Tabla24[[#This Row],[TIPO]]," ",Tabla24[[#This Row],[NUM. DE EJES]]," ",Tabla24[[#This Row],[LARGO]])</f>
        <v>PLATAFORMA 2 48 FT</v>
      </c>
      <c r="BG15" t="s">
        <v>82</v>
      </c>
      <c r="BH15" s="24">
        <v>2</v>
      </c>
      <c r="BI15" s="24" t="s">
        <v>176</v>
      </c>
      <c r="BJ15" t="str">
        <f>_xlfn.CONCAT(Tabla24[[#This Row],[TIPO]]," ",Tabla24[[#This Row],[LARGO]]," ",Tabla24[[#This Row],[NUM. DE EJES]]," ","EJES")</f>
        <v>PLATAFORMA 48 FT 2 EJES</v>
      </c>
      <c r="BK15" s="90"/>
      <c r="BL15" s="90"/>
      <c r="BN15" s="90"/>
      <c r="BO15">
        <v>8</v>
      </c>
      <c r="BP15" s="90"/>
      <c r="BQ15" s="90"/>
      <c r="BR15" s="102">
        <v>14.6304</v>
      </c>
      <c r="BS15" s="90" t="s">
        <v>1157</v>
      </c>
      <c r="BW15" t="s">
        <v>358</v>
      </c>
    </row>
    <row r="16" spans="1:91">
      <c r="B16" s="41">
        <v>5</v>
      </c>
      <c r="C16" s="42" t="s">
        <v>82</v>
      </c>
      <c r="D16" s="24" t="str">
        <f>CONCATENATE(ACERO1[[#This Row],[TIPO]]," ",ACERO1[[#This Row],[NUM. DE EJES]]," ",ACERO1[[#This Row],[LARGO]])</f>
        <v>PLATAFORMA 2 40 FT</v>
      </c>
      <c r="E16" s="42" t="s">
        <v>16</v>
      </c>
      <c r="F16" s="43">
        <v>387</v>
      </c>
      <c r="G16" s="43">
        <f>PRODUCTOS!$B16*PRODUCTOS!$F16*COTIZACION!$I$135</f>
        <v>1935</v>
      </c>
      <c r="H16" s="44">
        <v>2</v>
      </c>
      <c r="I16" s="48" t="s">
        <v>75</v>
      </c>
      <c r="J16" s="44" t="s">
        <v>87</v>
      </c>
      <c r="K16" s="45"/>
      <c r="M16">
        <v>1</v>
      </c>
      <c r="N16" t="s">
        <v>82</v>
      </c>
      <c r="O16" t="str">
        <f>CONCATENATE(extras[[#This Row],[TIPO]]," ",extras[[#This Row],[NUM. DE EJES]]," ",extras[[#This Row],[LARGO]])</f>
        <v>PLATAFORMA 3 40 FT</v>
      </c>
      <c r="P16" t="s">
        <v>69</v>
      </c>
      <c r="Q16" t="s">
        <v>91</v>
      </c>
      <c r="R16" s="6">
        <v>8000</v>
      </c>
      <c r="S16" s="27">
        <f>extras[[#This Row],[PZAS]]*extras[[#This Row],[PRECIO $ C/U]]*COTIZACION!$I$135</f>
        <v>8000</v>
      </c>
      <c r="T16" s="2">
        <v>3</v>
      </c>
      <c r="U16" t="s">
        <v>75</v>
      </c>
      <c r="X16" s="15">
        <v>10</v>
      </c>
      <c r="Y16" s="15" t="s">
        <v>82</v>
      </c>
      <c r="Z16" s="15" t="str">
        <f>CONCATENATE(otros[[#This Row],[TIPO]]," ",otros[[#This Row],[NUM. DE EJES]]," ",otros[[#This Row],[LARGO]])</f>
        <v>PLATAFORMA 2 40 FT</v>
      </c>
      <c r="AA16" s="15" t="s">
        <v>59</v>
      </c>
      <c r="AB16" s="17">
        <v>20</v>
      </c>
      <c r="AC16" s="27">
        <f>otros[[#This Row],[PZAS]]*otros[[#This Row],[PRECIO $ C/U]]*COTIZACION!$I$135</f>
        <v>200</v>
      </c>
      <c r="AD16" s="18">
        <v>2</v>
      </c>
      <c r="AE16" s="15" t="s">
        <v>75</v>
      </c>
      <c r="AF16" s="16" t="s">
        <v>90</v>
      </c>
      <c r="AG16" s="15"/>
      <c r="AI16" s="15">
        <v>6</v>
      </c>
      <c r="AJ16" s="15" t="s">
        <v>82</v>
      </c>
      <c r="AK16" s="15" t="str">
        <f>CONCATENATE(piramide[[#This Row],[TIPO]]," ",piramide[[#This Row],[NUM. DE EJES]]," ",piramide[[#This Row],[LARGO]])</f>
        <v>PLATAFORMA 2 40 FT</v>
      </c>
      <c r="AL16" s="15" t="s">
        <v>36</v>
      </c>
      <c r="AM16" s="17">
        <v>940</v>
      </c>
      <c r="AN16" s="27">
        <f>piramide[[#This Row],[PZAS]]*piramide[[#This Row],[PRECIO $ C/U]]*COTIZACION!$I$135</f>
        <v>5640</v>
      </c>
      <c r="AO16" s="18">
        <v>2</v>
      </c>
      <c r="AP16" s="15" t="s">
        <v>75</v>
      </c>
      <c r="AQ16" t="s">
        <v>88</v>
      </c>
      <c r="AR16" s="15"/>
      <c r="AT16" s="15">
        <v>1</v>
      </c>
      <c r="AU16" s="15" t="s">
        <v>82</v>
      </c>
      <c r="AV16" s="15" t="str">
        <f>CONCATENATE(truckzone[[#This Row],[TIPO]]," ",truckzone[[#This Row],[NUM. DE EJES]]," ",truckzone[[#This Row],[LARGO]])</f>
        <v>PLATAFORMA 2 40 FT</v>
      </c>
      <c r="AW16" s="15" t="s">
        <v>47</v>
      </c>
      <c r="AX16" s="17">
        <v>800</v>
      </c>
      <c r="AY16" s="27">
        <f>truckzone[[#This Row],[PZAS]]*truckzone[[#This Row],[PRECIO $ C/U]]*COTIZACION!$I$135</f>
        <v>800</v>
      </c>
      <c r="AZ16" s="18">
        <v>2</v>
      </c>
      <c r="BA16" s="15" t="s">
        <v>75</v>
      </c>
      <c r="BB16" s="40" t="s">
        <v>89</v>
      </c>
      <c r="BC16" s="15"/>
      <c r="BF16" s="24" t="str">
        <f>CONCATENATE(Tabla24[[#This Row],[TIPO]]," ",Tabla24[[#This Row],[NUM. DE EJES]]," ",Tabla24[[#This Row],[LARGO]])</f>
        <v>PLATAFORMA 2 35 FT</v>
      </c>
      <c r="BG16" t="s">
        <v>82</v>
      </c>
      <c r="BH16" s="24">
        <v>2</v>
      </c>
      <c r="BI16" s="24" t="s">
        <v>248</v>
      </c>
      <c r="BJ16" t="str">
        <f>_xlfn.CONCAT(Tabla24[[#This Row],[TIPO]]," ",Tabla24[[#This Row],[LARGO]]," ",Tabla24[[#This Row],[NUM. DE EJES]]," ","EJES")</f>
        <v>PLATAFORMA 35 FT 2 EJES</v>
      </c>
      <c r="BK16" s="90"/>
      <c r="BL16" s="90"/>
      <c r="BN16" s="90"/>
      <c r="BO16">
        <v>8</v>
      </c>
      <c r="BP16" s="90"/>
      <c r="BQ16" s="90"/>
      <c r="BR16" s="102">
        <v>10.667999999999999</v>
      </c>
      <c r="BS16" s="90" t="s">
        <v>1157</v>
      </c>
      <c r="BW16" t="s">
        <v>359</v>
      </c>
    </row>
    <row r="17" spans="2:75">
      <c r="B17" s="46">
        <v>6</v>
      </c>
      <c r="C17" s="24" t="s">
        <v>82</v>
      </c>
      <c r="D17" s="24" t="str">
        <f>CONCATENATE(ACERO1[[#This Row],[TIPO]]," ",ACERO1[[#This Row],[NUM. DE EJES]]," ",ACERO1[[#This Row],[LARGO]])</f>
        <v>PLATAFORMA 2 40 FT</v>
      </c>
      <c r="E17" s="24" t="s">
        <v>17</v>
      </c>
      <c r="F17" s="29">
        <v>1414</v>
      </c>
      <c r="G17" s="29">
        <f>PRODUCTOS!$B17*PRODUCTOS!$F17*COTIZACION!$I$135</f>
        <v>8484</v>
      </c>
      <c r="H17" s="30">
        <v>2</v>
      </c>
      <c r="I17" s="49" t="s">
        <v>75</v>
      </c>
      <c r="J17" s="30" t="s">
        <v>87</v>
      </c>
      <c r="K17" s="47"/>
      <c r="M17">
        <v>1</v>
      </c>
      <c r="N17" t="s">
        <v>82</v>
      </c>
      <c r="O17" t="str">
        <f>CONCATENATE(extras[[#This Row],[TIPO]]," ",extras[[#This Row],[NUM. DE EJES]]," ",extras[[#This Row],[LARGO]])</f>
        <v>PLATAFORMA 3 40 FT</v>
      </c>
      <c r="P17" t="s">
        <v>70</v>
      </c>
      <c r="Q17" t="s">
        <v>91</v>
      </c>
      <c r="R17" s="6">
        <v>3744</v>
      </c>
      <c r="S17" s="27">
        <f>extras[[#This Row],[PZAS]]*extras[[#This Row],[PRECIO $ C/U]]*COTIZACION!$I$135</f>
        <v>3744</v>
      </c>
      <c r="T17" s="2">
        <v>3</v>
      </c>
      <c r="U17" t="s">
        <v>75</v>
      </c>
      <c r="X17" s="16">
        <v>1</v>
      </c>
      <c r="Y17" s="16" t="s">
        <v>82</v>
      </c>
      <c r="Z17" s="16" t="str">
        <f>CONCATENATE(otros[[#This Row],[TIPO]]," ",otros[[#This Row],[NUM. DE EJES]]," ",otros[[#This Row],[LARGO]])</f>
        <v>PLATAFORMA 2 40 FT</v>
      </c>
      <c r="AA17" s="16" t="s">
        <v>60</v>
      </c>
      <c r="AB17" s="19">
        <v>5850</v>
      </c>
      <c r="AC17" s="27">
        <f>otros[[#This Row],[PZAS]]*otros[[#This Row],[PRECIO $ C/U]]*COTIZACION!$I$135</f>
        <v>5850</v>
      </c>
      <c r="AD17" s="20">
        <v>2</v>
      </c>
      <c r="AE17" s="16" t="s">
        <v>75</v>
      </c>
      <c r="AF17" s="16" t="s">
        <v>90</v>
      </c>
      <c r="AG17" s="16"/>
      <c r="AI17" s="16">
        <v>0.5</v>
      </c>
      <c r="AJ17" s="16" t="s">
        <v>82</v>
      </c>
      <c r="AK17" s="16" t="str">
        <f>CONCATENATE(piramide[[#This Row],[TIPO]]," ",piramide[[#This Row],[NUM. DE EJES]]," ",piramide[[#This Row],[LARGO]])</f>
        <v>PLATAFORMA 2 40 FT</v>
      </c>
      <c r="AL17" s="16" t="s">
        <v>37</v>
      </c>
      <c r="AM17" s="19">
        <v>400</v>
      </c>
      <c r="AN17" s="27">
        <f>piramide[[#This Row],[PZAS]]*piramide[[#This Row],[PRECIO $ C/U]]*COTIZACION!$I$135</f>
        <v>200</v>
      </c>
      <c r="AO17" s="20">
        <v>2</v>
      </c>
      <c r="AP17" s="16" t="s">
        <v>75</v>
      </c>
      <c r="AQ17" t="s">
        <v>88</v>
      </c>
      <c r="AR17" s="16"/>
      <c r="AT17" s="16">
        <v>2</v>
      </c>
      <c r="AU17" s="16" t="s">
        <v>82</v>
      </c>
      <c r="AV17" s="16" t="str">
        <f>CONCATENATE(truckzone[[#This Row],[TIPO]]," ",truckzone[[#This Row],[NUM. DE EJES]]," ",truckzone[[#This Row],[LARGO]])</f>
        <v>PLATAFORMA 2 40 FT</v>
      </c>
      <c r="AW17" s="16" t="s">
        <v>48</v>
      </c>
      <c r="AX17" s="19">
        <v>1351.4</v>
      </c>
      <c r="AY17" s="27">
        <f>truckzone[[#This Row],[PZAS]]*truckzone[[#This Row],[PRECIO $ C/U]]*COTIZACION!$I$135</f>
        <v>2702.8</v>
      </c>
      <c r="AZ17" s="20">
        <v>2</v>
      </c>
      <c r="BA17" s="16" t="s">
        <v>75</v>
      </c>
      <c r="BB17" s="40" t="s">
        <v>89</v>
      </c>
      <c r="BC17" s="16"/>
      <c r="BF17" s="24" t="str">
        <f>CONCATENATE(Tabla24[[#This Row],[TIPO]]," ",Tabla24[[#This Row],[NUM. DE EJES]]," ",Tabla24[[#This Row],[LARGO]])</f>
        <v>PLATAFORMA 3 43 FT</v>
      </c>
      <c r="BG17" t="s">
        <v>82</v>
      </c>
      <c r="BH17" s="24">
        <v>3</v>
      </c>
      <c r="BI17" s="24" t="s">
        <v>554</v>
      </c>
      <c r="BJ17" t="str">
        <f>_xlfn.CONCAT(Tabla24[[#This Row],[TIPO]]," ",Tabla24[[#This Row],[LARGO]]," ",Tabla24[[#This Row],[NUM. DE EJES]]," ","EJES")</f>
        <v>PLATAFORMA 43 FT 3 EJES</v>
      </c>
      <c r="BK17" s="90"/>
      <c r="BL17" s="90"/>
      <c r="BN17" s="90"/>
      <c r="BP17" s="90"/>
      <c r="BQ17" s="90"/>
      <c r="BR17" s="102"/>
      <c r="BS17" s="90" t="s">
        <v>1157</v>
      </c>
      <c r="BW17" t="s">
        <v>348</v>
      </c>
    </row>
    <row r="18" spans="2:75">
      <c r="B18" s="41">
        <v>52</v>
      </c>
      <c r="C18" s="42" t="s">
        <v>82</v>
      </c>
      <c r="D18" s="24" t="str">
        <f>CONCATENATE(ACERO1[[#This Row],[TIPO]]," ",ACERO1[[#This Row],[NUM. DE EJES]]," ",ACERO1[[#This Row],[LARGO]])</f>
        <v>PLATAFORMA 2 40 FT</v>
      </c>
      <c r="E18" s="42" t="s">
        <v>18</v>
      </c>
      <c r="F18" s="43">
        <v>88</v>
      </c>
      <c r="G18" s="43">
        <f>PRODUCTOS!$B18*PRODUCTOS!$F18*COTIZACION!$I$135</f>
        <v>4576</v>
      </c>
      <c r="H18" s="44">
        <v>2</v>
      </c>
      <c r="I18" s="48" t="s">
        <v>75</v>
      </c>
      <c r="J18" s="44" t="s">
        <v>87</v>
      </c>
      <c r="K18" s="45"/>
      <c r="M18">
        <v>1</v>
      </c>
      <c r="N18" t="s">
        <v>82</v>
      </c>
      <c r="O18" t="str">
        <f>CONCATENATE(extras[[#This Row],[TIPO]]," ",extras[[#This Row],[NUM. DE EJES]]," ",extras[[#This Row],[LARGO]])</f>
        <v>PLATAFORMA 3 40 FT</v>
      </c>
      <c r="P18" t="s">
        <v>131</v>
      </c>
      <c r="Q18" t="s">
        <v>91</v>
      </c>
      <c r="R18" s="6">
        <v>6340</v>
      </c>
      <c r="S18" s="27">
        <f>extras[[#This Row],[PZAS]]*extras[[#This Row],[PRECIO $ C/U]]*COTIZACION!$I$135</f>
        <v>6340</v>
      </c>
      <c r="T18" s="2">
        <v>3</v>
      </c>
      <c r="U18" t="s">
        <v>75</v>
      </c>
      <c r="X18" s="15">
        <v>2</v>
      </c>
      <c r="Y18" s="15" t="s">
        <v>82</v>
      </c>
      <c r="Z18" s="15" t="str">
        <f>CONCATENATE(otros[[#This Row],[TIPO]]," ",otros[[#This Row],[NUM. DE EJES]]," ",otros[[#This Row],[LARGO]])</f>
        <v>PLATAFORMA 2 40 FT</v>
      </c>
      <c r="AA18" s="15" t="s">
        <v>61</v>
      </c>
      <c r="AB18" s="17">
        <v>750</v>
      </c>
      <c r="AC18" s="27">
        <f>otros[[#This Row],[PZAS]]*otros[[#This Row],[PRECIO $ C/U]]*COTIZACION!$I$135</f>
        <v>1500</v>
      </c>
      <c r="AD18" s="18">
        <v>2</v>
      </c>
      <c r="AE18" s="15" t="s">
        <v>75</v>
      </c>
      <c r="AF18" s="16" t="s">
        <v>90</v>
      </c>
      <c r="AG18" s="15"/>
      <c r="AI18" s="15">
        <v>1</v>
      </c>
      <c r="AJ18" s="15" t="s">
        <v>82</v>
      </c>
      <c r="AK18" s="15" t="str">
        <f>CONCATENATE(piramide[[#This Row],[TIPO]]," ",piramide[[#This Row],[NUM. DE EJES]]," ",piramide[[#This Row],[LARGO]])</f>
        <v>PLATAFORMA 2 40 FT</v>
      </c>
      <c r="AL18" s="15" t="s">
        <v>38</v>
      </c>
      <c r="AM18" s="17">
        <v>380</v>
      </c>
      <c r="AN18" s="27">
        <f>piramide[[#This Row],[PZAS]]*piramide[[#This Row],[PRECIO $ C/U]]*COTIZACION!$I$135</f>
        <v>380</v>
      </c>
      <c r="AO18" s="18">
        <v>2</v>
      </c>
      <c r="AP18" s="15" t="s">
        <v>75</v>
      </c>
      <c r="AQ18" t="s">
        <v>88</v>
      </c>
      <c r="AR18" s="15"/>
      <c r="AT18" s="15">
        <v>12</v>
      </c>
      <c r="AU18" s="15" t="s">
        <v>82</v>
      </c>
      <c r="AV18" s="15" t="str">
        <f>CONCATENATE(truckzone[[#This Row],[TIPO]]," ",truckzone[[#This Row],[NUM. DE EJES]]," ",truckzone[[#This Row],[LARGO]])</f>
        <v>PLATAFORMA 2 40 FT</v>
      </c>
      <c r="AW18" s="15" t="s">
        <v>49</v>
      </c>
      <c r="AX18" s="17">
        <v>346</v>
      </c>
      <c r="AY18" s="27">
        <f>truckzone[[#This Row],[PZAS]]*truckzone[[#This Row],[PRECIO $ C/U]]*COTIZACION!$I$135</f>
        <v>4152</v>
      </c>
      <c r="AZ18" s="18">
        <v>2</v>
      </c>
      <c r="BA18" s="15" t="s">
        <v>75</v>
      </c>
      <c r="BB18" s="40" t="s">
        <v>89</v>
      </c>
      <c r="BC18" s="15"/>
      <c r="BF18" s="24" t="str">
        <f>CONCATENATE(Tabla24[[#This Row],[TIPO]]," ",Tabla24[[#This Row],[NUM. DE EJES]]," ",Tabla24[[#This Row],[LARGO]])</f>
        <v>PLATAFORMA 3 45 FT</v>
      </c>
      <c r="BG18" t="s">
        <v>82</v>
      </c>
      <c r="BH18" s="24">
        <v>3</v>
      </c>
      <c r="BI18" s="24" t="s">
        <v>165</v>
      </c>
      <c r="BJ18" t="str">
        <f>_xlfn.CONCAT(Tabla24[[#This Row],[TIPO]]," ",Tabla24[[#This Row],[LARGO]]," ",Tabla24[[#This Row],[NUM. DE EJES]]," ","EJES")</f>
        <v>PLATAFORMA 45 FT 3 EJES</v>
      </c>
      <c r="BK18" s="90"/>
      <c r="BL18" s="90"/>
      <c r="BN18" s="90"/>
      <c r="BP18" s="90"/>
      <c r="BQ18" s="90"/>
      <c r="BR18" s="102"/>
      <c r="BS18" s="90" t="s">
        <v>1157</v>
      </c>
      <c r="BW18" t="s">
        <v>360</v>
      </c>
    </row>
    <row r="19" spans="2:75">
      <c r="B19" s="46">
        <v>1</v>
      </c>
      <c r="C19" s="24" t="s">
        <v>82</v>
      </c>
      <c r="D19" s="24" t="str">
        <f>CONCATENATE(ACERO1[[#This Row],[TIPO]]," ",ACERO1[[#This Row],[NUM. DE EJES]]," ",ACERO1[[#This Row],[LARGO]])</f>
        <v>PLATAFORMA 2 40 FT</v>
      </c>
      <c r="E19" s="24" t="s">
        <v>19</v>
      </c>
      <c r="F19" s="29">
        <v>2112</v>
      </c>
      <c r="G19" s="29">
        <f>PRODUCTOS!$B19*PRODUCTOS!$F19*COTIZACION!$I$135</f>
        <v>2112</v>
      </c>
      <c r="H19" s="30">
        <v>2</v>
      </c>
      <c r="I19" s="49" t="s">
        <v>75</v>
      </c>
      <c r="J19" s="30" t="s">
        <v>87</v>
      </c>
      <c r="K19" s="47"/>
      <c r="M19">
        <v>1</v>
      </c>
      <c r="N19" t="s">
        <v>82</v>
      </c>
      <c r="O19" t="str">
        <f>CONCATENATE(extras[[#This Row],[TIPO]]," ",extras[[#This Row],[NUM. DE EJES]]," ",extras[[#This Row],[LARGO]])</f>
        <v>PLATAFORMA 3 40 FT</v>
      </c>
      <c r="P19" t="s">
        <v>72</v>
      </c>
      <c r="Q19" t="s">
        <v>91</v>
      </c>
      <c r="R19" s="6">
        <v>6336</v>
      </c>
      <c r="S19" s="27">
        <f>extras[[#This Row],[PZAS]]*extras[[#This Row],[PRECIO $ C/U]]*COTIZACION!$I$135</f>
        <v>6336</v>
      </c>
      <c r="T19" s="2">
        <v>3</v>
      </c>
      <c r="U19" t="s">
        <v>75</v>
      </c>
      <c r="X19" s="16">
        <v>1</v>
      </c>
      <c r="Y19" s="16" t="s">
        <v>82</v>
      </c>
      <c r="Z19" s="16" t="str">
        <f>CONCATENATE(otros[[#This Row],[TIPO]]," ",otros[[#This Row],[NUM. DE EJES]]," ",otros[[#This Row],[LARGO]])</f>
        <v>PLATAFORMA 2 40 FT</v>
      </c>
      <c r="AA19" s="16" t="s">
        <v>62</v>
      </c>
      <c r="AB19" s="19">
        <v>1500</v>
      </c>
      <c r="AC19" s="27">
        <f>otros[[#This Row],[PZAS]]*otros[[#This Row],[PRECIO $ C/U]]*COTIZACION!$I$135</f>
        <v>1500</v>
      </c>
      <c r="AD19" s="20">
        <v>2</v>
      </c>
      <c r="AE19" s="16" t="s">
        <v>75</v>
      </c>
      <c r="AF19" s="16" t="s">
        <v>90</v>
      </c>
      <c r="AG19" s="16"/>
      <c r="AI19">
        <v>1</v>
      </c>
      <c r="AJ19" t="s">
        <v>82</v>
      </c>
      <c r="AK19" s="16" t="str">
        <f>CONCATENATE(piramide[[#This Row],[TIPO]]," ",piramide[[#This Row],[NUM. DE EJES]]," ",piramide[[#This Row],[LARGO]])</f>
        <v>PLATAFORMA 3 40 FT</v>
      </c>
      <c r="AL19" t="s">
        <v>28</v>
      </c>
      <c r="AM19" s="6">
        <v>736</v>
      </c>
      <c r="AN19" s="27">
        <f>piramide[[#This Row],[PZAS]]*piramide[[#This Row],[PRECIO $ C/U]]*COTIZACION!$I$135</f>
        <v>736</v>
      </c>
      <c r="AO19" s="1">
        <v>3</v>
      </c>
      <c r="AP19" t="s">
        <v>75</v>
      </c>
      <c r="AQ19" t="s">
        <v>88</v>
      </c>
      <c r="AT19">
        <v>38</v>
      </c>
      <c r="AU19" t="s">
        <v>82</v>
      </c>
      <c r="AV19" t="str">
        <f>CONCATENATE(truckzone[[#This Row],[TIPO]]," ",truckzone[[#This Row],[NUM. DE EJES]]," ",truckzone[[#This Row],[LARGO]])</f>
        <v>PLATAFORMA 3 40 FT</v>
      </c>
      <c r="AW19" t="s">
        <v>39</v>
      </c>
      <c r="AX19" s="6">
        <v>578</v>
      </c>
      <c r="AY19" s="27">
        <f>truckzone[[#This Row],[PZAS]]*truckzone[[#This Row],[PRECIO $ C/U]]*COTIZACION!$I$135</f>
        <v>21964</v>
      </c>
      <c r="AZ19" s="1">
        <v>3</v>
      </c>
      <c r="BA19" t="s">
        <v>75</v>
      </c>
      <c r="BB19" s="40" t="s">
        <v>89</v>
      </c>
      <c r="BW19" t="s">
        <v>243</v>
      </c>
    </row>
    <row r="20" spans="2:75">
      <c r="B20" s="41">
        <v>6</v>
      </c>
      <c r="C20" s="42" t="s">
        <v>82</v>
      </c>
      <c r="D20" s="24" t="str">
        <f>CONCATENATE(ACERO1[[#This Row],[TIPO]]," ",ACERO1[[#This Row],[NUM. DE EJES]]," ",ACERO1[[#This Row],[LARGO]])</f>
        <v>PLATAFORMA 2 40 FT</v>
      </c>
      <c r="E20" s="42" t="s">
        <v>20</v>
      </c>
      <c r="F20" s="43">
        <v>485</v>
      </c>
      <c r="G20" s="43">
        <f>PRODUCTOS!$B20*PRODUCTOS!$F20*COTIZACION!$I$135</f>
        <v>2910</v>
      </c>
      <c r="H20" s="44">
        <v>2</v>
      </c>
      <c r="I20" s="48" t="s">
        <v>75</v>
      </c>
      <c r="J20" s="44" t="s">
        <v>87</v>
      </c>
      <c r="K20" s="45"/>
      <c r="M20">
        <v>1</v>
      </c>
      <c r="N20" t="s">
        <v>82</v>
      </c>
      <c r="O20" t="str">
        <f>CONCATENATE(extras[[#This Row],[TIPO]]," ",extras[[#This Row],[NUM. DE EJES]]," ",extras[[#This Row],[LARGO]])</f>
        <v>PLATAFORMA 3 40 FT</v>
      </c>
      <c r="P20" t="s">
        <v>132</v>
      </c>
      <c r="Q20" t="s">
        <v>91</v>
      </c>
      <c r="R20" s="6">
        <v>5450</v>
      </c>
      <c r="S20" s="27">
        <f>extras[[#This Row],[PZAS]]*extras[[#This Row],[PRECIO $ C/U]]*COTIZACION!$I$135</f>
        <v>5450</v>
      </c>
      <c r="T20" s="2">
        <v>3</v>
      </c>
      <c r="U20" t="s">
        <v>75</v>
      </c>
      <c r="X20" s="15">
        <v>2</v>
      </c>
      <c r="Y20" s="15" t="s">
        <v>82</v>
      </c>
      <c r="Z20" s="15" t="str">
        <f>CONCATENATE(otros[[#This Row],[TIPO]]," ",otros[[#This Row],[NUM. DE EJES]]," ",otros[[#This Row],[LARGO]])</f>
        <v>PLATAFORMA 2 40 FT</v>
      </c>
      <c r="AA20" s="15" t="s">
        <v>244</v>
      </c>
      <c r="AB20" s="17">
        <v>350</v>
      </c>
      <c r="AC20" s="27">
        <f>otros[[#This Row],[PZAS]]*otros[[#This Row],[PRECIO $ C/U]]*COTIZACION!$I$135</f>
        <v>700</v>
      </c>
      <c r="AD20" s="18">
        <v>2</v>
      </c>
      <c r="AE20" s="15" t="s">
        <v>75</v>
      </c>
      <c r="AF20" s="16" t="s">
        <v>90</v>
      </c>
      <c r="AG20" s="15"/>
      <c r="AI20">
        <v>1</v>
      </c>
      <c r="AJ20" t="s">
        <v>82</v>
      </c>
      <c r="AK20" s="16" t="str">
        <f>CONCATENATE(piramide[[#This Row],[TIPO]]," ",piramide[[#This Row],[NUM. DE EJES]]," ",piramide[[#This Row],[LARGO]])</f>
        <v>PLATAFORMA 3 40 FT</v>
      </c>
      <c r="AL20" t="s">
        <v>29</v>
      </c>
      <c r="AM20" s="6">
        <v>19500</v>
      </c>
      <c r="AN20" s="27">
        <f>piramide[[#This Row],[PZAS]]*piramide[[#This Row],[PRECIO $ C/U]]*COTIZACION!$I$135</f>
        <v>19500</v>
      </c>
      <c r="AO20" s="1">
        <v>3</v>
      </c>
      <c r="AP20" t="s">
        <v>75</v>
      </c>
      <c r="AQ20" t="s">
        <v>88</v>
      </c>
      <c r="AT20">
        <v>1</v>
      </c>
      <c r="AU20" t="s">
        <v>82</v>
      </c>
      <c r="AV20" t="str">
        <f>CONCATENATE(truckzone[[#This Row],[TIPO]]," ",truckzone[[#This Row],[NUM. DE EJES]]," ",truckzone[[#This Row],[LARGO]])</f>
        <v>PLATAFORMA 3 40 FT</v>
      </c>
      <c r="AW20" t="s">
        <v>43</v>
      </c>
      <c r="AX20" s="6">
        <v>1500</v>
      </c>
      <c r="AY20" s="27">
        <f>truckzone[[#This Row],[PZAS]]*truckzone[[#This Row],[PRECIO $ C/U]]*COTIZACION!$I$135</f>
        <v>1500</v>
      </c>
      <c r="AZ20" s="1">
        <v>3</v>
      </c>
      <c r="BA20" t="s">
        <v>75</v>
      </c>
      <c r="BB20" s="40" t="s">
        <v>89</v>
      </c>
    </row>
    <row r="21" spans="2:75">
      <c r="B21" s="46">
        <v>2</v>
      </c>
      <c r="C21" s="24" t="s">
        <v>82</v>
      </c>
      <c r="D21" s="24" t="str">
        <f>CONCATENATE(ACERO1[[#This Row],[TIPO]]," ",ACERO1[[#This Row],[NUM. DE EJES]]," ",ACERO1[[#This Row],[LARGO]])</f>
        <v>PLATAFORMA 2 40 FT</v>
      </c>
      <c r="E21" s="24" t="s">
        <v>21</v>
      </c>
      <c r="F21" s="29">
        <v>1300</v>
      </c>
      <c r="G21" s="29">
        <f>PRODUCTOS!$B21*PRODUCTOS!$F21*COTIZACION!$I$135</f>
        <v>2600</v>
      </c>
      <c r="H21" s="30">
        <v>2</v>
      </c>
      <c r="I21" s="49" t="s">
        <v>75</v>
      </c>
      <c r="J21" s="30" t="s">
        <v>87</v>
      </c>
      <c r="K21" s="47"/>
      <c r="M21">
        <v>1</v>
      </c>
      <c r="N21" t="s">
        <v>82</v>
      </c>
      <c r="O21" t="str">
        <f>CONCATENATE(extras[[#This Row],[TIPO]]," ",extras[[#This Row],[NUM. DE EJES]]," ",extras[[#This Row],[LARGO]])</f>
        <v>PLATAFORMA 3 40 FT</v>
      </c>
      <c r="P21" t="s">
        <v>133</v>
      </c>
      <c r="Q21" t="s">
        <v>91</v>
      </c>
      <c r="R21" s="6">
        <v>2300</v>
      </c>
      <c r="S21" s="27">
        <f>extras[[#This Row],[PZAS]]*extras[[#This Row],[PRECIO $ C/U]]*COTIZACION!$I$135</f>
        <v>2300</v>
      </c>
      <c r="T21" s="2">
        <v>3</v>
      </c>
      <c r="U21" t="s">
        <v>75</v>
      </c>
      <c r="X21" s="16">
        <v>1</v>
      </c>
      <c r="Y21" s="16" t="s">
        <v>82</v>
      </c>
      <c r="Z21" s="16" t="str">
        <f>CONCATENATE(otros[[#This Row],[TIPO]]," ",otros[[#This Row],[NUM. DE EJES]]," ",otros[[#This Row],[LARGO]])</f>
        <v>PLATAFORMA 2 40 FT</v>
      </c>
      <c r="AA21" s="16" t="s">
        <v>66</v>
      </c>
      <c r="AB21" s="19">
        <v>10000</v>
      </c>
      <c r="AC21" s="27">
        <f>otros[[#This Row],[PZAS]]*otros[[#This Row],[PRECIO $ C/U]]*COTIZACION!$I$135</f>
        <v>10000</v>
      </c>
      <c r="AD21" s="20">
        <v>2</v>
      </c>
      <c r="AE21" s="16" t="s">
        <v>75</v>
      </c>
      <c r="AF21" s="16" t="s">
        <v>90</v>
      </c>
      <c r="AG21" s="16"/>
      <c r="AI21">
        <v>1</v>
      </c>
      <c r="AJ21" t="s">
        <v>82</v>
      </c>
      <c r="AK21" s="16" t="str">
        <f>CONCATENATE(piramide[[#This Row],[TIPO]]," ",piramide[[#This Row],[NUM. DE EJES]]," ",piramide[[#This Row],[LARGO]])</f>
        <v>PLATAFORMA 3 40 FT</v>
      </c>
      <c r="AL21" t="s">
        <v>30</v>
      </c>
      <c r="AM21" s="6">
        <v>3732</v>
      </c>
      <c r="AN21" s="27">
        <f>piramide[[#This Row],[PZAS]]*piramide[[#This Row],[PRECIO $ C/U]]*COTIZACION!$I$135</f>
        <v>3732</v>
      </c>
      <c r="AO21" s="1">
        <v>3</v>
      </c>
      <c r="AP21" t="s">
        <v>75</v>
      </c>
      <c r="AQ21" t="s">
        <v>88</v>
      </c>
      <c r="AT21">
        <v>0.5</v>
      </c>
      <c r="AU21" t="s">
        <v>82</v>
      </c>
      <c r="AV21" t="str">
        <f>CONCATENATE(truckzone[[#This Row],[TIPO]]," ",truckzone[[#This Row],[NUM. DE EJES]]," ",truckzone[[#This Row],[LARGO]])</f>
        <v>PLATAFORMA 3 40 FT</v>
      </c>
      <c r="AW21" t="s">
        <v>46</v>
      </c>
      <c r="AX21" s="6">
        <v>2300</v>
      </c>
      <c r="AY21" s="27">
        <f>truckzone[[#This Row],[PZAS]]*truckzone[[#This Row],[PRECIO $ C/U]]*COTIZACION!$I$135</f>
        <v>1150</v>
      </c>
      <c r="AZ21" s="1">
        <v>3</v>
      </c>
      <c r="BA21" t="s">
        <v>75</v>
      </c>
      <c r="BB21" s="40" t="s">
        <v>89</v>
      </c>
    </row>
    <row r="22" spans="2:75">
      <c r="B22" s="41">
        <v>1</v>
      </c>
      <c r="C22" s="42" t="s">
        <v>82</v>
      </c>
      <c r="D22" s="24" t="str">
        <f>CONCATENATE(ACERO1[[#This Row],[TIPO]]," ",ACERO1[[#This Row],[NUM. DE EJES]]," ",ACERO1[[#This Row],[LARGO]])</f>
        <v>PLATAFORMA 2 40 FT</v>
      </c>
      <c r="E22" s="42" t="s">
        <v>22</v>
      </c>
      <c r="F22" s="43">
        <v>826</v>
      </c>
      <c r="G22" s="43">
        <f>PRODUCTOS!$B22*PRODUCTOS!$F22*COTIZACION!$I$135</f>
        <v>826</v>
      </c>
      <c r="H22" s="44">
        <v>2</v>
      </c>
      <c r="I22" s="48" t="s">
        <v>75</v>
      </c>
      <c r="J22" s="44" t="s">
        <v>87</v>
      </c>
      <c r="K22" s="45"/>
      <c r="M22" s="16">
        <v>1</v>
      </c>
      <c r="N22" s="16" t="s">
        <v>82</v>
      </c>
      <c r="O22" s="16" t="str">
        <f>CONCATENATE(extras[[#This Row],[TIPO]]," ",extras[[#This Row],[NUM. DE EJES]]," ",extras[[#This Row],[LARGO]])</f>
        <v>PLATAFORMA 3 40 FT</v>
      </c>
      <c r="P22" s="16" t="s">
        <v>63</v>
      </c>
      <c r="Q22" t="s">
        <v>91</v>
      </c>
      <c r="R22" s="27">
        <v>33000</v>
      </c>
      <c r="S22" s="27">
        <f>extras[[#This Row],[PZAS]]*extras[[#This Row],[PRECIO $ C/U]]*COTIZACION!$I$135</f>
        <v>33000</v>
      </c>
      <c r="T22" s="20">
        <v>3</v>
      </c>
      <c r="U22" s="16" t="s">
        <v>75</v>
      </c>
      <c r="V22" s="16"/>
      <c r="X22" s="15">
        <v>1</v>
      </c>
      <c r="Y22" s="15" t="s">
        <v>82</v>
      </c>
      <c r="Z22" s="15" t="str">
        <f>CONCATENATE(otros[[#This Row],[TIPO]]," ",otros[[#This Row],[NUM. DE EJES]]," ",otros[[#This Row],[LARGO]])</f>
        <v>PLATAFORMA 2 40 FT</v>
      </c>
      <c r="AA22" s="15" t="s">
        <v>67</v>
      </c>
      <c r="AB22" s="17">
        <v>2000</v>
      </c>
      <c r="AC22" s="27">
        <f>otros[[#This Row],[PZAS]]*otros[[#This Row],[PRECIO $ C/U]]*COTIZACION!$I$135</f>
        <v>2000</v>
      </c>
      <c r="AD22" s="18">
        <v>2</v>
      </c>
      <c r="AE22" s="15" t="s">
        <v>75</v>
      </c>
      <c r="AF22" s="16" t="s">
        <v>90</v>
      </c>
      <c r="AG22" s="15"/>
      <c r="AI22">
        <v>4</v>
      </c>
      <c r="AJ22" t="s">
        <v>82</v>
      </c>
      <c r="AK22" s="16" t="str">
        <f>CONCATENATE(piramide[[#This Row],[TIPO]]," ",piramide[[#This Row],[NUM. DE EJES]]," ",piramide[[#This Row],[LARGO]])</f>
        <v>PLATAFORMA 3 40 FT</v>
      </c>
      <c r="AL22" t="s">
        <v>31</v>
      </c>
      <c r="AM22" s="6">
        <v>7650</v>
      </c>
      <c r="AN22" s="27">
        <f>piramide[[#This Row],[PZAS]]*piramide[[#This Row],[PRECIO $ C/U]]*COTIZACION!$I$135</f>
        <v>30600</v>
      </c>
      <c r="AO22" s="1">
        <v>3</v>
      </c>
      <c r="AP22" t="s">
        <v>75</v>
      </c>
      <c r="AQ22" t="s">
        <v>88</v>
      </c>
      <c r="AT22">
        <v>1</v>
      </c>
      <c r="AU22" t="s">
        <v>82</v>
      </c>
      <c r="AV22" t="str">
        <f>CONCATENATE(truckzone[[#This Row],[TIPO]]," ",truckzone[[#This Row],[NUM. DE EJES]]," ",truckzone[[#This Row],[LARGO]])</f>
        <v>PLATAFORMA 3 40 FT</v>
      </c>
      <c r="AW22" t="s">
        <v>47</v>
      </c>
      <c r="AX22" s="6">
        <v>800</v>
      </c>
      <c r="AY22" s="27">
        <f>truckzone[[#This Row],[PZAS]]*truckzone[[#This Row],[PRECIO $ C/U]]*COTIZACION!$I$135</f>
        <v>800</v>
      </c>
      <c r="AZ22" s="1">
        <v>3</v>
      </c>
      <c r="BA22" t="s">
        <v>75</v>
      </c>
      <c r="BB22" s="40" t="s">
        <v>89</v>
      </c>
    </row>
    <row r="23" spans="2:75">
      <c r="B23" s="46">
        <v>1</v>
      </c>
      <c r="C23" s="24" t="s">
        <v>82</v>
      </c>
      <c r="D23" s="24" t="str">
        <f>CONCATENATE(ACERO1[[#This Row],[TIPO]]," ",ACERO1[[#This Row],[NUM. DE EJES]]," ",ACERO1[[#This Row],[LARGO]])</f>
        <v>PLATAFORMA 2 40 FT</v>
      </c>
      <c r="E23" s="24" t="s">
        <v>23</v>
      </c>
      <c r="F23" s="29">
        <v>7400</v>
      </c>
      <c r="G23" s="29">
        <f>PRODUCTOS!$B23*PRODUCTOS!$F23*COTIZACION!$I$135</f>
        <v>7400</v>
      </c>
      <c r="H23" s="30">
        <v>2</v>
      </c>
      <c r="I23" s="49" t="s">
        <v>75</v>
      </c>
      <c r="J23" s="30" t="s">
        <v>87</v>
      </c>
      <c r="K23" s="47"/>
      <c r="M23" s="24">
        <v>1</v>
      </c>
      <c r="N23" s="24" t="s">
        <v>82</v>
      </c>
      <c r="O23" s="24" t="str">
        <f>CONCATENATE(extras[[#This Row],[TIPO]]," ",extras[[#This Row],[NUM. DE EJES]]," ",extras[[#This Row],[LARGO]])</f>
        <v>PLATAFORMA 3 40 FT</v>
      </c>
      <c r="P23" s="24" t="s">
        <v>64</v>
      </c>
      <c r="Q23" t="s">
        <v>91</v>
      </c>
      <c r="R23" s="29">
        <v>15000</v>
      </c>
      <c r="S23" s="27">
        <f>extras[[#This Row],[PZAS]]*extras[[#This Row],[PRECIO $ C/U]]*COTIZACION!$I$135</f>
        <v>15000</v>
      </c>
      <c r="T23" s="30">
        <v>3</v>
      </c>
      <c r="U23" s="24" t="s">
        <v>75</v>
      </c>
      <c r="V23" s="24"/>
      <c r="X23" s="16">
        <v>1</v>
      </c>
      <c r="Y23" s="16" t="s">
        <v>82</v>
      </c>
      <c r="Z23" s="16" t="str">
        <f>CONCATENATE(otros[[#This Row],[TIPO]]," ",otros[[#This Row],[NUM. DE EJES]]," ",otros[[#This Row],[LARGO]])</f>
        <v>PLATAFORMA 2 40 FT</v>
      </c>
      <c r="AA23" s="16" t="s">
        <v>68</v>
      </c>
      <c r="AB23" s="19">
        <v>2500</v>
      </c>
      <c r="AC23" s="27">
        <f>otros[[#This Row],[PZAS]]*otros[[#This Row],[PRECIO $ C/U]]*COTIZACION!$I$135</f>
        <v>2500</v>
      </c>
      <c r="AD23" s="20">
        <v>2</v>
      </c>
      <c r="AE23" s="16" t="s">
        <v>75</v>
      </c>
      <c r="AF23" s="16" t="s">
        <v>90</v>
      </c>
      <c r="AG23" s="16"/>
      <c r="AI23">
        <v>2</v>
      </c>
      <c r="AJ23" t="s">
        <v>82</v>
      </c>
      <c r="AK23" s="16" t="str">
        <f>CONCATENATE(piramide[[#This Row],[TIPO]]," ",piramide[[#This Row],[NUM. DE EJES]]," ",piramide[[#This Row],[LARGO]])</f>
        <v>PLATAFORMA 3 40 FT</v>
      </c>
      <c r="AL23" t="s">
        <v>32</v>
      </c>
      <c r="AM23" s="6">
        <v>6326</v>
      </c>
      <c r="AN23" s="27">
        <f>piramide[[#This Row],[PZAS]]*piramide[[#This Row],[PRECIO $ C/U]]*COTIZACION!$I$135</f>
        <v>12652</v>
      </c>
      <c r="AO23" s="1">
        <v>3</v>
      </c>
      <c r="AP23" t="s">
        <v>75</v>
      </c>
      <c r="AQ23" t="s">
        <v>88</v>
      </c>
      <c r="AT23">
        <v>2</v>
      </c>
      <c r="AU23" t="s">
        <v>82</v>
      </c>
      <c r="AV23" t="str">
        <f>CONCATENATE(truckzone[[#This Row],[TIPO]]," ",truckzone[[#This Row],[NUM. DE EJES]]," ",truckzone[[#This Row],[LARGO]])</f>
        <v>PLATAFORMA 3 40 FT</v>
      </c>
      <c r="AW23" t="s">
        <v>48</v>
      </c>
      <c r="AX23" s="6">
        <v>418</v>
      </c>
      <c r="AY23" s="27">
        <f>truckzone[[#This Row],[PZAS]]*truckzone[[#This Row],[PRECIO $ C/U]]*COTIZACION!$I$135</f>
        <v>836</v>
      </c>
      <c r="AZ23" s="1">
        <v>3</v>
      </c>
      <c r="BA23" t="s">
        <v>75</v>
      </c>
      <c r="BB23" s="40" t="s">
        <v>89</v>
      </c>
    </row>
    <row r="24" spans="2:75">
      <c r="B24" s="41">
        <v>1</v>
      </c>
      <c r="C24" s="42" t="s">
        <v>82</v>
      </c>
      <c r="D24" s="24" t="str">
        <f>CONCATENATE(ACERO1[[#This Row],[TIPO]]," ",ACERO1[[#This Row],[NUM. DE EJES]]," ",ACERO1[[#This Row],[LARGO]])</f>
        <v>PLATAFORMA 2 40 FT</v>
      </c>
      <c r="E24" s="42" t="s">
        <v>24</v>
      </c>
      <c r="F24" s="43">
        <v>5784</v>
      </c>
      <c r="G24" s="43">
        <f>PRODUCTOS!$B24*PRODUCTOS!$F24*COTIZACION!$I$135</f>
        <v>5784</v>
      </c>
      <c r="H24" s="44">
        <v>2</v>
      </c>
      <c r="I24" s="48" t="s">
        <v>75</v>
      </c>
      <c r="J24" s="44" t="s">
        <v>87</v>
      </c>
      <c r="K24" s="45"/>
      <c r="M24">
        <v>0</v>
      </c>
      <c r="N24" t="s">
        <v>82</v>
      </c>
      <c r="O24" s="24" t="str">
        <f>CONCATENATE(extras[[#This Row],[TIPO]]," ",extras[[#This Row],[NUM. DE EJES]]," ",extras[[#This Row],[LARGO]])</f>
        <v>PLATAFORMA 3 40 FT</v>
      </c>
      <c r="P24" t="s">
        <v>153</v>
      </c>
      <c r="Q24" t="s">
        <v>91</v>
      </c>
      <c r="R24" s="6">
        <v>15000</v>
      </c>
      <c r="S24" s="7">
        <f>extras[[#This Row],[PZAS]]*extras[[#This Row],[PRECIO $ C/U]]*COTIZACION!$I$135</f>
        <v>0</v>
      </c>
      <c r="T24" s="2">
        <v>3</v>
      </c>
      <c r="U24" t="s">
        <v>75</v>
      </c>
      <c r="X24">
        <v>2</v>
      </c>
      <c r="Y24" t="s">
        <v>82</v>
      </c>
      <c r="Z24" t="str">
        <f>CONCATENATE(otros[[#This Row],[TIPO]]," ",otros[[#This Row],[NUM. DE EJES]]," ",otros[[#This Row],[LARGO]])</f>
        <v>PLATAFORMA 3 40 FT</v>
      </c>
      <c r="AA24" t="s">
        <v>51</v>
      </c>
      <c r="AB24" s="6">
        <v>820</v>
      </c>
      <c r="AC24" s="27">
        <f>otros[[#This Row],[PZAS]]*otros[[#This Row],[PRECIO $ C/U]]*COTIZACION!$I$135</f>
        <v>1640</v>
      </c>
      <c r="AD24" s="2">
        <v>3</v>
      </c>
      <c r="AE24" t="s">
        <v>75</v>
      </c>
      <c r="AF24" s="16" t="s">
        <v>90</v>
      </c>
      <c r="AI24">
        <v>0.4</v>
      </c>
      <c r="AJ24" t="s">
        <v>82</v>
      </c>
      <c r="AK24" s="16" t="str">
        <f>CONCATENATE(piramide[[#This Row],[TIPO]]," ",piramide[[#This Row],[NUM. DE EJES]]," ",piramide[[#This Row],[LARGO]])</f>
        <v>PLATAFORMA 3 40 FT</v>
      </c>
      <c r="AL24" t="s">
        <v>33</v>
      </c>
      <c r="AM24" s="6">
        <v>6326</v>
      </c>
      <c r="AN24" s="27">
        <f>piramide[[#This Row],[PZAS]]*piramide[[#This Row],[PRECIO $ C/U]]*COTIZACION!$I$135</f>
        <v>2530.4</v>
      </c>
      <c r="AO24" s="1">
        <v>3</v>
      </c>
      <c r="AP24" t="s">
        <v>75</v>
      </c>
      <c r="AQ24" t="s">
        <v>88</v>
      </c>
      <c r="AT24">
        <v>3</v>
      </c>
      <c r="AU24" t="s">
        <v>82</v>
      </c>
      <c r="AV24" t="str">
        <f>CONCATENATE(truckzone[[#This Row],[TIPO]]," ",truckzone[[#This Row],[NUM. DE EJES]]," ",truckzone[[#This Row],[LARGO]])</f>
        <v>PLATAFORMA 3 40 FT</v>
      </c>
      <c r="AW24" t="s">
        <v>40</v>
      </c>
      <c r="AX24" s="6">
        <v>23118</v>
      </c>
      <c r="AY24" s="27">
        <f>truckzone[[#This Row],[PZAS]]*truckzone[[#This Row],[PRECIO $ C/U]]*COTIZACION!$I$135</f>
        <v>69354</v>
      </c>
      <c r="AZ24" s="1">
        <v>3</v>
      </c>
      <c r="BA24" t="s">
        <v>75</v>
      </c>
      <c r="BB24" s="40" t="s">
        <v>89</v>
      </c>
    </row>
    <row r="25" spans="2:75">
      <c r="B25" s="46">
        <v>1</v>
      </c>
      <c r="C25" s="24" t="s">
        <v>82</v>
      </c>
      <c r="D25" s="24" t="str">
        <f>CONCATENATE(ACERO1[[#This Row],[TIPO]]," ",ACERO1[[#This Row],[NUM. DE EJES]]," ",ACERO1[[#This Row],[LARGO]])</f>
        <v>PLATAFORMA 2 40 FT</v>
      </c>
      <c r="E25" s="24" t="s">
        <v>25</v>
      </c>
      <c r="F25" s="29">
        <v>156</v>
      </c>
      <c r="G25" s="29">
        <f>PRODUCTOS!$B25*PRODUCTOS!$F25*COTIZACION!$I$135</f>
        <v>156</v>
      </c>
      <c r="H25" s="30">
        <v>2</v>
      </c>
      <c r="I25" s="49" t="s">
        <v>75</v>
      </c>
      <c r="J25" s="30" t="s">
        <v>87</v>
      </c>
      <c r="K25" s="47"/>
      <c r="M25">
        <v>0</v>
      </c>
      <c r="N25" t="s">
        <v>82</v>
      </c>
      <c r="O25" s="24" t="str">
        <f>CONCATENATE(extras[[#This Row],[TIPO]]," ",extras[[#This Row],[NUM. DE EJES]]," ",extras[[#This Row],[LARGO]])</f>
        <v>PLATAFORMA 3 40 FT</v>
      </c>
      <c r="P25" t="s">
        <v>154</v>
      </c>
      <c r="Q25" t="s">
        <v>91</v>
      </c>
      <c r="R25" s="6"/>
      <c r="S25" s="7">
        <f>extras[[#This Row],[PZAS]]*extras[[#This Row],[PRECIO $ C/U]]*COTIZACION!$I$135</f>
        <v>0</v>
      </c>
      <c r="T25" s="2">
        <v>3</v>
      </c>
      <c r="U25" t="s">
        <v>75</v>
      </c>
      <c r="X25">
        <v>4</v>
      </c>
      <c r="Y25" t="s">
        <v>82</v>
      </c>
      <c r="Z25" t="str">
        <f>CONCATENATE(otros[[#This Row],[TIPO]]," ",otros[[#This Row],[NUM. DE EJES]]," ",otros[[#This Row],[LARGO]])</f>
        <v>PLATAFORMA 3 40 FT</v>
      </c>
      <c r="AA25" t="s">
        <v>52</v>
      </c>
      <c r="AB25" s="6">
        <v>1295</v>
      </c>
      <c r="AC25" s="27">
        <f>otros[[#This Row],[PZAS]]*otros[[#This Row],[PRECIO $ C/U]]*COTIZACION!$I$135</f>
        <v>5180</v>
      </c>
      <c r="AD25" s="2">
        <v>3</v>
      </c>
      <c r="AE25" t="s">
        <v>75</v>
      </c>
      <c r="AF25" s="16" t="s">
        <v>90</v>
      </c>
      <c r="AI25">
        <v>0.6</v>
      </c>
      <c r="AJ25" t="s">
        <v>82</v>
      </c>
      <c r="AK25" s="16" t="str">
        <f>CONCATENATE(piramide[[#This Row],[TIPO]]," ",piramide[[#This Row],[NUM. DE EJES]]," ",piramide[[#This Row],[LARGO]])</f>
        <v>PLATAFORMA 3 40 FT</v>
      </c>
      <c r="AL25" t="s">
        <v>34</v>
      </c>
      <c r="AM25" s="6">
        <v>1873</v>
      </c>
      <c r="AN25" s="27">
        <f>piramide[[#This Row],[PZAS]]*piramide[[#This Row],[PRECIO $ C/U]]*COTIZACION!$I$135</f>
        <v>1123.8</v>
      </c>
      <c r="AO25" s="1">
        <v>3</v>
      </c>
      <c r="AP25" t="s">
        <v>75</v>
      </c>
      <c r="AQ25" t="s">
        <v>88</v>
      </c>
      <c r="AT25">
        <v>3</v>
      </c>
      <c r="AU25" t="s">
        <v>82</v>
      </c>
      <c r="AV25" t="str">
        <f>CONCATENATE(truckzone[[#This Row],[TIPO]]," ",truckzone[[#This Row],[NUM. DE EJES]]," ",truckzone[[#This Row],[LARGO]])</f>
        <v>PLATAFORMA 3 40 FT</v>
      </c>
      <c r="AW25" t="s">
        <v>41</v>
      </c>
      <c r="AX25" s="6">
        <v>24421.05</v>
      </c>
      <c r="AY25" s="27">
        <f>truckzone[[#This Row],[PZAS]]*truckzone[[#This Row],[PRECIO $ C/U]]*COTIZACION!$I$135</f>
        <v>73263.149999999994</v>
      </c>
      <c r="AZ25" s="1">
        <v>3</v>
      </c>
      <c r="BA25" t="s">
        <v>75</v>
      </c>
      <c r="BB25" s="40" t="s">
        <v>89</v>
      </c>
    </row>
    <row r="26" spans="2:75">
      <c r="B26" s="41">
        <v>1</v>
      </c>
      <c r="C26" s="42" t="s">
        <v>82</v>
      </c>
      <c r="D26" s="24" t="str">
        <f>CONCATENATE(ACERO1[[#This Row],[TIPO]]," ",ACERO1[[#This Row],[NUM. DE EJES]]," ",ACERO1[[#This Row],[LARGO]])</f>
        <v>PLATAFORMA 2 40 FT</v>
      </c>
      <c r="E26" s="42" t="s">
        <v>26</v>
      </c>
      <c r="F26" s="43">
        <v>140</v>
      </c>
      <c r="G26" s="43">
        <f>PRODUCTOS!$B26*PRODUCTOS!$F26*COTIZACION!$I$135</f>
        <v>140</v>
      </c>
      <c r="H26" s="44">
        <v>2</v>
      </c>
      <c r="I26" s="48" t="s">
        <v>75</v>
      </c>
      <c r="J26" s="44" t="s">
        <v>87</v>
      </c>
      <c r="K26" s="45"/>
      <c r="M26">
        <v>8</v>
      </c>
      <c r="N26" t="s">
        <v>82</v>
      </c>
      <c r="O26" s="24" t="str">
        <f>CONCATENATE(extras[[#This Row],[TIPO]]," ",extras[[#This Row],[NUM. DE EJES]]," ",extras[[#This Row],[LARGO]])</f>
        <v>PLATAFORMA 3 40 FT</v>
      </c>
      <c r="P26" t="s">
        <v>157</v>
      </c>
      <c r="Q26" t="s">
        <v>91</v>
      </c>
      <c r="R26" s="6"/>
      <c r="S26" s="7">
        <f>extras[[#This Row],[PZAS]]*extras[[#This Row],[PRECIO $ C/U]]*COTIZACION!$I$135</f>
        <v>0</v>
      </c>
      <c r="T26" s="2">
        <v>3</v>
      </c>
      <c r="U26" t="s">
        <v>75</v>
      </c>
      <c r="X26">
        <v>1</v>
      </c>
      <c r="Y26" t="s">
        <v>82</v>
      </c>
      <c r="Z26" t="str">
        <f>CONCATENATE(otros[[#This Row],[TIPO]]," ",otros[[#This Row],[NUM. DE EJES]]," ",otros[[#This Row],[LARGO]])</f>
        <v>PLATAFORMA 3 40 FT</v>
      </c>
      <c r="AA26" t="s">
        <v>53</v>
      </c>
      <c r="AB26" s="6">
        <v>550</v>
      </c>
      <c r="AC26" s="27">
        <f>otros[[#This Row],[PZAS]]*otros[[#This Row],[PRECIO $ C/U]]*COTIZACION!$I$135</f>
        <v>550</v>
      </c>
      <c r="AD26" s="2">
        <v>3</v>
      </c>
      <c r="AE26" t="s">
        <v>75</v>
      </c>
      <c r="AF26" s="16" t="s">
        <v>90</v>
      </c>
      <c r="AI26">
        <v>1.5</v>
      </c>
      <c r="AJ26" t="s">
        <v>82</v>
      </c>
      <c r="AK26" s="16" t="str">
        <f>CONCATENATE(piramide[[#This Row],[TIPO]]," ",piramide[[#This Row],[NUM. DE EJES]]," ",piramide[[#This Row],[LARGO]])</f>
        <v>PLATAFORMA 3 40 FT</v>
      </c>
      <c r="AL26" t="s">
        <v>35</v>
      </c>
      <c r="AM26" s="6">
        <v>728</v>
      </c>
      <c r="AN26" s="27">
        <f>piramide[[#This Row],[PZAS]]*piramide[[#This Row],[PRECIO $ C/U]]*COTIZACION!$I$135</f>
        <v>1092</v>
      </c>
      <c r="AO26" s="1">
        <v>3</v>
      </c>
      <c r="AP26" t="s">
        <v>75</v>
      </c>
      <c r="AQ26" t="s">
        <v>88</v>
      </c>
      <c r="AT26">
        <v>1</v>
      </c>
      <c r="AU26" t="s">
        <v>82</v>
      </c>
      <c r="AV26" t="str">
        <f>CONCATENATE(truckzone[[#This Row],[TIPO]]," ",truckzone[[#This Row],[NUM. DE EJES]]," ",truckzone[[#This Row],[LARGO]])</f>
        <v>PLATAFORMA 3 40 FT</v>
      </c>
      <c r="AW26" t="s">
        <v>44</v>
      </c>
      <c r="AX26" s="6">
        <v>7000</v>
      </c>
      <c r="AY26" s="27">
        <f>truckzone[[#This Row],[PZAS]]*truckzone[[#This Row],[PRECIO $ C/U]]*COTIZACION!$I$135</f>
        <v>7000</v>
      </c>
      <c r="AZ26" s="1">
        <v>3</v>
      </c>
      <c r="BA26" t="s">
        <v>75</v>
      </c>
      <c r="BB26" s="40" t="s">
        <v>89</v>
      </c>
    </row>
    <row r="27" spans="2:75">
      <c r="B27" s="46">
        <v>1</v>
      </c>
      <c r="C27" s="24" t="s">
        <v>82</v>
      </c>
      <c r="D27" s="24" t="str">
        <f>CONCATENATE(ACERO1[[#This Row],[TIPO]]," ",ACERO1[[#This Row],[NUM. DE EJES]]," ",ACERO1[[#This Row],[LARGO]])</f>
        <v>PLATAFORMA 2 40 FT</v>
      </c>
      <c r="E27" s="24" t="s">
        <v>27</v>
      </c>
      <c r="F27" s="29">
        <v>5540</v>
      </c>
      <c r="G27" s="29">
        <f>PRODUCTOS!$B27*PRODUCTOS!$F27*COTIZACION!$I$135</f>
        <v>5540</v>
      </c>
      <c r="H27" s="30">
        <v>2</v>
      </c>
      <c r="I27" s="49" t="s">
        <v>75</v>
      </c>
      <c r="J27" s="30" t="s">
        <v>87</v>
      </c>
      <c r="K27" s="47"/>
      <c r="M27">
        <v>0</v>
      </c>
      <c r="N27" t="s">
        <v>82</v>
      </c>
      <c r="O27" s="24" t="str">
        <f>CONCATENATE(extras[[#This Row],[TIPO]]," ",extras[[#This Row],[NUM. DE EJES]]," ",extras[[#This Row],[LARGO]])</f>
        <v>PLATAFORMA 3 40 FT</v>
      </c>
      <c r="P27" t="s">
        <v>158</v>
      </c>
      <c r="Q27" t="s">
        <v>91</v>
      </c>
      <c r="R27" s="6"/>
      <c r="S27" s="7">
        <f>extras[[#This Row],[PZAS]]*extras[[#This Row],[PRECIO $ C/U]]*COTIZACION!$I$135</f>
        <v>0</v>
      </c>
      <c r="T27" s="2">
        <v>3</v>
      </c>
      <c r="U27" t="s">
        <v>75</v>
      </c>
      <c r="X27">
        <v>2</v>
      </c>
      <c r="Y27" t="s">
        <v>82</v>
      </c>
      <c r="Z27" t="str">
        <f>CONCATENATE(otros[[#This Row],[TIPO]]," ",otros[[#This Row],[NUM. DE EJES]]," ",otros[[#This Row],[LARGO]])</f>
        <v>PLATAFORMA 3 40 FT</v>
      </c>
      <c r="AA27" t="s">
        <v>54</v>
      </c>
      <c r="AB27" s="6">
        <v>150</v>
      </c>
      <c r="AC27" s="27">
        <f>otros[[#This Row],[PZAS]]*otros[[#This Row],[PRECIO $ C/U]]*COTIZACION!$I$135</f>
        <v>300</v>
      </c>
      <c r="AD27" s="2">
        <v>3</v>
      </c>
      <c r="AE27" t="s">
        <v>75</v>
      </c>
      <c r="AF27" s="16" t="s">
        <v>90</v>
      </c>
      <c r="AI27">
        <v>6</v>
      </c>
      <c r="AJ27" t="s">
        <v>82</v>
      </c>
      <c r="AK27" s="16" t="str">
        <f>CONCATENATE(piramide[[#This Row],[TIPO]]," ",piramide[[#This Row],[NUM. DE EJES]]," ",piramide[[#This Row],[LARGO]])</f>
        <v>PLATAFORMA 3 40 FT</v>
      </c>
      <c r="AL27" t="s">
        <v>36</v>
      </c>
      <c r="AM27" s="6">
        <v>940</v>
      </c>
      <c r="AN27" s="27">
        <f>piramide[[#This Row],[PZAS]]*piramide[[#This Row],[PRECIO $ C/U]]*COTIZACION!$I$135</f>
        <v>5640</v>
      </c>
      <c r="AO27" s="1">
        <v>3</v>
      </c>
      <c r="AP27" t="s">
        <v>75</v>
      </c>
      <c r="AQ27" t="s">
        <v>88</v>
      </c>
      <c r="AT27">
        <v>12</v>
      </c>
      <c r="AU27" t="s">
        <v>82</v>
      </c>
      <c r="AV27" t="str">
        <f>CONCATENATE(truckzone[[#This Row],[TIPO]]," ",truckzone[[#This Row],[NUM. DE EJES]]," ",truckzone[[#This Row],[LARGO]])</f>
        <v>PLATAFORMA 3 40 FT</v>
      </c>
      <c r="AW27" t="s">
        <v>49</v>
      </c>
      <c r="AX27" s="6">
        <v>346</v>
      </c>
      <c r="AY27" s="27">
        <f>truckzone[[#This Row],[PZAS]]*truckzone[[#This Row],[PRECIO $ C/U]]*COTIZACION!$I$135</f>
        <v>4152</v>
      </c>
      <c r="AZ27" s="1">
        <v>3</v>
      </c>
      <c r="BA27" t="s">
        <v>75</v>
      </c>
      <c r="BB27" s="40" t="s">
        <v>89</v>
      </c>
    </row>
    <row r="28" spans="2:75">
      <c r="B28" s="41">
        <v>1</v>
      </c>
      <c r="C28" s="42" t="s">
        <v>82</v>
      </c>
      <c r="D28" s="24" t="str">
        <f>CONCATENATE(ACERO1[[#This Row],[TIPO]]," ",ACERO1[[#This Row],[NUM. DE EJES]]," ",ACERO1[[#This Row],[LARGO]])</f>
        <v>PLATAFORMA 3 40 FT</v>
      </c>
      <c r="E28" s="42" t="s">
        <v>8</v>
      </c>
      <c r="F28" s="43">
        <v>2064</v>
      </c>
      <c r="G28" s="43">
        <f>PRODUCTOS!$B28*PRODUCTOS!$F28*COTIZACION!$I$135</f>
        <v>2064</v>
      </c>
      <c r="H28" s="48">
        <v>3</v>
      </c>
      <c r="I28" s="48" t="s">
        <v>75</v>
      </c>
      <c r="J28" s="44" t="s">
        <v>87</v>
      </c>
      <c r="K28" s="45"/>
      <c r="M28">
        <v>0</v>
      </c>
      <c r="N28" t="s">
        <v>82</v>
      </c>
      <c r="O28" s="24" t="str">
        <f>CONCATENATE(extras[[#This Row],[TIPO]]," ",extras[[#This Row],[NUM. DE EJES]]," ",extras[[#This Row],[LARGO]])</f>
        <v>PLATAFORMA 3 40 FT</v>
      </c>
      <c r="P28" t="s">
        <v>159</v>
      </c>
      <c r="Q28" t="s">
        <v>91</v>
      </c>
      <c r="R28" s="6"/>
      <c r="S28" s="7">
        <f>extras[[#This Row],[PZAS]]*extras[[#This Row],[PRECIO $ C/U]]*COTIZACION!$I$135</f>
        <v>0</v>
      </c>
      <c r="T28" s="2">
        <v>3</v>
      </c>
      <c r="U28" t="s">
        <v>75</v>
      </c>
      <c r="X28">
        <v>4</v>
      </c>
      <c r="Y28" t="s">
        <v>82</v>
      </c>
      <c r="Z28" t="str">
        <f>CONCATENATE(otros[[#This Row],[TIPO]]," ",otros[[#This Row],[NUM. DE EJES]]," ",otros[[#This Row],[LARGO]])</f>
        <v>PLATAFORMA 3 40 FT</v>
      </c>
      <c r="AA28" t="s">
        <v>55</v>
      </c>
      <c r="AB28" s="6">
        <v>150</v>
      </c>
      <c r="AC28" s="27">
        <f>otros[[#This Row],[PZAS]]*otros[[#This Row],[PRECIO $ C/U]]*COTIZACION!$I$135</f>
        <v>600</v>
      </c>
      <c r="AD28" s="2">
        <v>3</v>
      </c>
      <c r="AE28" t="s">
        <v>75</v>
      </c>
      <c r="AF28" s="16" t="s">
        <v>90</v>
      </c>
      <c r="AI28">
        <v>0.5</v>
      </c>
      <c r="AJ28" t="s">
        <v>82</v>
      </c>
      <c r="AK28" s="16" t="str">
        <f>CONCATENATE(piramide[[#This Row],[TIPO]]," ",piramide[[#This Row],[NUM. DE EJES]]," ",piramide[[#This Row],[LARGO]])</f>
        <v>PLATAFORMA 3 40 FT</v>
      </c>
      <c r="AL28" t="s">
        <v>37</v>
      </c>
      <c r="AM28" s="6">
        <v>400</v>
      </c>
      <c r="AN28" s="27">
        <f>piramide[[#This Row],[PZAS]]*piramide[[#This Row],[PRECIO $ C/U]]*COTIZACION!$I$135</f>
        <v>200</v>
      </c>
      <c r="AO28" s="1">
        <v>3</v>
      </c>
      <c r="AP28" t="s">
        <v>75</v>
      </c>
      <c r="AQ28" t="s">
        <v>88</v>
      </c>
      <c r="AT28">
        <v>1</v>
      </c>
      <c r="AU28" t="s">
        <v>82</v>
      </c>
      <c r="AV28" t="str">
        <f>CONCATENATE(truckzone[[#This Row],[TIPO]]," ",truckzone[[#This Row],[NUM. DE EJES]]," ",truckzone[[#This Row],[LARGO]])</f>
        <v>PLATAFORMA 3 40 FT</v>
      </c>
      <c r="AW28" t="s">
        <v>42</v>
      </c>
      <c r="AX28" s="6">
        <v>27000</v>
      </c>
      <c r="AY28" s="27">
        <f>truckzone[[#This Row],[PZAS]]*truckzone[[#This Row],[PRECIO $ C/U]]*COTIZACION!$I$135</f>
        <v>27000</v>
      </c>
      <c r="AZ28" s="1">
        <v>3</v>
      </c>
      <c r="BA28" t="s">
        <v>75</v>
      </c>
      <c r="BB28" s="40" t="s">
        <v>89</v>
      </c>
    </row>
    <row r="29" spans="2:75">
      <c r="B29" s="46">
        <v>1</v>
      </c>
      <c r="C29" s="24" t="s">
        <v>82</v>
      </c>
      <c r="D29" s="24" t="str">
        <f>CONCATENATE(ACERO1[[#This Row],[TIPO]]," ",ACERO1[[#This Row],[NUM. DE EJES]]," ",ACERO1[[#This Row],[LARGO]])</f>
        <v>PLATAFORMA 3 40 FT</v>
      </c>
      <c r="E29" s="24" t="s">
        <v>9</v>
      </c>
      <c r="F29" s="29">
        <v>2328</v>
      </c>
      <c r="G29" s="29">
        <f>PRODUCTOS!$B29*PRODUCTOS!$F29*COTIZACION!$I$135</f>
        <v>2328</v>
      </c>
      <c r="H29" s="49">
        <v>3</v>
      </c>
      <c r="I29" s="49" t="s">
        <v>75</v>
      </c>
      <c r="J29" s="30" t="s">
        <v>87</v>
      </c>
      <c r="K29" s="47"/>
      <c r="M29">
        <v>1</v>
      </c>
      <c r="N29" t="s">
        <v>82</v>
      </c>
      <c r="O29" t="str">
        <f>CONCATENATE(extras[[#This Row],[TIPO]]," ",extras[[#This Row],[NUM. DE EJES]]," ",extras[[#This Row],[LARGO]])</f>
        <v>PLATAFORMA 2 45 FT</v>
      </c>
      <c r="P29" t="s">
        <v>69</v>
      </c>
      <c r="Q29" t="s">
        <v>91</v>
      </c>
      <c r="R29" s="6">
        <v>8000</v>
      </c>
      <c r="S29" s="7">
        <f>extras[[#This Row],[PZAS]]*extras[[#This Row],[PRECIO $ C/U]]*COTIZACION!$I$135</f>
        <v>8000</v>
      </c>
      <c r="T29" s="2">
        <v>2</v>
      </c>
      <c r="U29" t="s">
        <v>165</v>
      </c>
      <c r="X29">
        <v>2</v>
      </c>
      <c r="Y29" t="s">
        <v>82</v>
      </c>
      <c r="Z29" t="str">
        <f>CONCATENATE(otros[[#This Row],[TIPO]]," ",otros[[#This Row],[NUM. DE EJES]]," ",otros[[#This Row],[LARGO]])</f>
        <v>PLATAFORMA 3 40 FT</v>
      </c>
      <c r="AA29" t="s">
        <v>56</v>
      </c>
      <c r="AB29" s="6">
        <v>165</v>
      </c>
      <c r="AC29" s="27">
        <f>otros[[#This Row],[PZAS]]*otros[[#This Row],[PRECIO $ C/U]]*COTIZACION!$I$135</f>
        <v>330</v>
      </c>
      <c r="AD29" s="2">
        <v>3</v>
      </c>
      <c r="AE29" t="s">
        <v>75</v>
      </c>
      <c r="AF29" s="16" t="s">
        <v>90</v>
      </c>
      <c r="AI29">
        <v>1</v>
      </c>
      <c r="AJ29" t="s">
        <v>82</v>
      </c>
      <c r="AK29" s="16" t="str">
        <f>CONCATENATE(piramide[[#This Row],[TIPO]]," ",piramide[[#This Row],[NUM. DE EJES]]," ",piramide[[#This Row],[LARGO]])</f>
        <v>PLATAFORMA 3 40 FT</v>
      </c>
      <c r="AL29" t="s">
        <v>38</v>
      </c>
      <c r="AM29" s="6">
        <v>380</v>
      </c>
      <c r="AN29" s="27">
        <f>piramide[[#This Row],[PZAS]]*piramide[[#This Row],[PRECIO $ C/U]]*COTIZACION!$I$135</f>
        <v>380</v>
      </c>
      <c r="AO29" s="1">
        <v>3</v>
      </c>
      <c r="AP29" t="s">
        <v>75</v>
      </c>
      <c r="AQ29" t="s">
        <v>88</v>
      </c>
      <c r="AT29">
        <v>2</v>
      </c>
      <c r="AU29" t="s">
        <v>82</v>
      </c>
      <c r="AV29" t="str">
        <f>CONCATENATE(truckzone[[#This Row],[TIPO]]," ",truckzone[[#This Row],[NUM. DE EJES]]," ",truckzone[[#This Row],[LARGO]])</f>
        <v>PLATAFORMA 3 40 FT</v>
      </c>
      <c r="AW29" t="s">
        <v>45</v>
      </c>
      <c r="AX29" s="6">
        <v>3700</v>
      </c>
      <c r="AY29" s="27">
        <f>truckzone[[#This Row],[PZAS]]*truckzone[[#This Row],[PRECIO $ C/U]]*COTIZACION!$I$135</f>
        <v>7400</v>
      </c>
      <c r="AZ29" s="1">
        <v>3</v>
      </c>
      <c r="BA29" t="s">
        <v>75</v>
      </c>
      <c r="BB29" s="40" t="s">
        <v>89</v>
      </c>
    </row>
    <row r="30" spans="2:75">
      <c r="B30" s="41">
        <v>1</v>
      </c>
      <c r="C30" s="42" t="s">
        <v>82</v>
      </c>
      <c r="D30" s="24" t="str">
        <f>CONCATENATE(ACERO1[[#This Row],[TIPO]]," ",ACERO1[[#This Row],[NUM. DE EJES]]," ",ACERO1[[#This Row],[LARGO]])</f>
        <v>PLATAFORMA 3 40 FT</v>
      </c>
      <c r="E30" s="42" t="s">
        <v>10</v>
      </c>
      <c r="F30" s="43">
        <v>84</v>
      </c>
      <c r="G30" s="43">
        <f>PRODUCTOS!$B30*PRODUCTOS!$F30*COTIZACION!$I$135</f>
        <v>84</v>
      </c>
      <c r="H30" s="48">
        <v>3</v>
      </c>
      <c r="I30" s="48" t="s">
        <v>75</v>
      </c>
      <c r="J30" s="44" t="s">
        <v>87</v>
      </c>
      <c r="K30" s="45"/>
      <c r="M30">
        <v>1</v>
      </c>
      <c r="N30" t="s">
        <v>82</v>
      </c>
      <c r="O30" t="str">
        <f>CONCATENATE(extras[[#This Row],[TIPO]]," ",extras[[#This Row],[NUM. DE EJES]]," ",extras[[#This Row],[LARGO]])</f>
        <v>PLATAFORMA 2 45 FT</v>
      </c>
      <c r="P30" t="s">
        <v>70</v>
      </c>
      <c r="Q30" t="s">
        <v>91</v>
      </c>
      <c r="R30" s="6">
        <v>3744</v>
      </c>
      <c r="S30" s="7">
        <f>extras[[#This Row],[PZAS]]*extras[[#This Row],[PRECIO $ C/U]]*COTIZACION!$I$135</f>
        <v>3744</v>
      </c>
      <c r="T30" s="2">
        <v>2</v>
      </c>
      <c r="U30" t="s">
        <v>165</v>
      </c>
      <c r="X30">
        <v>2</v>
      </c>
      <c r="Y30" t="s">
        <v>82</v>
      </c>
      <c r="Z30" t="str">
        <f>CONCATENATE(otros[[#This Row],[TIPO]]," ",otros[[#This Row],[NUM. DE EJES]]," ",otros[[#This Row],[LARGO]])</f>
        <v>PLATAFORMA 3 40 FT</v>
      </c>
      <c r="AA30" t="s">
        <v>57</v>
      </c>
      <c r="AB30" s="6">
        <v>165</v>
      </c>
      <c r="AC30" s="27">
        <f>otros[[#This Row],[PZAS]]*otros[[#This Row],[PRECIO $ C/U]]*COTIZACION!$I$135</f>
        <v>330</v>
      </c>
      <c r="AD30" s="2">
        <v>3</v>
      </c>
      <c r="AE30" t="s">
        <v>75</v>
      </c>
      <c r="AF30" s="16" t="s">
        <v>90</v>
      </c>
      <c r="AI30">
        <v>0.6</v>
      </c>
      <c r="AJ30" t="s">
        <v>82</v>
      </c>
      <c r="AK30" s="16" t="str">
        <f>CONCATENATE(piramide[[#This Row],[TIPO]]," ",piramide[[#This Row],[NUM. DE EJES]]," ",piramide[[#This Row],[LARGO]])</f>
        <v>PLATAFORMA 3 40 FT</v>
      </c>
      <c r="AL30" t="s">
        <v>166</v>
      </c>
      <c r="AM30" s="6">
        <v>415</v>
      </c>
      <c r="AN30" s="36">
        <f>piramide[[#This Row],[PZAS]]*piramide[[#This Row],[PRECIO $ C/U]]*COTIZACION!$I$135</f>
        <v>249</v>
      </c>
      <c r="AO30" s="1">
        <v>3</v>
      </c>
      <c r="AP30" t="s">
        <v>75</v>
      </c>
      <c r="AQ30" t="s">
        <v>88</v>
      </c>
      <c r="AT30">
        <v>43</v>
      </c>
      <c r="AU30" t="s">
        <v>82</v>
      </c>
      <c r="AV30" t="str">
        <f>CONCATENATE(truckzone[[#This Row],[TIPO]]," ",truckzone[[#This Row],[NUM. DE EJES]]," ",truckzone[[#This Row],[LARGO]])</f>
        <v>PLATAFORMA 2 45 FT</v>
      </c>
      <c r="AW30" t="s">
        <v>39</v>
      </c>
      <c r="AX30" s="6">
        <v>578</v>
      </c>
      <c r="AY30" s="28">
        <f>truckzone[[#This Row],[PZAS]]*truckzone[[#This Row],[PRECIO $ C/U]]*COTIZACION!$I$135</f>
        <v>24854</v>
      </c>
      <c r="AZ30" s="2">
        <v>2</v>
      </c>
      <c r="BA30" t="s">
        <v>165</v>
      </c>
      <c r="BB30" s="40" t="s">
        <v>89</v>
      </c>
    </row>
    <row r="31" spans="2:75">
      <c r="B31" s="46">
        <v>2</v>
      </c>
      <c r="C31" s="24" t="s">
        <v>82</v>
      </c>
      <c r="D31" s="24" t="str">
        <f>CONCATENATE(ACERO1[[#This Row],[TIPO]]," ",ACERO1[[#This Row],[NUM. DE EJES]]," ",ACERO1[[#This Row],[LARGO]])</f>
        <v>PLATAFORMA 3 40 FT</v>
      </c>
      <c r="E31" s="24" t="s">
        <v>147</v>
      </c>
      <c r="F31" s="29">
        <v>480</v>
      </c>
      <c r="G31" s="29">
        <f>PRODUCTOS!$B31*PRODUCTOS!$F31*COTIZACION!$I$135</f>
        <v>960</v>
      </c>
      <c r="H31" s="49">
        <v>3</v>
      </c>
      <c r="I31" s="49" t="s">
        <v>75</v>
      </c>
      <c r="J31" s="30" t="s">
        <v>87</v>
      </c>
      <c r="K31" s="47"/>
      <c r="M31">
        <v>1</v>
      </c>
      <c r="N31" t="s">
        <v>82</v>
      </c>
      <c r="O31" t="str">
        <f>CONCATENATE(extras[[#This Row],[TIPO]]," ",extras[[#This Row],[NUM. DE EJES]]," ",extras[[#This Row],[LARGO]])</f>
        <v>PLATAFORMA 2 45 FT</v>
      </c>
      <c r="P31" t="s">
        <v>131</v>
      </c>
      <c r="Q31" t="s">
        <v>91</v>
      </c>
      <c r="R31" s="6">
        <v>6340</v>
      </c>
      <c r="S31" s="7">
        <f>extras[[#This Row],[PZAS]]*extras[[#This Row],[PRECIO $ C/U]]*COTIZACION!$I$135</f>
        <v>6340</v>
      </c>
      <c r="T31" s="2">
        <v>2</v>
      </c>
      <c r="U31" t="s">
        <v>165</v>
      </c>
      <c r="X31">
        <v>2</v>
      </c>
      <c r="Y31" t="s">
        <v>82</v>
      </c>
      <c r="Z31" t="str">
        <f>CONCATENATE(otros[[#This Row],[TIPO]]," ",otros[[#This Row],[NUM. DE EJES]]," ",otros[[#This Row],[LARGO]])</f>
        <v>PLATAFORMA 3 40 FT</v>
      </c>
      <c r="AA31" t="s">
        <v>58</v>
      </c>
      <c r="AB31" s="6">
        <v>127</v>
      </c>
      <c r="AC31" s="27">
        <f>otros[[#This Row],[PZAS]]*otros[[#This Row],[PRECIO $ C/U]]*COTIZACION!$I$135</f>
        <v>254</v>
      </c>
      <c r="AD31" s="2">
        <v>3</v>
      </c>
      <c r="AE31" t="s">
        <v>75</v>
      </c>
      <c r="AF31" s="16" t="s">
        <v>90</v>
      </c>
      <c r="AI31">
        <v>0.2</v>
      </c>
      <c r="AJ31" t="s">
        <v>82</v>
      </c>
      <c r="AK31" s="16" t="str">
        <f>CONCATENATE(piramide[[#This Row],[TIPO]]," ",piramide[[#This Row],[NUM. DE EJES]]," ",piramide[[#This Row],[LARGO]])</f>
        <v>PLATAFORMA 3 40 FT</v>
      </c>
      <c r="AL31" t="s">
        <v>155</v>
      </c>
      <c r="AM31" s="6">
        <v>360</v>
      </c>
      <c r="AN31" s="28">
        <f>piramide[[#This Row],[PZAS]]*piramide[[#This Row],[PRECIO $ C/U]]*COTIZACION!$I$135</f>
        <v>72</v>
      </c>
      <c r="AO31" s="2">
        <v>3</v>
      </c>
      <c r="AP31" t="s">
        <v>75</v>
      </c>
      <c r="AQ31" t="s">
        <v>88</v>
      </c>
      <c r="AT31">
        <v>1</v>
      </c>
      <c r="AU31" t="s">
        <v>82</v>
      </c>
      <c r="AV31" t="str">
        <f>CONCATENATE(truckzone[[#This Row],[TIPO]]," ",truckzone[[#This Row],[NUM. DE EJES]]," ",truckzone[[#This Row],[LARGO]])</f>
        <v>PLATAFORMA 2 45 FT</v>
      </c>
      <c r="AW31" t="s">
        <v>43</v>
      </c>
      <c r="AX31" s="6">
        <v>1500</v>
      </c>
      <c r="AY31" s="28">
        <f>truckzone[[#This Row],[PZAS]]*truckzone[[#This Row],[PRECIO $ C/U]]*COTIZACION!$I$135</f>
        <v>1500</v>
      </c>
      <c r="AZ31" s="2">
        <v>2</v>
      </c>
      <c r="BA31" t="s">
        <v>165</v>
      </c>
      <c r="BB31" s="40" t="s">
        <v>89</v>
      </c>
    </row>
    <row r="32" spans="2:75">
      <c r="B32" s="41">
        <v>1</v>
      </c>
      <c r="C32" s="42" t="s">
        <v>82</v>
      </c>
      <c r="D32" s="24" t="str">
        <f>CONCATENATE(ACERO1[[#This Row],[TIPO]]," ",ACERO1[[#This Row],[NUM. DE EJES]]," ",ACERO1[[#This Row],[LARGO]])</f>
        <v>PLATAFORMA 3 40 FT</v>
      </c>
      <c r="E32" s="42" t="s">
        <v>148</v>
      </c>
      <c r="F32" s="43">
        <v>1845</v>
      </c>
      <c r="G32" s="43">
        <f>PRODUCTOS!$B32*PRODUCTOS!$F32*COTIZACION!$I$135</f>
        <v>1845</v>
      </c>
      <c r="H32" s="48">
        <v>3</v>
      </c>
      <c r="I32" s="48" t="s">
        <v>75</v>
      </c>
      <c r="J32" s="44" t="s">
        <v>87</v>
      </c>
      <c r="K32" s="45"/>
      <c r="M32">
        <v>1</v>
      </c>
      <c r="N32" t="s">
        <v>82</v>
      </c>
      <c r="O32" t="str">
        <f>CONCATENATE(extras[[#This Row],[TIPO]]," ",extras[[#This Row],[NUM. DE EJES]]," ",extras[[#This Row],[LARGO]])</f>
        <v>PLATAFORMA 2 45 FT</v>
      </c>
      <c r="P32" t="s">
        <v>72</v>
      </c>
      <c r="Q32" t="s">
        <v>91</v>
      </c>
      <c r="R32" s="6">
        <v>6336</v>
      </c>
      <c r="S32" s="7">
        <f>extras[[#This Row],[PZAS]]*extras[[#This Row],[PRECIO $ C/U]]*COTIZACION!$I$135</f>
        <v>6336</v>
      </c>
      <c r="T32" s="2">
        <v>2</v>
      </c>
      <c r="U32" t="s">
        <v>165</v>
      </c>
      <c r="X32">
        <v>10</v>
      </c>
      <c r="Y32" t="s">
        <v>82</v>
      </c>
      <c r="Z32" t="str">
        <f>CONCATENATE(otros[[#This Row],[TIPO]]," ",otros[[#This Row],[NUM. DE EJES]]," ",otros[[#This Row],[LARGO]])</f>
        <v>PLATAFORMA 3 40 FT</v>
      </c>
      <c r="AA32" t="s">
        <v>59</v>
      </c>
      <c r="AB32" s="6">
        <v>20</v>
      </c>
      <c r="AC32" s="27">
        <f>otros[[#This Row],[PZAS]]*otros[[#This Row],[PRECIO $ C/U]]*COTIZACION!$I$135</f>
        <v>200</v>
      </c>
      <c r="AD32" s="2">
        <v>3</v>
      </c>
      <c r="AE32" t="s">
        <v>75</v>
      </c>
      <c r="AF32" s="16" t="s">
        <v>90</v>
      </c>
      <c r="AI32">
        <v>0.2</v>
      </c>
      <c r="AJ32" t="s">
        <v>82</v>
      </c>
      <c r="AK32" s="16" t="str">
        <f>CONCATENATE(piramide[[#This Row],[TIPO]]," ",piramide[[#This Row],[NUM. DE EJES]]," ",piramide[[#This Row],[LARGO]])</f>
        <v>PLATAFORMA 3 40 FT</v>
      </c>
      <c r="AL32" t="s">
        <v>156</v>
      </c>
      <c r="AM32" s="6">
        <v>917</v>
      </c>
      <c r="AN32" s="28">
        <f>piramide[[#This Row],[PZAS]]*piramide[[#This Row],[PRECIO $ C/U]]*COTIZACION!$I$135</f>
        <v>183.4</v>
      </c>
      <c r="AO32" s="2">
        <v>3</v>
      </c>
      <c r="AP32" t="s">
        <v>75</v>
      </c>
      <c r="AQ32" t="s">
        <v>88</v>
      </c>
      <c r="AT32">
        <v>0.5</v>
      </c>
      <c r="AU32" t="s">
        <v>82</v>
      </c>
      <c r="AV32" t="str">
        <f>CONCATENATE(truckzone[[#This Row],[TIPO]]," ",truckzone[[#This Row],[NUM. DE EJES]]," ",truckzone[[#This Row],[LARGO]])</f>
        <v>PLATAFORMA 2 45 FT</v>
      </c>
      <c r="AW32" t="s">
        <v>46</v>
      </c>
      <c r="AX32" s="6">
        <v>2300</v>
      </c>
      <c r="AY32" s="28">
        <f>truckzone[[#This Row],[PZAS]]*truckzone[[#This Row],[PRECIO $ C/U]]*COTIZACION!$I$135</f>
        <v>1150</v>
      </c>
      <c r="AZ32" s="2">
        <v>2</v>
      </c>
      <c r="BA32" t="s">
        <v>165</v>
      </c>
      <c r="BB32" s="40" t="s">
        <v>89</v>
      </c>
    </row>
    <row r="33" spans="2:54">
      <c r="B33" s="46">
        <v>1</v>
      </c>
      <c r="C33" s="24" t="s">
        <v>82</v>
      </c>
      <c r="D33" s="24" t="str">
        <f>CONCATENATE(ACERO1[[#This Row],[TIPO]]," ",ACERO1[[#This Row],[NUM. DE EJES]]," ",ACERO1[[#This Row],[LARGO]])</f>
        <v>PLATAFORMA 3 40 FT</v>
      </c>
      <c r="E33" s="24" t="s">
        <v>13</v>
      </c>
      <c r="F33" s="29">
        <v>437</v>
      </c>
      <c r="G33" s="29">
        <f>PRODUCTOS!$B33*PRODUCTOS!$F33*COTIZACION!$I$135</f>
        <v>437</v>
      </c>
      <c r="H33" s="49">
        <v>3</v>
      </c>
      <c r="I33" s="49" t="s">
        <v>75</v>
      </c>
      <c r="J33" s="30" t="s">
        <v>87</v>
      </c>
      <c r="K33" s="47"/>
      <c r="M33">
        <v>1</v>
      </c>
      <c r="N33" t="s">
        <v>82</v>
      </c>
      <c r="O33" t="str">
        <f>CONCATENATE(extras[[#This Row],[TIPO]]," ",extras[[#This Row],[NUM. DE EJES]]," ",extras[[#This Row],[LARGO]])</f>
        <v>PLATAFORMA 2 45 FT</v>
      </c>
      <c r="P33" t="s">
        <v>132</v>
      </c>
      <c r="Q33" t="s">
        <v>91</v>
      </c>
      <c r="R33" s="6">
        <v>5450</v>
      </c>
      <c r="S33" s="7">
        <f>extras[[#This Row],[PZAS]]*extras[[#This Row],[PRECIO $ C/U]]*COTIZACION!$I$135</f>
        <v>5450</v>
      </c>
      <c r="T33" s="2">
        <v>2</v>
      </c>
      <c r="U33" t="s">
        <v>165</v>
      </c>
      <c r="X33">
        <v>1</v>
      </c>
      <c r="Y33" t="s">
        <v>82</v>
      </c>
      <c r="Z33" t="str">
        <f>CONCATENATE(otros[[#This Row],[TIPO]]," ",otros[[#This Row],[NUM. DE EJES]]," ",otros[[#This Row],[LARGO]])</f>
        <v>PLATAFORMA 3 40 FT</v>
      </c>
      <c r="AA33" t="s">
        <v>245</v>
      </c>
      <c r="AB33" s="6">
        <v>551</v>
      </c>
      <c r="AC33" s="27">
        <f>otros[[#This Row],[PZAS]]*otros[[#This Row],[PRECIO $ C/U]]*COTIZACION!$I$135</f>
        <v>551</v>
      </c>
      <c r="AD33" s="2">
        <v>3</v>
      </c>
      <c r="AE33" t="s">
        <v>75</v>
      </c>
      <c r="AF33" s="16" t="s">
        <v>90</v>
      </c>
      <c r="AI33">
        <v>1.125</v>
      </c>
      <c r="AJ33" t="s">
        <v>82</v>
      </c>
      <c r="AK33" t="str">
        <f>CONCATENATE(piramide[[#This Row],[TIPO]]," ",piramide[[#This Row],[NUM. DE EJES]]," ",piramide[[#This Row],[LARGO]])</f>
        <v>PLATAFORMA 2 45 FT</v>
      </c>
      <c r="AL33" t="s">
        <v>28</v>
      </c>
      <c r="AM33" s="6">
        <v>805</v>
      </c>
      <c r="AN33" s="28">
        <f>piramide[[#This Row],[PZAS]]*piramide[[#This Row],[PRECIO $ C/U]]*COTIZACION!$I$135</f>
        <v>905.625</v>
      </c>
      <c r="AO33" s="2">
        <v>2</v>
      </c>
      <c r="AP33" t="s">
        <v>165</v>
      </c>
      <c r="AQ33" t="s">
        <v>88</v>
      </c>
      <c r="AT33">
        <v>1</v>
      </c>
      <c r="AU33" t="s">
        <v>82</v>
      </c>
      <c r="AV33" t="str">
        <f>CONCATENATE(truckzone[[#This Row],[TIPO]]," ",truckzone[[#This Row],[NUM. DE EJES]]," ",truckzone[[#This Row],[LARGO]])</f>
        <v>PLATAFORMA 2 45 FT</v>
      </c>
      <c r="AW33" t="s">
        <v>47</v>
      </c>
      <c r="AX33" s="6">
        <v>800</v>
      </c>
      <c r="AY33" s="28">
        <f>truckzone[[#This Row],[PZAS]]*truckzone[[#This Row],[PRECIO $ C/U]]*COTIZACION!$I$135</f>
        <v>800</v>
      </c>
      <c r="AZ33" s="2">
        <v>2</v>
      </c>
      <c r="BA33" t="s">
        <v>165</v>
      </c>
      <c r="BB33" s="40" t="s">
        <v>89</v>
      </c>
    </row>
    <row r="34" spans="2:54">
      <c r="B34" s="41">
        <v>2</v>
      </c>
      <c r="C34" s="42" t="s">
        <v>82</v>
      </c>
      <c r="D34" s="24" t="str">
        <f>CONCATENATE(ACERO1[[#This Row],[TIPO]]," ",ACERO1[[#This Row],[NUM. DE EJES]]," ",ACERO1[[#This Row],[LARGO]])</f>
        <v>PLATAFORMA 3 40 FT</v>
      </c>
      <c r="E34" s="42" t="s">
        <v>168</v>
      </c>
      <c r="F34" s="43">
        <v>417</v>
      </c>
      <c r="G34" s="43">
        <f>PRODUCTOS!$B34*PRODUCTOS!$F34*COTIZACION!$I$135</f>
        <v>834</v>
      </c>
      <c r="H34" s="48">
        <v>3</v>
      </c>
      <c r="I34" s="48" t="s">
        <v>75</v>
      </c>
      <c r="J34" s="44" t="s">
        <v>87</v>
      </c>
      <c r="K34" s="45"/>
      <c r="M34">
        <v>1</v>
      </c>
      <c r="N34" t="s">
        <v>82</v>
      </c>
      <c r="O34" t="str">
        <f>CONCATENATE(extras[[#This Row],[TIPO]]," ",extras[[#This Row],[NUM. DE EJES]]," ",extras[[#This Row],[LARGO]])</f>
        <v>PLATAFORMA 2 45 FT</v>
      </c>
      <c r="P34" t="s">
        <v>133</v>
      </c>
      <c r="Q34" t="s">
        <v>91</v>
      </c>
      <c r="R34" s="6">
        <v>2300</v>
      </c>
      <c r="S34" s="7">
        <f>extras[[#This Row],[PZAS]]*extras[[#This Row],[PRECIO $ C/U]]*COTIZACION!$I$135</f>
        <v>2300</v>
      </c>
      <c r="T34" s="2">
        <v>2</v>
      </c>
      <c r="U34" t="s">
        <v>165</v>
      </c>
      <c r="X34">
        <v>2</v>
      </c>
      <c r="Y34" t="s">
        <v>82</v>
      </c>
      <c r="Z34" t="str">
        <f>CONCATENATE(otros[[#This Row],[TIPO]]," ",otros[[#This Row],[NUM. DE EJES]]," ",otros[[#This Row],[LARGO]])</f>
        <v>PLATAFORMA 3 40 FT</v>
      </c>
      <c r="AA34" t="s">
        <v>61</v>
      </c>
      <c r="AB34" s="6">
        <v>586</v>
      </c>
      <c r="AC34" s="27">
        <f>otros[[#This Row],[PZAS]]*otros[[#This Row],[PRECIO $ C/U]]*COTIZACION!$I$135</f>
        <v>1172</v>
      </c>
      <c r="AD34" s="2">
        <v>3</v>
      </c>
      <c r="AE34" t="s">
        <v>75</v>
      </c>
      <c r="AF34" s="16" t="s">
        <v>90</v>
      </c>
      <c r="AI34">
        <v>1.125</v>
      </c>
      <c r="AJ34" t="s">
        <v>82</v>
      </c>
      <c r="AK34" t="str">
        <f>CONCATENATE(piramide[[#This Row],[TIPO]]," ",piramide[[#This Row],[NUM. DE EJES]]," ",piramide[[#This Row],[LARGO]])</f>
        <v>PLATAFORMA 2 45 FT</v>
      </c>
      <c r="AL34" t="s">
        <v>29</v>
      </c>
      <c r="AM34" s="6">
        <v>26370</v>
      </c>
      <c r="AN34" s="28">
        <f>piramide[[#This Row],[PZAS]]*piramide[[#This Row],[PRECIO $ C/U]]*COTIZACION!$I$135</f>
        <v>29666.25</v>
      </c>
      <c r="AO34" s="2">
        <v>2</v>
      </c>
      <c r="AP34" t="s">
        <v>165</v>
      </c>
      <c r="AQ34" t="s">
        <v>88</v>
      </c>
      <c r="AT34">
        <v>2</v>
      </c>
      <c r="AU34" t="s">
        <v>82</v>
      </c>
      <c r="AV34" t="str">
        <f>CONCATENATE(truckzone[[#This Row],[TIPO]]," ",truckzone[[#This Row],[NUM. DE EJES]]," ",truckzone[[#This Row],[LARGO]])</f>
        <v>PLATAFORMA 2 45 FT</v>
      </c>
      <c r="AW34" t="s">
        <v>48</v>
      </c>
      <c r="AX34" s="6">
        <v>986</v>
      </c>
      <c r="AY34" s="28">
        <f>truckzone[[#This Row],[PZAS]]*truckzone[[#This Row],[PRECIO $ C/U]]*COTIZACION!$I$135</f>
        <v>1972</v>
      </c>
      <c r="AZ34" s="2">
        <v>2</v>
      </c>
      <c r="BA34" t="s">
        <v>165</v>
      </c>
      <c r="BB34" s="40" t="s">
        <v>89</v>
      </c>
    </row>
    <row r="35" spans="2:54">
      <c r="B35" s="41">
        <v>5</v>
      </c>
      <c r="C35" s="42" t="s">
        <v>82</v>
      </c>
      <c r="D35" s="24" t="str">
        <f>CONCATENATE(ACERO1[[#This Row],[TIPO]]," ",ACERO1[[#This Row],[NUM. DE EJES]]," ",ACERO1[[#This Row],[LARGO]])</f>
        <v>PLATAFORMA 3 40 FT</v>
      </c>
      <c r="E35" s="42" t="s">
        <v>16</v>
      </c>
      <c r="F35" s="43">
        <v>504</v>
      </c>
      <c r="G35" s="43">
        <f>PRODUCTOS!$B35*PRODUCTOS!$F35*COTIZACION!$I$135</f>
        <v>2520</v>
      </c>
      <c r="H35" s="48">
        <v>3</v>
      </c>
      <c r="I35" s="48" t="s">
        <v>75</v>
      </c>
      <c r="J35" s="44" t="s">
        <v>87</v>
      </c>
      <c r="K35" s="45"/>
      <c r="M35">
        <v>1</v>
      </c>
      <c r="N35" t="s">
        <v>82</v>
      </c>
      <c r="O35" t="str">
        <f>CONCATENATE(extras[[#This Row],[TIPO]]," ",extras[[#This Row],[NUM. DE EJES]]," ",extras[[#This Row],[LARGO]])</f>
        <v>PLATAFORMA 2 45 FT</v>
      </c>
      <c r="P35" t="s">
        <v>63</v>
      </c>
      <c r="Q35" t="s">
        <v>91</v>
      </c>
      <c r="R35" s="6">
        <v>33000</v>
      </c>
      <c r="S35" s="7">
        <f>extras[[#This Row],[PZAS]]*extras[[#This Row],[PRECIO $ C/U]]*COTIZACION!$I$135</f>
        <v>33000</v>
      </c>
      <c r="T35" s="2">
        <v>2</v>
      </c>
      <c r="U35" t="s">
        <v>165</v>
      </c>
      <c r="X35">
        <v>1</v>
      </c>
      <c r="Y35" t="s">
        <v>82</v>
      </c>
      <c r="Z35" t="str">
        <f>CONCATENATE(otros[[#This Row],[TIPO]]," ",otros[[#This Row],[NUM. DE EJES]]," ",otros[[#This Row],[LARGO]])</f>
        <v>PLATAFORMA 3 40 FT</v>
      </c>
      <c r="AA35" t="s">
        <v>62</v>
      </c>
      <c r="AB35" s="6">
        <v>1500</v>
      </c>
      <c r="AC35" s="27">
        <f>otros[[#This Row],[PZAS]]*otros[[#This Row],[PRECIO $ C/U]]*COTIZACION!$I$135</f>
        <v>1500</v>
      </c>
      <c r="AD35" s="2">
        <v>3</v>
      </c>
      <c r="AE35" t="s">
        <v>75</v>
      </c>
      <c r="AF35" s="16" t="s">
        <v>90</v>
      </c>
      <c r="AI35">
        <v>1.125</v>
      </c>
      <c r="AJ35" t="s">
        <v>82</v>
      </c>
      <c r="AK35" t="str">
        <f>CONCATENATE(piramide[[#This Row],[TIPO]]," ",piramide[[#This Row],[NUM. DE EJES]]," ",piramide[[#This Row],[LARGO]])</f>
        <v>PLATAFORMA 2 45 FT</v>
      </c>
      <c r="AL35" t="s">
        <v>30</v>
      </c>
      <c r="AM35" s="6">
        <v>1907</v>
      </c>
      <c r="AN35" s="28">
        <f>piramide[[#This Row],[PZAS]]*piramide[[#This Row],[PRECIO $ C/U]]*COTIZACION!$I$135</f>
        <v>2145.375</v>
      </c>
      <c r="AO35" s="2">
        <v>2</v>
      </c>
      <c r="AP35" t="s">
        <v>165</v>
      </c>
      <c r="AQ35" t="s">
        <v>88</v>
      </c>
      <c r="AT35">
        <v>2</v>
      </c>
      <c r="AU35" t="s">
        <v>82</v>
      </c>
      <c r="AV35" t="str">
        <f>CONCATENATE(truckzone[[#This Row],[TIPO]]," ",truckzone[[#This Row],[NUM. DE EJES]]," ",truckzone[[#This Row],[LARGO]])</f>
        <v>PLATAFORMA 2 45 FT</v>
      </c>
      <c r="AW35" t="s">
        <v>40</v>
      </c>
      <c r="AX35" s="6">
        <v>23118</v>
      </c>
      <c r="AY35" s="28">
        <f>truckzone[[#This Row],[PZAS]]*truckzone[[#This Row],[PRECIO $ C/U]]*COTIZACION!$I$135</f>
        <v>46236</v>
      </c>
      <c r="AZ35" s="2">
        <v>2</v>
      </c>
      <c r="BA35" t="s">
        <v>165</v>
      </c>
      <c r="BB35" s="40" t="s">
        <v>89</v>
      </c>
    </row>
    <row r="36" spans="2:54">
      <c r="B36" s="46">
        <v>48</v>
      </c>
      <c r="C36" s="24" t="s">
        <v>82</v>
      </c>
      <c r="D36" s="24" t="str">
        <f>CONCATENATE(ACERO1[[#This Row],[TIPO]]," ",ACERO1[[#This Row],[NUM. DE EJES]]," ",ACERO1[[#This Row],[LARGO]])</f>
        <v>PLATAFORMA 3 40 FT</v>
      </c>
      <c r="E36" s="24" t="s">
        <v>18</v>
      </c>
      <c r="F36" s="29">
        <v>83.9</v>
      </c>
      <c r="G36" s="29">
        <f>PRODUCTOS!$B36*PRODUCTOS!$F36*COTIZACION!$I$135</f>
        <v>4027.2000000000003</v>
      </c>
      <c r="H36" s="49">
        <v>3</v>
      </c>
      <c r="I36" s="49" t="s">
        <v>75</v>
      </c>
      <c r="J36" s="30" t="s">
        <v>87</v>
      </c>
      <c r="K36" s="47"/>
      <c r="M36">
        <v>1</v>
      </c>
      <c r="N36" t="s">
        <v>82</v>
      </c>
      <c r="O36" t="str">
        <f>CONCATENATE(extras[[#This Row],[TIPO]]," ",extras[[#This Row],[NUM. DE EJES]]," ",extras[[#This Row],[LARGO]])</f>
        <v>PLATAFORMA 2 45 FT</v>
      </c>
      <c r="P36" t="s">
        <v>64</v>
      </c>
      <c r="Q36" t="s">
        <v>91</v>
      </c>
      <c r="R36" s="6">
        <v>15000</v>
      </c>
      <c r="S36" s="7">
        <f>extras[[#This Row],[PZAS]]*extras[[#This Row],[PRECIO $ C/U]]*COTIZACION!$I$135</f>
        <v>15000</v>
      </c>
      <c r="T36" s="2">
        <v>2</v>
      </c>
      <c r="U36" t="s">
        <v>165</v>
      </c>
      <c r="X36">
        <v>2</v>
      </c>
      <c r="Y36" t="s">
        <v>82</v>
      </c>
      <c r="Z36" t="str">
        <f>CONCATENATE(otros[[#This Row],[TIPO]]," ",otros[[#This Row],[NUM. DE EJES]]," ",otros[[#This Row],[LARGO]])</f>
        <v>PLATAFORMA 3 40 FT</v>
      </c>
      <c r="AA36" t="s">
        <v>244</v>
      </c>
      <c r="AB36" s="6">
        <v>350</v>
      </c>
      <c r="AC36" s="27">
        <f>otros[[#This Row],[PZAS]]*otros[[#This Row],[PRECIO $ C/U]]*COTIZACION!$I$135</f>
        <v>700</v>
      </c>
      <c r="AD36" s="2">
        <v>3</v>
      </c>
      <c r="AE36" t="s">
        <v>75</v>
      </c>
      <c r="AF36" s="16" t="s">
        <v>90</v>
      </c>
      <c r="AI36">
        <v>4.5</v>
      </c>
      <c r="AJ36" t="s">
        <v>82</v>
      </c>
      <c r="AK36" t="str">
        <f>CONCATENATE(piramide[[#This Row],[TIPO]]," ",piramide[[#This Row],[NUM. DE EJES]]," ",piramide[[#This Row],[LARGO]])</f>
        <v>PLATAFORMA 2 45 FT</v>
      </c>
      <c r="AL36" t="s">
        <v>31</v>
      </c>
      <c r="AM36" s="6">
        <v>7000</v>
      </c>
      <c r="AN36" s="28">
        <f>piramide[[#This Row],[PZAS]]*piramide[[#This Row],[PRECIO $ C/U]]*COTIZACION!$I$135</f>
        <v>31500</v>
      </c>
      <c r="AO36" s="2">
        <v>2</v>
      </c>
      <c r="AP36" t="s">
        <v>165</v>
      </c>
      <c r="AQ36" t="s">
        <v>88</v>
      </c>
      <c r="AT36">
        <v>2</v>
      </c>
      <c r="AU36" t="s">
        <v>82</v>
      </c>
      <c r="AV36" t="str">
        <f>CONCATENATE(truckzone[[#This Row],[TIPO]]," ",truckzone[[#This Row],[NUM. DE EJES]]," ",truckzone[[#This Row],[LARGO]])</f>
        <v>PLATAFORMA 2 45 FT</v>
      </c>
      <c r="AW36" t="s">
        <v>41</v>
      </c>
      <c r="AX36" s="6">
        <v>24421.05</v>
      </c>
      <c r="AY36" s="28">
        <f>truckzone[[#This Row],[PZAS]]*truckzone[[#This Row],[PRECIO $ C/U]]*COTIZACION!$I$135</f>
        <v>48842.1</v>
      </c>
      <c r="AZ36" s="2">
        <v>2</v>
      </c>
      <c r="BA36" t="s">
        <v>165</v>
      </c>
      <c r="BB36" s="40" t="s">
        <v>89</v>
      </c>
    </row>
    <row r="37" spans="2:54">
      <c r="B37" s="41">
        <v>1</v>
      </c>
      <c r="C37" s="42" t="s">
        <v>82</v>
      </c>
      <c r="D37" s="24" t="str">
        <f>CONCATENATE(ACERO1[[#This Row],[TIPO]]," ",ACERO1[[#This Row],[NUM. DE EJES]]," ",ACERO1[[#This Row],[LARGO]])</f>
        <v>PLATAFORMA 3 40 FT</v>
      </c>
      <c r="E37" s="42" t="s">
        <v>19</v>
      </c>
      <c r="F37" s="43">
        <v>2035</v>
      </c>
      <c r="G37" s="43">
        <f>PRODUCTOS!$B37*PRODUCTOS!$F37*COTIZACION!$I$135</f>
        <v>2035</v>
      </c>
      <c r="H37" s="48">
        <v>3</v>
      </c>
      <c r="I37" s="48" t="s">
        <v>75</v>
      </c>
      <c r="J37" s="44" t="s">
        <v>87</v>
      </c>
      <c r="K37" s="45"/>
      <c r="M37">
        <v>0</v>
      </c>
      <c r="N37" t="s">
        <v>82</v>
      </c>
      <c r="O37" t="str">
        <f>CONCATENATE(extras[[#This Row],[TIPO]]," ",extras[[#This Row],[NUM. DE EJES]]," ",extras[[#This Row],[LARGO]])</f>
        <v>PLATAFORMA 2 45 FT</v>
      </c>
      <c r="P37" t="s">
        <v>153</v>
      </c>
      <c r="Q37" t="s">
        <v>91</v>
      </c>
      <c r="R37" s="6">
        <v>15000</v>
      </c>
      <c r="S37" s="7">
        <f>extras[[#This Row],[PZAS]]*extras[[#This Row],[PRECIO $ C/U]]*COTIZACION!$I$135</f>
        <v>0</v>
      </c>
      <c r="T37" s="2">
        <v>2</v>
      </c>
      <c r="U37" t="s">
        <v>165</v>
      </c>
      <c r="X37">
        <v>1</v>
      </c>
      <c r="Y37" t="s">
        <v>82</v>
      </c>
      <c r="Z37" t="str">
        <f>CONCATENATE(otros[[#This Row],[TIPO]]," ",otros[[#This Row],[NUM. DE EJES]]," ",otros[[#This Row],[LARGO]])</f>
        <v>PLATAFORMA 3 40 FT</v>
      </c>
      <c r="AA37" t="s">
        <v>66</v>
      </c>
      <c r="AB37" s="6">
        <v>10000</v>
      </c>
      <c r="AC37" s="27">
        <f>otros[[#This Row],[PZAS]]*otros[[#This Row],[PRECIO $ C/U]]*COTIZACION!$I$135</f>
        <v>10000</v>
      </c>
      <c r="AD37" s="2">
        <v>3</v>
      </c>
      <c r="AE37" t="s">
        <v>75</v>
      </c>
      <c r="AF37" s="16" t="s">
        <v>90</v>
      </c>
      <c r="AI37">
        <v>2.25</v>
      </c>
      <c r="AJ37" t="s">
        <v>82</v>
      </c>
      <c r="AK37" t="str">
        <f>CONCATENATE(piramide[[#This Row],[TIPO]]," ",piramide[[#This Row],[NUM. DE EJES]]," ",piramide[[#This Row],[LARGO]])</f>
        <v>PLATAFORMA 2 45 FT</v>
      </c>
      <c r="AL37" t="s">
        <v>32</v>
      </c>
      <c r="AM37" s="6">
        <v>6130</v>
      </c>
      <c r="AN37" s="28">
        <f>piramide[[#This Row],[PZAS]]*piramide[[#This Row],[PRECIO $ C/U]]*COTIZACION!$I$135</f>
        <v>13792.5</v>
      </c>
      <c r="AO37" s="2">
        <v>2</v>
      </c>
      <c r="AP37" t="s">
        <v>165</v>
      </c>
      <c r="AQ37" t="s">
        <v>88</v>
      </c>
      <c r="AT37">
        <v>2</v>
      </c>
      <c r="AU37" t="s">
        <v>82</v>
      </c>
      <c r="AV37" t="str">
        <f>CONCATENATE(truckzone[[#This Row],[TIPO]]," ",truckzone[[#This Row],[NUM. DE EJES]]," ",truckzone[[#This Row],[LARGO]])</f>
        <v>PLATAFORMA 2 45 FT</v>
      </c>
      <c r="AW37" t="s">
        <v>44</v>
      </c>
      <c r="AX37" s="6">
        <v>6206</v>
      </c>
      <c r="AY37" s="28">
        <f>truckzone[[#This Row],[PZAS]]*truckzone[[#This Row],[PRECIO $ C/U]]*COTIZACION!$I$135</f>
        <v>12412</v>
      </c>
      <c r="AZ37" s="2">
        <v>2</v>
      </c>
      <c r="BA37" t="s">
        <v>165</v>
      </c>
      <c r="BB37" s="40" t="s">
        <v>89</v>
      </c>
    </row>
    <row r="38" spans="2:54">
      <c r="B38" s="46">
        <v>6</v>
      </c>
      <c r="C38" s="24" t="s">
        <v>82</v>
      </c>
      <c r="D38" s="24" t="str">
        <f>CONCATENATE(ACERO1[[#This Row],[TIPO]]," ",ACERO1[[#This Row],[NUM. DE EJES]]," ",ACERO1[[#This Row],[LARGO]])</f>
        <v>PLATAFORMA 3 40 FT</v>
      </c>
      <c r="E38" s="24" t="s">
        <v>20</v>
      </c>
      <c r="F38" s="29">
        <v>740</v>
      </c>
      <c r="G38" s="29">
        <f>PRODUCTOS!$B38*PRODUCTOS!$F38*COTIZACION!$I$135</f>
        <v>4440</v>
      </c>
      <c r="H38" s="49">
        <v>3</v>
      </c>
      <c r="I38" s="49" t="s">
        <v>75</v>
      </c>
      <c r="J38" s="30" t="s">
        <v>87</v>
      </c>
      <c r="K38" s="47"/>
      <c r="M38">
        <v>0</v>
      </c>
      <c r="N38" t="s">
        <v>82</v>
      </c>
      <c r="O38" t="str">
        <f>CONCATENATE(extras[[#This Row],[TIPO]]," ",extras[[#This Row],[NUM. DE EJES]]," ",extras[[#This Row],[LARGO]])</f>
        <v>PLATAFORMA 2 45 FT</v>
      </c>
      <c r="P38" t="s">
        <v>154</v>
      </c>
      <c r="Q38" t="s">
        <v>91</v>
      </c>
      <c r="R38" s="6"/>
      <c r="S38" s="7">
        <f>extras[[#This Row],[PZAS]]*extras[[#This Row],[PRECIO $ C/U]]*COTIZACION!$I$135</f>
        <v>0</v>
      </c>
      <c r="T38" s="2">
        <v>2</v>
      </c>
      <c r="U38" t="s">
        <v>165</v>
      </c>
      <c r="X38">
        <v>1</v>
      </c>
      <c r="Y38" t="s">
        <v>82</v>
      </c>
      <c r="Z38" t="str">
        <f>CONCATENATE(otros[[#This Row],[TIPO]]," ",otros[[#This Row],[NUM. DE EJES]]," ",otros[[#This Row],[LARGO]])</f>
        <v>PLATAFORMA 3 40 FT</v>
      </c>
      <c r="AA38" t="s">
        <v>67</v>
      </c>
      <c r="AB38" s="6">
        <v>2000</v>
      </c>
      <c r="AC38" s="27">
        <f>otros[[#This Row],[PZAS]]*otros[[#This Row],[PRECIO $ C/U]]*COTIZACION!$I$135</f>
        <v>2000</v>
      </c>
      <c r="AD38" s="2">
        <v>3</v>
      </c>
      <c r="AE38" t="s">
        <v>75</v>
      </c>
      <c r="AF38" s="16" t="s">
        <v>90</v>
      </c>
      <c r="AI38">
        <v>0.4</v>
      </c>
      <c r="AJ38" t="s">
        <v>82</v>
      </c>
      <c r="AK38" t="str">
        <f>CONCATENATE(piramide[[#This Row],[TIPO]]," ",piramide[[#This Row],[NUM. DE EJES]]," ",piramide[[#This Row],[LARGO]])</f>
        <v>PLATAFORMA 2 45 FT</v>
      </c>
      <c r="AL38" t="s">
        <v>33</v>
      </c>
      <c r="AM38" s="6">
        <v>6326</v>
      </c>
      <c r="AN38" s="28">
        <f>piramide[[#This Row],[PZAS]]*piramide[[#This Row],[PRECIO $ C/U]]*COTIZACION!$I$135</f>
        <v>2530.4</v>
      </c>
      <c r="AO38" s="2">
        <v>2</v>
      </c>
      <c r="AP38" t="s">
        <v>165</v>
      </c>
      <c r="AQ38" t="s">
        <v>88</v>
      </c>
      <c r="AT38">
        <v>10</v>
      </c>
      <c r="AU38" t="s">
        <v>82</v>
      </c>
      <c r="AV38" t="str">
        <f>CONCATENATE(truckzone[[#This Row],[TIPO]]," ",truckzone[[#This Row],[NUM. DE EJES]]," ",truckzone[[#This Row],[LARGO]])</f>
        <v>PLATAFORMA 2 45 FT</v>
      </c>
      <c r="AW38" t="s">
        <v>49</v>
      </c>
      <c r="AX38" s="6">
        <v>418</v>
      </c>
      <c r="AY38" s="28">
        <f>truckzone[[#This Row],[PZAS]]*truckzone[[#This Row],[PRECIO $ C/U]]*COTIZACION!$I$135</f>
        <v>4180</v>
      </c>
      <c r="AZ38" s="2">
        <v>2</v>
      </c>
      <c r="BA38" t="s">
        <v>165</v>
      </c>
      <c r="BB38" s="40" t="s">
        <v>89</v>
      </c>
    </row>
    <row r="39" spans="2:54">
      <c r="B39" s="41">
        <v>1</v>
      </c>
      <c r="C39" s="42" t="s">
        <v>82</v>
      </c>
      <c r="D39" s="24" t="str">
        <f>CONCATENATE(ACERO1[[#This Row],[TIPO]]," ",ACERO1[[#This Row],[NUM. DE EJES]]," ",ACERO1[[#This Row],[LARGO]])</f>
        <v>PLATAFORMA 3 40 FT</v>
      </c>
      <c r="E39" s="42" t="s">
        <v>22</v>
      </c>
      <c r="F39" s="43">
        <v>768</v>
      </c>
      <c r="G39" s="43">
        <f>PRODUCTOS!$B39*PRODUCTOS!$F39*COTIZACION!$I$135</f>
        <v>768</v>
      </c>
      <c r="H39" s="48">
        <v>3</v>
      </c>
      <c r="I39" s="48" t="s">
        <v>75</v>
      </c>
      <c r="J39" s="44" t="s">
        <v>87</v>
      </c>
      <c r="K39" s="45"/>
      <c r="M39">
        <v>0</v>
      </c>
      <c r="N39" t="s">
        <v>82</v>
      </c>
      <c r="O39" t="str">
        <f>CONCATENATE(extras[[#This Row],[TIPO]]," ",extras[[#This Row],[NUM. DE EJES]]," ",extras[[#This Row],[LARGO]])</f>
        <v>PLATAFORMA 2 45 FT</v>
      </c>
      <c r="P39" t="s">
        <v>157</v>
      </c>
      <c r="Q39" t="s">
        <v>91</v>
      </c>
      <c r="R39" s="6"/>
      <c r="S39" s="7">
        <f>extras[[#This Row],[PZAS]]*extras[[#This Row],[PRECIO $ C/U]]*COTIZACION!$I$135</f>
        <v>0</v>
      </c>
      <c r="T39" s="2">
        <v>2</v>
      </c>
      <c r="U39" t="s">
        <v>165</v>
      </c>
      <c r="X39">
        <v>1</v>
      </c>
      <c r="Y39" t="s">
        <v>82</v>
      </c>
      <c r="Z39" t="str">
        <f>CONCATENATE(otros[[#This Row],[TIPO]]," ",otros[[#This Row],[NUM. DE EJES]]," ",otros[[#This Row],[LARGO]])</f>
        <v>PLATAFORMA 3 40 FT</v>
      </c>
      <c r="AA39" t="s">
        <v>68</v>
      </c>
      <c r="AB39" s="6">
        <v>2500</v>
      </c>
      <c r="AC39" s="27">
        <f>otros[[#This Row],[PZAS]]*otros[[#This Row],[PRECIO $ C/U]]*COTIZACION!$I$135</f>
        <v>2500</v>
      </c>
      <c r="AD39" s="2">
        <v>3</v>
      </c>
      <c r="AE39" t="s">
        <v>75</v>
      </c>
      <c r="AF39" s="16" t="s">
        <v>90</v>
      </c>
      <c r="AI39">
        <v>0.6</v>
      </c>
      <c r="AJ39" t="s">
        <v>82</v>
      </c>
      <c r="AK39" t="str">
        <f>CONCATENATE(piramide[[#This Row],[TIPO]]," ",piramide[[#This Row],[NUM. DE EJES]]," ",piramide[[#This Row],[LARGO]])</f>
        <v>PLATAFORMA 2 45 FT</v>
      </c>
      <c r="AL39" t="s">
        <v>34</v>
      </c>
      <c r="AM39" s="6">
        <v>1873</v>
      </c>
      <c r="AN39" s="28">
        <f>piramide[[#This Row],[PZAS]]*piramide[[#This Row],[PRECIO $ C/U]]*COTIZACION!$I$135</f>
        <v>1123.8</v>
      </c>
      <c r="AO39" s="2">
        <v>2</v>
      </c>
      <c r="AP39" t="s">
        <v>165</v>
      </c>
      <c r="AQ39" t="s">
        <v>88</v>
      </c>
      <c r="AT39">
        <v>1</v>
      </c>
      <c r="AU39" t="s">
        <v>82</v>
      </c>
      <c r="AV39" t="str">
        <f>CONCATENATE(truckzone[[#This Row],[TIPO]]," ",truckzone[[#This Row],[NUM. DE EJES]]," ",truckzone[[#This Row],[LARGO]])</f>
        <v>PLATAFORMA 2 45 FT</v>
      </c>
      <c r="AW39" t="s">
        <v>42</v>
      </c>
      <c r="AX39" s="6">
        <v>21000</v>
      </c>
      <c r="AY39" s="28">
        <f>truckzone[[#This Row],[PZAS]]*truckzone[[#This Row],[PRECIO $ C/U]]*COTIZACION!$I$135</f>
        <v>21000</v>
      </c>
      <c r="AZ39" s="2">
        <v>2</v>
      </c>
      <c r="BA39" t="s">
        <v>165</v>
      </c>
      <c r="BB39" s="40" t="s">
        <v>89</v>
      </c>
    </row>
    <row r="40" spans="2:54">
      <c r="B40" s="46">
        <v>1</v>
      </c>
      <c r="C40" s="24" t="s">
        <v>82</v>
      </c>
      <c r="D40" s="24" t="str">
        <f>CONCATENATE(ACERO1[[#This Row],[TIPO]]," ",ACERO1[[#This Row],[NUM. DE EJES]]," ",ACERO1[[#This Row],[LARGO]])</f>
        <v>PLATAFORMA 3 40 FT</v>
      </c>
      <c r="E40" s="24" t="s">
        <v>150</v>
      </c>
      <c r="F40" s="29">
        <v>3276</v>
      </c>
      <c r="G40" s="29">
        <f>PRODUCTOS!$B40*PRODUCTOS!$F40*COTIZACION!$I$135</f>
        <v>3276</v>
      </c>
      <c r="H40" s="49">
        <v>3</v>
      </c>
      <c r="I40" s="49" t="s">
        <v>75</v>
      </c>
      <c r="J40" s="30" t="s">
        <v>87</v>
      </c>
      <c r="K40" s="47"/>
      <c r="M40">
        <v>0</v>
      </c>
      <c r="N40" t="s">
        <v>82</v>
      </c>
      <c r="O40" t="str">
        <f>CONCATENATE(extras[[#This Row],[TIPO]]," ",extras[[#This Row],[NUM. DE EJES]]," ",extras[[#This Row],[LARGO]])</f>
        <v>PLATAFORMA 2 45 FT</v>
      </c>
      <c r="P40" t="s">
        <v>158</v>
      </c>
      <c r="Q40" t="s">
        <v>91</v>
      </c>
      <c r="R40" s="6"/>
      <c r="S40" s="7">
        <f>extras[[#This Row],[PZAS]]*extras[[#This Row],[PRECIO $ C/U]]*COTIZACION!$I$135</f>
        <v>0</v>
      </c>
      <c r="T40" s="2">
        <v>2</v>
      </c>
      <c r="U40" t="s">
        <v>165</v>
      </c>
      <c r="X40">
        <v>1</v>
      </c>
      <c r="Y40" t="s">
        <v>82</v>
      </c>
      <c r="Z40" t="str">
        <f>CONCATENATE(otros[[#This Row],[TIPO]]," ",otros[[#This Row],[NUM. DE EJES]]," ",otros[[#This Row],[LARGO]])</f>
        <v>PLATAFORMA 3 40 FT</v>
      </c>
      <c r="AA40" t="s">
        <v>0</v>
      </c>
      <c r="AB40" s="6">
        <v>15000</v>
      </c>
      <c r="AC40" s="28">
        <f>otros[[#This Row],[PZAS]]*otros[[#This Row],[PRECIO $ C/U]]*COTIZACION!$I$135</f>
        <v>15000</v>
      </c>
      <c r="AD40" s="2">
        <v>3</v>
      </c>
      <c r="AE40" t="s">
        <v>75</v>
      </c>
      <c r="AF40" s="16" t="s">
        <v>90</v>
      </c>
      <c r="AI40">
        <v>1.6875</v>
      </c>
      <c r="AJ40" t="s">
        <v>82</v>
      </c>
      <c r="AK40" t="str">
        <f>CONCATENATE(piramide[[#This Row],[TIPO]]," ",piramide[[#This Row],[NUM. DE EJES]]," ",piramide[[#This Row],[LARGO]])</f>
        <v>PLATAFORMA 2 45 FT</v>
      </c>
      <c r="AL40" t="s">
        <v>35</v>
      </c>
      <c r="AM40" s="6">
        <v>245</v>
      </c>
      <c r="AN40" s="28">
        <f>piramide[[#This Row],[PZAS]]*piramide[[#This Row],[PRECIO $ C/U]]*COTIZACION!$I$135</f>
        <v>413.4375</v>
      </c>
      <c r="AO40" s="2">
        <v>2</v>
      </c>
      <c r="AP40" t="s">
        <v>165</v>
      </c>
      <c r="AQ40" t="s">
        <v>88</v>
      </c>
      <c r="AT40">
        <v>2</v>
      </c>
      <c r="AU40" t="s">
        <v>82</v>
      </c>
      <c r="AV40" t="str">
        <f>CONCATENATE(truckzone[[#This Row],[TIPO]]," ",truckzone[[#This Row],[NUM. DE EJES]]," ",truckzone[[#This Row],[LARGO]])</f>
        <v>PLATAFORMA 2 45 FT</v>
      </c>
      <c r="AW40" t="s">
        <v>45</v>
      </c>
      <c r="AX40" s="6">
        <v>3700</v>
      </c>
      <c r="AY40" s="28">
        <f>truckzone[[#This Row],[PZAS]]*truckzone[[#This Row],[PRECIO $ C/U]]*COTIZACION!$I$135</f>
        <v>7400</v>
      </c>
      <c r="AZ40" s="2">
        <v>2</v>
      </c>
      <c r="BA40" t="s">
        <v>165</v>
      </c>
      <c r="BB40" s="40" t="s">
        <v>89</v>
      </c>
    </row>
    <row r="41" spans="2:54">
      <c r="B41" s="41">
        <v>1</v>
      </c>
      <c r="C41" s="42" t="s">
        <v>82</v>
      </c>
      <c r="D41" s="24" t="str">
        <f>CONCATENATE(ACERO1[[#This Row],[TIPO]]," ",ACERO1[[#This Row],[NUM. DE EJES]]," ",ACERO1[[#This Row],[LARGO]])</f>
        <v>PLATAFORMA 3 40 FT</v>
      </c>
      <c r="E41" s="42" t="s">
        <v>23</v>
      </c>
      <c r="F41" s="43"/>
      <c r="G41" s="43">
        <f>PRODUCTOS!$B41*PRODUCTOS!$F41*COTIZACION!$I$135</f>
        <v>0</v>
      </c>
      <c r="H41" s="48">
        <v>3</v>
      </c>
      <c r="I41" s="48" t="s">
        <v>75</v>
      </c>
      <c r="J41" s="44" t="s">
        <v>87</v>
      </c>
      <c r="K41" s="45"/>
      <c r="M41">
        <v>0</v>
      </c>
      <c r="N41" t="s">
        <v>82</v>
      </c>
      <c r="O41" t="str">
        <f>CONCATENATE(extras[[#This Row],[TIPO]]," ",extras[[#This Row],[NUM. DE EJES]]," ",extras[[#This Row],[LARGO]])</f>
        <v>PLATAFORMA 2 45 FT</v>
      </c>
      <c r="P41" t="s">
        <v>159</v>
      </c>
      <c r="Q41" t="s">
        <v>91</v>
      </c>
      <c r="R41" s="6"/>
      <c r="S41" s="7">
        <f>extras[[#This Row],[PZAS]]*extras[[#This Row],[PRECIO $ C/U]]*COTIZACION!$I$135</f>
        <v>0</v>
      </c>
      <c r="T41" s="2">
        <v>2</v>
      </c>
      <c r="U41" t="s">
        <v>165</v>
      </c>
      <c r="X41">
        <v>1</v>
      </c>
      <c r="Y41" t="s">
        <v>82</v>
      </c>
      <c r="Z41" t="str">
        <f>CONCATENATE(otros[[#This Row],[TIPO]]," ",otros[[#This Row],[NUM. DE EJES]]," ",otros[[#This Row],[LARGO]])</f>
        <v>PLATAFORMA 3 40 FT</v>
      </c>
      <c r="AA41" t="s">
        <v>161</v>
      </c>
      <c r="AB41" s="6">
        <v>3000</v>
      </c>
      <c r="AC41" s="28">
        <f>otros[[#This Row],[PZAS]]*otros[[#This Row],[PRECIO $ C/U]]*COTIZACION!$I$135</f>
        <v>3000</v>
      </c>
      <c r="AD41" s="2">
        <v>3</v>
      </c>
      <c r="AE41" t="s">
        <v>75</v>
      </c>
      <c r="AF41" s="16" t="s">
        <v>90</v>
      </c>
      <c r="AI41">
        <v>7.875</v>
      </c>
      <c r="AJ41" t="s">
        <v>82</v>
      </c>
      <c r="AK41" t="str">
        <f>CONCATENATE(piramide[[#This Row],[TIPO]]," ",piramide[[#This Row],[NUM. DE EJES]]," ",piramide[[#This Row],[LARGO]])</f>
        <v>PLATAFORMA 2 45 FT</v>
      </c>
      <c r="AL41" t="s">
        <v>36</v>
      </c>
      <c r="AM41" s="6">
        <v>953</v>
      </c>
      <c r="AN41" s="28">
        <f>piramide[[#This Row],[PZAS]]*piramide[[#This Row],[PRECIO $ C/U]]*COTIZACION!$I$135</f>
        <v>7504.875</v>
      </c>
      <c r="AO41" s="2">
        <v>2</v>
      </c>
      <c r="AP41" t="s">
        <v>165</v>
      </c>
      <c r="AQ41" t="s">
        <v>88</v>
      </c>
      <c r="AT41">
        <v>46</v>
      </c>
      <c r="AU41" t="s">
        <v>82</v>
      </c>
      <c r="AV41" t="str">
        <f>CONCATENATE(truckzone[[#This Row],[TIPO]]," ",truckzone[[#This Row],[NUM. DE EJES]]," ",truckzone[[#This Row],[LARGO]])</f>
        <v>PLATAFORMA 3 48 FT</v>
      </c>
      <c r="AW41" t="s">
        <v>189</v>
      </c>
      <c r="AX41" s="6">
        <v>578</v>
      </c>
      <c r="AY41" s="28">
        <f>truckzone[[#This Row],[PZAS]]*truckzone[[#This Row],[PRECIO $ C/U]]*COTIZACION!$I$135</f>
        <v>26588</v>
      </c>
      <c r="AZ41" s="2">
        <v>3</v>
      </c>
      <c r="BA41" t="s">
        <v>176</v>
      </c>
      <c r="BB41" s="40" t="s">
        <v>89</v>
      </c>
    </row>
    <row r="42" spans="2:54">
      <c r="B42" s="46">
        <v>1</v>
      </c>
      <c r="C42" s="24" t="s">
        <v>82</v>
      </c>
      <c r="D42" s="24" t="str">
        <f>CONCATENATE(ACERO1[[#This Row],[TIPO]]," ",ACERO1[[#This Row],[NUM. DE EJES]]," ",ACERO1[[#This Row],[LARGO]])</f>
        <v>PLATAFORMA 3 40 FT</v>
      </c>
      <c r="E42" s="24" t="s">
        <v>24</v>
      </c>
      <c r="F42" s="29">
        <v>5824.5</v>
      </c>
      <c r="G42" s="29">
        <f>PRODUCTOS!$B42*PRODUCTOS!$F42*COTIZACION!$I$135</f>
        <v>5824.5</v>
      </c>
      <c r="H42" s="49">
        <v>3</v>
      </c>
      <c r="I42" s="49" t="s">
        <v>75</v>
      </c>
      <c r="J42" s="30" t="s">
        <v>87</v>
      </c>
      <c r="K42" s="47"/>
      <c r="M42">
        <v>1</v>
      </c>
      <c r="N42" t="s">
        <v>82</v>
      </c>
      <c r="O42" t="str">
        <f>CONCATENATE(extras[[#This Row],[TIPO]]," ",extras[[#This Row],[NUM. DE EJES]]," ",extras[[#This Row],[LARGO]])</f>
        <v>PLATAFORMA 3 48 FT</v>
      </c>
      <c r="P42" t="s">
        <v>69</v>
      </c>
      <c r="Q42" t="s">
        <v>91</v>
      </c>
      <c r="R42" s="6">
        <v>8000</v>
      </c>
      <c r="S42" s="7">
        <f>extras[[#This Row],[PZAS]]*extras[[#This Row],[PRECIO $ C/U]]*COTIZACION!$I$135</f>
        <v>8000</v>
      </c>
      <c r="T42" s="2">
        <v>3</v>
      </c>
      <c r="U42" t="s">
        <v>176</v>
      </c>
      <c r="X42">
        <v>1</v>
      </c>
      <c r="Y42" t="s">
        <v>82</v>
      </c>
      <c r="Z42" t="str">
        <f>CONCATENATE(otros[[#This Row],[TIPO]]," ",otros[[#This Row],[NUM. DE EJES]]," ",otros[[#This Row],[LARGO]])</f>
        <v>PLATAFORMA 3 40 FT</v>
      </c>
      <c r="AA42" t="s">
        <v>160</v>
      </c>
      <c r="AB42" s="6">
        <v>15000</v>
      </c>
      <c r="AC42" s="28">
        <f>otros[[#This Row],[PZAS]]*otros[[#This Row],[PRECIO $ C/U]]*COTIZACION!$I$135</f>
        <v>15000</v>
      </c>
      <c r="AD42" s="2">
        <v>3</v>
      </c>
      <c r="AE42" t="s">
        <v>75</v>
      </c>
      <c r="AF42" s="16" t="s">
        <v>90</v>
      </c>
      <c r="AI42">
        <v>0.5</v>
      </c>
      <c r="AJ42" t="s">
        <v>82</v>
      </c>
      <c r="AK42" t="str">
        <f>CONCATENATE(piramide[[#This Row],[TIPO]]," ",piramide[[#This Row],[NUM. DE EJES]]," ",piramide[[#This Row],[LARGO]])</f>
        <v>PLATAFORMA 2 45 FT</v>
      </c>
      <c r="AL42" t="s">
        <v>37</v>
      </c>
      <c r="AM42" s="6">
        <v>1907</v>
      </c>
      <c r="AN42" s="28">
        <f>piramide[[#This Row],[PZAS]]*piramide[[#This Row],[PRECIO $ C/U]]*COTIZACION!$I$135</f>
        <v>953.5</v>
      </c>
      <c r="AO42" s="2">
        <v>2</v>
      </c>
      <c r="AP42" t="s">
        <v>165</v>
      </c>
      <c r="AQ42" t="s">
        <v>88</v>
      </c>
      <c r="AT42">
        <v>1</v>
      </c>
      <c r="AU42" t="s">
        <v>82</v>
      </c>
      <c r="AV42" t="str">
        <f>CONCATENATE(truckzone[[#This Row],[TIPO]]," ",truckzone[[#This Row],[NUM. DE EJES]]," ",truckzone[[#This Row],[LARGO]])</f>
        <v>PLATAFORMA 3 48 FT</v>
      </c>
      <c r="AW42" t="s">
        <v>190</v>
      </c>
      <c r="AX42" s="6">
        <v>1500</v>
      </c>
      <c r="AY42" s="28">
        <f>truckzone[[#This Row],[PZAS]]*truckzone[[#This Row],[PRECIO $ C/U]]*COTIZACION!$I$135</f>
        <v>1500</v>
      </c>
      <c r="AZ42" s="2">
        <v>3</v>
      </c>
      <c r="BA42" t="s">
        <v>176</v>
      </c>
      <c r="BB42" s="40" t="s">
        <v>89</v>
      </c>
    </row>
    <row r="43" spans="2:54">
      <c r="B43" s="41">
        <v>1</v>
      </c>
      <c r="C43" s="42" t="s">
        <v>82</v>
      </c>
      <c r="D43" s="24" t="str">
        <f>CONCATENATE(ACERO1[[#This Row],[TIPO]]," ",ACERO1[[#This Row],[NUM. DE EJES]]," ",ACERO1[[#This Row],[LARGO]])</f>
        <v>PLATAFORMA 3 40 FT</v>
      </c>
      <c r="E43" s="42" t="s">
        <v>25</v>
      </c>
      <c r="F43" s="43">
        <v>180</v>
      </c>
      <c r="G43" s="43">
        <f>PRODUCTOS!$B43*PRODUCTOS!$F43*COTIZACION!$I$135</f>
        <v>180</v>
      </c>
      <c r="H43" s="48">
        <v>3</v>
      </c>
      <c r="I43" s="48" t="s">
        <v>75</v>
      </c>
      <c r="J43" s="44" t="s">
        <v>87</v>
      </c>
      <c r="K43" s="45"/>
      <c r="M43">
        <v>1</v>
      </c>
      <c r="N43" t="s">
        <v>82</v>
      </c>
      <c r="O43" t="str">
        <f>CONCATENATE(extras[[#This Row],[TIPO]]," ",extras[[#This Row],[NUM. DE EJES]]," ",extras[[#This Row],[LARGO]])</f>
        <v>PLATAFORMA 3 48 FT</v>
      </c>
      <c r="P43" t="s">
        <v>70</v>
      </c>
      <c r="Q43" t="s">
        <v>91</v>
      </c>
      <c r="R43" s="6">
        <v>3744</v>
      </c>
      <c r="S43" s="7">
        <f>extras[[#This Row],[PZAS]]*extras[[#This Row],[PRECIO $ C/U]]*COTIZACION!$I$135</f>
        <v>3744</v>
      </c>
      <c r="T43" s="2">
        <v>3</v>
      </c>
      <c r="U43" t="s">
        <v>176</v>
      </c>
      <c r="X43">
        <v>1</v>
      </c>
      <c r="Y43" t="s">
        <v>82</v>
      </c>
      <c r="Z43" t="str">
        <f>CONCATENATE(otros[[#This Row],[TIPO]]," ",otros[[#This Row],[NUM. DE EJES]]," ",otros[[#This Row],[LARGO]])</f>
        <v>PLATAFORMA 3 40 FT</v>
      </c>
      <c r="AA43" t="s">
        <v>162</v>
      </c>
      <c r="AB43" s="6">
        <v>5000</v>
      </c>
      <c r="AC43" s="28">
        <f>otros[[#This Row],[PZAS]]*otros[[#This Row],[PRECIO $ C/U]]*COTIZACION!$I$135</f>
        <v>5000</v>
      </c>
      <c r="AD43" s="2">
        <v>3</v>
      </c>
      <c r="AE43" t="s">
        <v>75</v>
      </c>
      <c r="AF43" s="16" t="s">
        <v>90</v>
      </c>
      <c r="AI43">
        <v>0.1</v>
      </c>
      <c r="AJ43" t="s">
        <v>82</v>
      </c>
      <c r="AK43" t="str">
        <f>CONCATENATE(piramide[[#This Row],[TIPO]]," ",piramide[[#This Row],[NUM. DE EJES]]," ",piramide[[#This Row],[LARGO]])</f>
        <v>PLATAFORMA 2 45 FT</v>
      </c>
      <c r="AL43" t="s">
        <v>38</v>
      </c>
      <c r="AM43" s="6">
        <v>999</v>
      </c>
      <c r="AN43" s="28">
        <f>piramide[[#This Row],[PZAS]]*piramide[[#This Row],[PRECIO $ C/U]]*COTIZACION!$I$135</f>
        <v>99.9</v>
      </c>
      <c r="AO43" s="2">
        <v>2</v>
      </c>
      <c r="AP43" t="s">
        <v>165</v>
      </c>
      <c r="AQ43" t="s">
        <v>88</v>
      </c>
      <c r="AT43">
        <v>0.5</v>
      </c>
      <c r="AU43" t="s">
        <v>82</v>
      </c>
      <c r="AV43" t="str">
        <f>CONCATENATE(truckzone[[#This Row],[TIPO]]," ",truckzone[[#This Row],[NUM. DE EJES]]," ",truckzone[[#This Row],[LARGO]])</f>
        <v>PLATAFORMA 3 48 FT</v>
      </c>
      <c r="AW43" t="s">
        <v>46</v>
      </c>
      <c r="AX43" s="6">
        <v>2300</v>
      </c>
      <c r="AY43" s="28">
        <f>truckzone[[#This Row],[PZAS]]*truckzone[[#This Row],[PRECIO $ C/U]]*COTIZACION!$I$135</f>
        <v>1150</v>
      </c>
      <c r="AZ43" s="2">
        <v>3</v>
      </c>
      <c r="BA43" t="s">
        <v>176</v>
      </c>
      <c r="BB43" s="40" t="s">
        <v>89</v>
      </c>
    </row>
    <row r="44" spans="2:54">
      <c r="B44" s="46">
        <v>1</v>
      </c>
      <c r="C44" s="24" t="s">
        <v>82</v>
      </c>
      <c r="D44" s="24" t="str">
        <f>CONCATENATE(ACERO1[[#This Row],[TIPO]]," ",ACERO1[[#This Row],[NUM. DE EJES]]," ",ACERO1[[#This Row],[LARGO]])</f>
        <v>PLATAFORMA 3 40 FT</v>
      </c>
      <c r="E44" s="24" t="s">
        <v>26</v>
      </c>
      <c r="F44" s="29">
        <v>290</v>
      </c>
      <c r="G44" s="29">
        <f>PRODUCTOS!$B44*PRODUCTOS!$F44*COTIZACION!$I$135</f>
        <v>290</v>
      </c>
      <c r="H44" s="49">
        <v>3</v>
      </c>
      <c r="I44" s="49" t="s">
        <v>75</v>
      </c>
      <c r="J44" s="30" t="s">
        <v>87</v>
      </c>
      <c r="K44" s="47"/>
      <c r="M44">
        <v>1</v>
      </c>
      <c r="N44" t="s">
        <v>82</v>
      </c>
      <c r="O44" t="str">
        <f>CONCATENATE(extras[[#This Row],[TIPO]]," ",extras[[#This Row],[NUM. DE EJES]]," ",extras[[#This Row],[LARGO]])</f>
        <v>PLATAFORMA 3 48 FT</v>
      </c>
      <c r="P44" t="s">
        <v>131</v>
      </c>
      <c r="Q44" t="s">
        <v>91</v>
      </c>
      <c r="R44" s="6">
        <v>6340</v>
      </c>
      <c r="S44" s="7">
        <f>extras[[#This Row],[PZAS]]*extras[[#This Row],[PRECIO $ C/U]]*COTIZACION!$I$135</f>
        <v>6340</v>
      </c>
      <c r="T44" s="2">
        <v>3</v>
      </c>
      <c r="U44" t="s">
        <v>176</v>
      </c>
      <c r="X44">
        <v>1</v>
      </c>
      <c r="Y44" t="s">
        <v>82</v>
      </c>
      <c r="Z44" t="str">
        <f>CONCATENATE(otros[[#This Row],[TIPO]]," ",otros[[#This Row],[NUM. DE EJES]]," ",otros[[#This Row],[LARGO]])</f>
        <v>PLATAFORMA 3 40 FT</v>
      </c>
      <c r="AA44" t="s">
        <v>163</v>
      </c>
      <c r="AB44" s="6">
        <v>30000</v>
      </c>
      <c r="AC44" s="28">
        <f>otros[[#This Row],[PZAS]]*otros[[#This Row],[PRECIO $ C/U]]*COTIZACION!$I$135</f>
        <v>30000</v>
      </c>
      <c r="AD44" s="2">
        <v>3</v>
      </c>
      <c r="AE44" t="s">
        <v>75</v>
      </c>
      <c r="AF44" s="16" t="s">
        <v>90</v>
      </c>
      <c r="AI44">
        <v>0.6</v>
      </c>
      <c r="AJ44" t="s">
        <v>82</v>
      </c>
      <c r="AK44" t="str">
        <f>CONCATENATE(piramide[[#This Row],[TIPO]]," ",piramide[[#This Row],[NUM. DE EJES]]," ",piramide[[#This Row],[LARGO]])</f>
        <v>PLATAFORMA 2 45 FT</v>
      </c>
      <c r="AL44" t="s">
        <v>166</v>
      </c>
      <c r="AM44" s="6">
        <v>415</v>
      </c>
      <c r="AN44" s="28">
        <f>piramide[[#This Row],[PZAS]]*piramide[[#This Row],[PRECIO $ C/U]]*COTIZACION!$I$135</f>
        <v>249</v>
      </c>
      <c r="AO44" s="2">
        <v>2</v>
      </c>
      <c r="AP44" t="s">
        <v>165</v>
      </c>
      <c r="AQ44" t="s">
        <v>88</v>
      </c>
      <c r="AT44">
        <v>1</v>
      </c>
      <c r="AU44" t="s">
        <v>82</v>
      </c>
      <c r="AV44" t="str">
        <f>CONCATENATE(truckzone[[#This Row],[TIPO]]," ",truckzone[[#This Row],[NUM. DE EJES]]," ",truckzone[[#This Row],[LARGO]])</f>
        <v>PLATAFORMA 3 48 FT</v>
      </c>
      <c r="AW44" t="s">
        <v>47</v>
      </c>
      <c r="AX44" s="6">
        <v>800</v>
      </c>
      <c r="AY44" s="28">
        <f>truckzone[[#This Row],[PZAS]]*truckzone[[#This Row],[PRECIO $ C/U]]*COTIZACION!$I$135</f>
        <v>800</v>
      </c>
      <c r="AZ44" s="2">
        <v>3</v>
      </c>
      <c r="BA44" t="s">
        <v>176</v>
      </c>
      <c r="BB44" s="40" t="s">
        <v>89</v>
      </c>
    </row>
    <row r="45" spans="2:54">
      <c r="B45" s="41">
        <v>1</v>
      </c>
      <c r="C45" s="42" t="s">
        <v>82</v>
      </c>
      <c r="D45" s="24" t="str">
        <f>CONCATENATE(ACERO1[[#This Row],[TIPO]]," ",ACERO1[[#This Row],[NUM. DE EJES]]," ",ACERO1[[#This Row],[LARGO]])</f>
        <v>PLATAFORMA 3 40 FT</v>
      </c>
      <c r="E45" s="42" t="s">
        <v>27</v>
      </c>
      <c r="F45" s="43">
        <v>5055</v>
      </c>
      <c r="G45" s="43">
        <f>PRODUCTOS!$B45*PRODUCTOS!$F45*COTIZACION!$I$135</f>
        <v>5055</v>
      </c>
      <c r="H45" s="48">
        <v>3</v>
      </c>
      <c r="I45" s="48" t="s">
        <v>75</v>
      </c>
      <c r="J45" s="44" t="s">
        <v>87</v>
      </c>
      <c r="K45" s="45"/>
      <c r="M45">
        <v>1</v>
      </c>
      <c r="N45" t="s">
        <v>82</v>
      </c>
      <c r="O45" t="str">
        <f>CONCATENATE(extras[[#This Row],[TIPO]]," ",extras[[#This Row],[NUM. DE EJES]]," ",extras[[#This Row],[LARGO]])</f>
        <v>PLATAFORMA 3 48 FT</v>
      </c>
      <c r="P45" t="s">
        <v>72</v>
      </c>
      <c r="Q45" t="s">
        <v>91</v>
      </c>
      <c r="R45" s="6">
        <v>6336</v>
      </c>
      <c r="S45" s="7">
        <f>extras[[#This Row],[PZAS]]*extras[[#This Row],[PRECIO $ C/U]]*COTIZACION!$I$135</f>
        <v>6336</v>
      </c>
      <c r="T45" s="2">
        <v>3</v>
      </c>
      <c r="U45" t="s">
        <v>176</v>
      </c>
      <c r="X45">
        <v>0</v>
      </c>
      <c r="Y45" t="s">
        <v>82</v>
      </c>
      <c r="Z45" t="str">
        <f>CONCATENATE(otros[[#This Row],[TIPO]]," ",otros[[#This Row],[NUM. DE EJES]]," ",otros[[#This Row],[LARGO]])</f>
        <v>PLATAFORMA 3 40 FT</v>
      </c>
      <c r="AA45" t="s">
        <v>164</v>
      </c>
      <c r="AB45" s="6"/>
      <c r="AC45" s="28">
        <f>otros[[#This Row],[PZAS]]*otros[[#This Row],[PRECIO $ C/U]]*COTIZACION!$I$135</f>
        <v>0</v>
      </c>
      <c r="AD45" s="2">
        <v>3</v>
      </c>
      <c r="AE45" t="s">
        <v>75</v>
      </c>
      <c r="AF45" s="16" t="s">
        <v>90</v>
      </c>
      <c r="AI45">
        <v>0.2</v>
      </c>
      <c r="AJ45" t="s">
        <v>82</v>
      </c>
      <c r="AK45" t="str">
        <f>CONCATENATE(piramide[[#This Row],[TIPO]]," ",piramide[[#This Row],[NUM. DE EJES]]," ",piramide[[#This Row],[LARGO]])</f>
        <v>PLATAFORMA 2 45 FT</v>
      </c>
      <c r="AL45" t="s">
        <v>155</v>
      </c>
      <c r="AM45" s="6">
        <v>360</v>
      </c>
      <c r="AN45" s="28">
        <f>piramide[[#This Row],[PZAS]]*piramide[[#This Row],[PRECIO $ C/U]]*COTIZACION!$I$135</f>
        <v>72</v>
      </c>
      <c r="AO45" s="2">
        <v>2</v>
      </c>
      <c r="AP45" t="s">
        <v>165</v>
      </c>
      <c r="AQ45" t="s">
        <v>88</v>
      </c>
      <c r="AT45">
        <v>2</v>
      </c>
      <c r="AU45" t="s">
        <v>82</v>
      </c>
      <c r="AV45" t="str">
        <f>CONCATENATE(truckzone[[#This Row],[TIPO]]," ",truckzone[[#This Row],[NUM. DE EJES]]," ",truckzone[[#This Row],[LARGO]])</f>
        <v>PLATAFORMA 3 48 FT</v>
      </c>
      <c r="AW45" t="s">
        <v>48</v>
      </c>
      <c r="AX45" s="6">
        <v>986</v>
      </c>
      <c r="AY45" s="28">
        <f>truckzone[[#This Row],[PZAS]]*truckzone[[#This Row],[PRECIO $ C/U]]*COTIZACION!$I$135</f>
        <v>1972</v>
      </c>
      <c r="AZ45" s="2">
        <v>3</v>
      </c>
      <c r="BA45" t="s">
        <v>176</v>
      </c>
      <c r="BB45" s="40" t="s">
        <v>89</v>
      </c>
    </row>
    <row r="46" spans="2:54">
      <c r="B46" s="46">
        <v>1</v>
      </c>
      <c r="C46" s="24" t="s">
        <v>82</v>
      </c>
      <c r="D46" s="24" t="str">
        <f>CONCATENATE(ACERO1[[#This Row],[TIPO]]," ",ACERO1[[#This Row],[NUM. DE EJES]]," ",ACERO1[[#This Row],[LARGO]])</f>
        <v>PLATAFORMA 3 40 FT</v>
      </c>
      <c r="E46" s="24" t="s">
        <v>146</v>
      </c>
      <c r="F46" s="29">
        <v>274</v>
      </c>
      <c r="G46" s="29">
        <f>PRODUCTOS!$B46*PRODUCTOS!$F46*COTIZACION!$I$135</f>
        <v>274</v>
      </c>
      <c r="H46" s="49">
        <v>3</v>
      </c>
      <c r="I46" s="49" t="s">
        <v>75</v>
      </c>
      <c r="J46" s="30" t="s">
        <v>87</v>
      </c>
      <c r="K46" s="47"/>
      <c r="M46">
        <v>1</v>
      </c>
      <c r="N46" t="s">
        <v>82</v>
      </c>
      <c r="O46" t="str">
        <f>CONCATENATE(extras[[#This Row],[TIPO]]," ",extras[[#This Row],[NUM. DE EJES]]," ",extras[[#This Row],[LARGO]])</f>
        <v>PLATAFORMA 3 48 FT</v>
      </c>
      <c r="P46" t="s">
        <v>132</v>
      </c>
      <c r="Q46" t="s">
        <v>91</v>
      </c>
      <c r="R46" s="6">
        <v>5450</v>
      </c>
      <c r="S46" s="7">
        <f>extras[[#This Row],[PZAS]]*extras[[#This Row],[PRECIO $ C/U]]*COTIZACION!$I$135</f>
        <v>5450</v>
      </c>
      <c r="T46" s="2">
        <v>3</v>
      </c>
      <c r="U46" t="s">
        <v>176</v>
      </c>
      <c r="X46">
        <v>2</v>
      </c>
      <c r="Y46" t="s">
        <v>82</v>
      </c>
      <c r="Z46" t="str">
        <f>CONCATENATE(otros[[#This Row],[TIPO]]," ",otros[[#This Row],[NUM. DE EJES]]," ",otros[[#This Row],[LARGO]])</f>
        <v>PLATAFORMA 2 45 FT</v>
      </c>
      <c r="AA46" t="s">
        <v>51</v>
      </c>
      <c r="AB46" s="6">
        <v>820</v>
      </c>
      <c r="AC46" s="28">
        <f>otros[[#This Row],[PZAS]]*otros[[#This Row],[PRECIO $ C/U]]*COTIZACION!$I$135</f>
        <v>1640</v>
      </c>
      <c r="AD46" s="2">
        <v>2</v>
      </c>
      <c r="AE46" t="s">
        <v>165</v>
      </c>
      <c r="AF46" s="16" t="s">
        <v>90</v>
      </c>
      <c r="AI46">
        <v>0.2</v>
      </c>
      <c r="AJ46" t="s">
        <v>82</v>
      </c>
      <c r="AK46" t="str">
        <f>CONCATENATE(piramide[[#This Row],[TIPO]]," ",piramide[[#This Row],[NUM. DE EJES]]," ",piramide[[#This Row],[LARGO]])</f>
        <v>PLATAFORMA 2 45 FT</v>
      </c>
      <c r="AL46" t="s">
        <v>156</v>
      </c>
      <c r="AM46" s="6">
        <v>917</v>
      </c>
      <c r="AN46" s="28">
        <f>piramide[[#This Row],[PZAS]]*piramide[[#This Row],[PRECIO $ C/U]]*COTIZACION!$I$135</f>
        <v>183.4</v>
      </c>
      <c r="AO46" s="2">
        <v>2</v>
      </c>
      <c r="AP46" t="s">
        <v>165</v>
      </c>
      <c r="AQ46" t="s">
        <v>88</v>
      </c>
      <c r="AT46">
        <v>3</v>
      </c>
      <c r="AU46" t="s">
        <v>82</v>
      </c>
      <c r="AV46" t="str">
        <f>CONCATENATE(truckzone[[#This Row],[TIPO]]," ",truckzone[[#This Row],[NUM. DE EJES]]," ",truckzone[[#This Row],[LARGO]])</f>
        <v>PLATAFORMA 3 48 FT</v>
      </c>
      <c r="AW46" t="s">
        <v>191</v>
      </c>
      <c r="AX46" s="6">
        <v>23118</v>
      </c>
      <c r="AY46" s="28">
        <f>truckzone[[#This Row],[PZAS]]*truckzone[[#This Row],[PRECIO $ C/U]]*COTIZACION!$I$135</f>
        <v>69354</v>
      </c>
      <c r="AZ46" s="2">
        <v>3</v>
      </c>
      <c r="BA46" t="s">
        <v>176</v>
      </c>
      <c r="BB46" s="40" t="s">
        <v>89</v>
      </c>
    </row>
    <row r="47" spans="2:54">
      <c r="B47" s="41">
        <v>9</v>
      </c>
      <c r="C47" s="42" t="s">
        <v>82</v>
      </c>
      <c r="D47" s="24" t="str">
        <f>CONCATENATE(ACERO1[[#This Row],[TIPO]]," ",ACERO1[[#This Row],[NUM. DE EJES]]," ",ACERO1[[#This Row],[LARGO]])</f>
        <v>PLATAFORMA 3 40 FT</v>
      </c>
      <c r="E47" s="42" t="s">
        <v>17</v>
      </c>
      <c r="F47" s="43">
        <v>1000.8</v>
      </c>
      <c r="G47" s="43">
        <f>PRODUCTOS!$B47*PRODUCTOS!$F47*COTIZACION!$I$135</f>
        <v>9007.1999999999989</v>
      </c>
      <c r="H47" s="48">
        <v>3</v>
      </c>
      <c r="I47" s="48" t="s">
        <v>75</v>
      </c>
      <c r="J47" s="44" t="s">
        <v>87</v>
      </c>
      <c r="K47" s="45"/>
      <c r="M47">
        <v>1</v>
      </c>
      <c r="N47" t="s">
        <v>82</v>
      </c>
      <c r="O47" t="str">
        <f>CONCATENATE(extras[[#This Row],[TIPO]]," ",extras[[#This Row],[NUM. DE EJES]]," ",extras[[#This Row],[LARGO]])</f>
        <v>PLATAFORMA 3 48 FT</v>
      </c>
      <c r="P47" t="s">
        <v>133</v>
      </c>
      <c r="Q47" t="s">
        <v>91</v>
      </c>
      <c r="R47" s="6">
        <v>2300</v>
      </c>
      <c r="S47" s="7">
        <f>extras[[#This Row],[PZAS]]*extras[[#This Row],[PRECIO $ C/U]]*COTIZACION!$I$135</f>
        <v>2300</v>
      </c>
      <c r="T47" s="2">
        <v>3</v>
      </c>
      <c r="U47" t="s">
        <v>176</v>
      </c>
      <c r="X47">
        <v>4</v>
      </c>
      <c r="Y47" t="s">
        <v>82</v>
      </c>
      <c r="Z47" t="str">
        <f>CONCATENATE(otros[[#This Row],[TIPO]]," ",otros[[#This Row],[NUM. DE EJES]]," ",otros[[#This Row],[LARGO]])</f>
        <v>PLATAFORMA 2 45 FT</v>
      </c>
      <c r="AA47" t="s">
        <v>52</v>
      </c>
      <c r="AB47" s="6">
        <v>1295</v>
      </c>
      <c r="AC47" s="28">
        <f>otros[[#This Row],[PZAS]]*otros[[#This Row],[PRECIO $ C/U]]*COTIZACION!$I$135</f>
        <v>5180</v>
      </c>
      <c r="AD47" s="2">
        <v>2</v>
      </c>
      <c r="AE47" t="s">
        <v>165</v>
      </c>
      <c r="AF47" s="16" t="s">
        <v>90</v>
      </c>
      <c r="AI47">
        <v>1.2</v>
      </c>
      <c r="AJ47" t="s">
        <v>82</v>
      </c>
      <c r="AK47" t="str">
        <f>CONCATENATE(piramide[[#This Row],[TIPO]]," ",piramide[[#This Row],[NUM. DE EJES]]," ",piramide[[#This Row],[LARGO]])</f>
        <v>PLATAFORMA 3 48 FT</v>
      </c>
      <c r="AL47" t="s">
        <v>246</v>
      </c>
      <c r="AM47" s="6">
        <v>805.21</v>
      </c>
      <c r="AN47" s="28">
        <f>piramide[[#This Row],[PZAS]]*piramide[[#This Row],[PRECIO $ C/U]]*COTIZACION!$I$135</f>
        <v>966.25199999999995</v>
      </c>
      <c r="AO47" s="2">
        <v>3</v>
      </c>
      <c r="AP47" t="s">
        <v>176</v>
      </c>
      <c r="AQ47" t="s">
        <v>88</v>
      </c>
      <c r="AT47">
        <v>3</v>
      </c>
      <c r="AU47" t="s">
        <v>82</v>
      </c>
      <c r="AV47" t="str">
        <f>CONCATENATE(truckzone[[#This Row],[TIPO]]," ",truckzone[[#This Row],[NUM. DE EJES]]," ",truckzone[[#This Row],[LARGO]])</f>
        <v>PLATAFORMA 3 48 FT</v>
      </c>
      <c r="AW47" t="s">
        <v>192</v>
      </c>
      <c r="AX47" s="6">
        <v>24421.05</v>
      </c>
      <c r="AY47" s="28">
        <f>truckzone[[#This Row],[PZAS]]*truckzone[[#This Row],[PRECIO $ C/U]]*COTIZACION!$I$135</f>
        <v>73263.149999999994</v>
      </c>
      <c r="AZ47" s="2">
        <v>3</v>
      </c>
      <c r="BA47" t="s">
        <v>176</v>
      </c>
      <c r="BB47" s="40" t="s">
        <v>89</v>
      </c>
    </row>
    <row r="48" spans="2:54">
      <c r="B48" s="46">
        <v>1</v>
      </c>
      <c r="C48" s="24" t="s">
        <v>82</v>
      </c>
      <c r="D48" s="24" t="str">
        <f>CONCATENATE(ACERO1[[#This Row],[TIPO]]," ",ACERO1[[#This Row],[NUM. DE EJES]]," ",ACERO1[[#This Row],[LARGO]])</f>
        <v>PLATAFORMA 3 40 FT</v>
      </c>
      <c r="E48" s="24" t="s">
        <v>149</v>
      </c>
      <c r="F48" s="29">
        <v>1331</v>
      </c>
      <c r="G48" s="29">
        <f>PRODUCTOS!$B48*PRODUCTOS!$F48*COTIZACION!$I$135</f>
        <v>1331</v>
      </c>
      <c r="H48" s="49">
        <v>3</v>
      </c>
      <c r="I48" s="49" t="s">
        <v>75</v>
      </c>
      <c r="J48" s="30" t="s">
        <v>87</v>
      </c>
      <c r="K48" s="47"/>
      <c r="M48">
        <v>1</v>
      </c>
      <c r="N48" t="s">
        <v>82</v>
      </c>
      <c r="O48" t="str">
        <f>CONCATENATE(extras[[#This Row],[TIPO]]," ",extras[[#This Row],[NUM. DE EJES]]," ",extras[[#This Row],[LARGO]])</f>
        <v>PLATAFORMA 3 48 FT</v>
      </c>
      <c r="P48" t="s">
        <v>63</v>
      </c>
      <c r="Q48" t="s">
        <v>91</v>
      </c>
      <c r="R48" s="6">
        <v>33000</v>
      </c>
      <c r="S48" s="7">
        <f>extras[[#This Row],[PZAS]]*extras[[#This Row],[PRECIO $ C/U]]*COTIZACION!$I$135</f>
        <v>33000</v>
      </c>
      <c r="T48" s="2">
        <v>3</v>
      </c>
      <c r="U48" t="s">
        <v>176</v>
      </c>
      <c r="X48">
        <v>1</v>
      </c>
      <c r="Y48" t="s">
        <v>82</v>
      </c>
      <c r="Z48" t="str">
        <f>CONCATENATE(otros[[#This Row],[TIPO]]," ",otros[[#This Row],[NUM. DE EJES]]," ",otros[[#This Row],[LARGO]])</f>
        <v>PLATAFORMA 2 45 FT</v>
      </c>
      <c r="AA48" t="s">
        <v>53</v>
      </c>
      <c r="AB48" s="6">
        <v>550</v>
      </c>
      <c r="AC48" s="28">
        <f>otros[[#This Row],[PZAS]]*otros[[#This Row],[PRECIO $ C/U]]*COTIZACION!$I$135</f>
        <v>550</v>
      </c>
      <c r="AD48" s="2">
        <v>2</v>
      </c>
      <c r="AE48" t="s">
        <v>165</v>
      </c>
      <c r="AF48" s="16" t="s">
        <v>90</v>
      </c>
      <c r="AI48">
        <v>1.2</v>
      </c>
      <c r="AJ48" t="s">
        <v>82</v>
      </c>
      <c r="AK48" t="str">
        <f>CONCATENATE(piramide[[#This Row],[TIPO]]," ",piramide[[#This Row],[NUM. DE EJES]]," ",piramide[[#This Row],[LARGO]])</f>
        <v>PLATAFORMA 3 48 FT</v>
      </c>
      <c r="AL48" t="s">
        <v>178</v>
      </c>
      <c r="AM48" s="6">
        <v>26370</v>
      </c>
      <c r="AN48" s="28">
        <f>piramide[[#This Row],[PZAS]]*piramide[[#This Row],[PRECIO $ C/U]]*COTIZACION!$I$135</f>
        <v>31644</v>
      </c>
      <c r="AO48" s="2">
        <v>3</v>
      </c>
      <c r="AP48" t="s">
        <v>176</v>
      </c>
      <c r="AQ48" t="s">
        <v>88</v>
      </c>
      <c r="AT48">
        <v>2</v>
      </c>
      <c r="AU48" t="s">
        <v>82</v>
      </c>
      <c r="AV48" t="str">
        <f>CONCATENATE(truckzone[[#This Row],[TIPO]]," ",truckzone[[#This Row],[NUM. DE EJES]]," ",truckzone[[#This Row],[LARGO]])</f>
        <v>PLATAFORMA 3 48 FT</v>
      </c>
      <c r="AW48" t="s">
        <v>193</v>
      </c>
      <c r="AX48" s="6">
        <v>6206</v>
      </c>
      <c r="AY48" s="28">
        <f>truckzone[[#This Row],[PZAS]]*truckzone[[#This Row],[PRECIO $ C/U]]*COTIZACION!$I$135</f>
        <v>12412</v>
      </c>
      <c r="AZ48" s="2">
        <v>3</v>
      </c>
      <c r="BA48" t="s">
        <v>176</v>
      </c>
      <c r="BB48" s="40" t="s">
        <v>89</v>
      </c>
    </row>
    <row r="49" spans="2:54">
      <c r="B49" s="41">
        <v>2</v>
      </c>
      <c r="C49" s="42" t="s">
        <v>82</v>
      </c>
      <c r="D49" s="24" t="str">
        <f>CONCATENATE(ACERO1[[#This Row],[TIPO]]," ",ACERO1[[#This Row],[NUM. DE EJES]]," ",ACERO1[[#This Row],[LARGO]])</f>
        <v>PLATAFORMA 3 40 FT</v>
      </c>
      <c r="E49" s="42" t="s">
        <v>151</v>
      </c>
      <c r="F49" s="43">
        <v>150</v>
      </c>
      <c r="G49" s="43">
        <f>PRODUCTOS!$B49*PRODUCTOS!$F49*COTIZACION!$I$135</f>
        <v>300</v>
      </c>
      <c r="H49" s="48">
        <v>3</v>
      </c>
      <c r="I49" s="48" t="s">
        <v>75</v>
      </c>
      <c r="J49" s="44" t="s">
        <v>87</v>
      </c>
      <c r="K49" s="45"/>
      <c r="M49">
        <v>1</v>
      </c>
      <c r="N49" t="s">
        <v>82</v>
      </c>
      <c r="O49" t="str">
        <f>CONCATENATE(extras[[#This Row],[TIPO]]," ",extras[[#This Row],[NUM. DE EJES]]," ",extras[[#This Row],[LARGO]])</f>
        <v>PLATAFORMA 3 48 FT</v>
      </c>
      <c r="P49" t="s">
        <v>64</v>
      </c>
      <c r="Q49" t="s">
        <v>91</v>
      </c>
      <c r="R49" s="6">
        <v>15000</v>
      </c>
      <c r="S49" s="7">
        <f>extras[[#This Row],[PZAS]]*extras[[#This Row],[PRECIO $ C/U]]*COTIZACION!$I$135</f>
        <v>15000</v>
      </c>
      <c r="T49" s="2">
        <v>3</v>
      </c>
      <c r="U49" t="s">
        <v>176</v>
      </c>
      <c r="X49">
        <v>2</v>
      </c>
      <c r="Y49" t="s">
        <v>82</v>
      </c>
      <c r="Z49" t="str">
        <f>CONCATENATE(otros[[#This Row],[TIPO]]," ",otros[[#This Row],[NUM. DE EJES]]," ",otros[[#This Row],[LARGO]])</f>
        <v>PLATAFORMA 2 45 FT</v>
      </c>
      <c r="AA49" t="s">
        <v>54</v>
      </c>
      <c r="AB49" s="6">
        <v>150</v>
      </c>
      <c r="AC49" s="28">
        <f>otros[[#This Row],[PZAS]]*otros[[#This Row],[PRECIO $ C/U]]*COTIZACION!$I$135</f>
        <v>300</v>
      </c>
      <c r="AD49" s="2">
        <v>2</v>
      </c>
      <c r="AE49" t="s">
        <v>165</v>
      </c>
      <c r="AF49" s="16" t="s">
        <v>90</v>
      </c>
      <c r="AI49">
        <v>1.2</v>
      </c>
      <c r="AJ49" t="s">
        <v>82</v>
      </c>
      <c r="AK49" t="str">
        <f>CONCATENATE(piramide[[#This Row],[TIPO]]," ",piramide[[#This Row],[NUM. DE EJES]]," ",piramide[[#This Row],[LARGO]])</f>
        <v>PLATAFORMA 3 48 FT</v>
      </c>
      <c r="AL49" t="s">
        <v>179</v>
      </c>
      <c r="AM49" s="6">
        <v>1907</v>
      </c>
      <c r="AN49" s="28">
        <f>piramide[[#This Row],[PZAS]]*piramide[[#This Row],[PRECIO $ C/U]]*COTIZACION!$I$135</f>
        <v>2288.4</v>
      </c>
      <c r="AO49" s="2">
        <v>3</v>
      </c>
      <c r="AP49" t="s">
        <v>176</v>
      </c>
      <c r="AQ49" t="s">
        <v>88</v>
      </c>
      <c r="AT49">
        <v>10</v>
      </c>
      <c r="AU49" t="s">
        <v>82</v>
      </c>
      <c r="AV49" t="str">
        <f>CONCATENATE(truckzone[[#This Row],[TIPO]]," ",truckzone[[#This Row],[NUM. DE EJES]]," ",truckzone[[#This Row],[LARGO]])</f>
        <v>PLATAFORMA 3 48 FT</v>
      </c>
      <c r="AW49" t="s">
        <v>194</v>
      </c>
      <c r="AX49" s="6">
        <v>418</v>
      </c>
      <c r="AY49" s="28">
        <f>truckzone[[#This Row],[PZAS]]*truckzone[[#This Row],[PRECIO $ C/U]]*COTIZACION!$I$135</f>
        <v>4180</v>
      </c>
      <c r="AZ49" s="2">
        <v>3</v>
      </c>
      <c r="BA49" t="s">
        <v>176</v>
      </c>
      <c r="BB49" s="40" t="s">
        <v>89</v>
      </c>
    </row>
    <row r="50" spans="2:54">
      <c r="B50" s="46">
        <v>1</v>
      </c>
      <c r="C50" s="24" t="s">
        <v>82</v>
      </c>
      <c r="D50" s="24" t="str">
        <f>CONCATENATE(ACERO1[[#This Row],[TIPO]]," ",ACERO1[[#This Row],[NUM. DE EJES]]," ",ACERO1[[#This Row],[LARGO]])</f>
        <v>PLATAFORMA 3 40 FT</v>
      </c>
      <c r="E50" s="24" t="s">
        <v>152</v>
      </c>
      <c r="F50" s="29">
        <v>3768</v>
      </c>
      <c r="G50" s="29">
        <f>PRODUCTOS!$B50*PRODUCTOS!$F50*COTIZACION!$I$135</f>
        <v>3768</v>
      </c>
      <c r="H50" s="49">
        <v>3</v>
      </c>
      <c r="I50" s="49" t="s">
        <v>75</v>
      </c>
      <c r="J50" s="30" t="s">
        <v>87</v>
      </c>
      <c r="K50" s="47"/>
      <c r="M50">
        <v>0</v>
      </c>
      <c r="N50" t="s">
        <v>82</v>
      </c>
      <c r="O50" t="str">
        <f>CONCATENATE(extras[[#This Row],[TIPO]]," ",extras[[#This Row],[NUM. DE EJES]]," ",extras[[#This Row],[LARGO]])</f>
        <v>PLATAFORMA 3 48 FT</v>
      </c>
      <c r="P50" t="s">
        <v>153</v>
      </c>
      <c r="Q50" t="s">
        <v>91</v>
      </c>
      <c r="R50" s="6">
        <v>15000</v>
      </c>
      <c r="S50" s="7">
        <f>extras[[#This Row],[PZAS]]*extras[[#This Row],[PRECIO $ C/U]]*COTIZACION!$I$135</f>
        <v>0</v>
      </c>
      <c r="T50" s="2">
        <v>3</v>
      </c>
      <c r="U50" t="s">
        <v>176</v>
      </c>
      <c r="X50">
        <v>4</v>
      </c>
      <c r="Y50" t="s">
        <v>82</v>
      </c>
      <c r="Z50" t="str">
        <f>CONCATENATE(otros[[#This Row],[TIPO]]," ",otros[[#This Row],[NUM. DE EJES]]," ",otros[[#This Row],[LARGO]])</f>
        <v>PLATAFORMA 2 45 FT</v>
      </c>
      <c r="AA50" t="s">
        <v>55</v>
      </c>
      <c r="AB50" s="6">
        <v>150</v>
      </c>
      <c r="AC50" s="28">
        <f>otros[[#This Row],[PZAS]]*otros[[#This Row],[PRECIO $ C/U]]*COTIZACION!$I$135</f>
        <v>600</v>
      </c>
      <c r="AD50" s="2">
        <v>2</v>
      </c>
      <c r="AE50" t="s">
        <v>165</v>
      </c>
      <c r="AF50" s="16" t="s">
        <v>90</v>
      </c>
      <c r="AI50">
        <v>4.8</v>
      </c>
      <c r="AJ50" t="s">
        <v>82</v>
      </c>
      <c r="AK50" t="str">
        <f>CONCATENATE(piramide[[#This Row],[TIPO]]," ",piramide[[#This Row],[NUM. DE EJES]]," ",piramide[[#This Row],[LARGO]])</f>
        <v>PLATAFORMA 3 48 FT</v>
      </c>
      <c r="AL50" t="s">
        <v>180</v>
      </c>
      <c r="AM50" s="6">
        <v>7000</v>
      </c>
      <c r="AN50" s="28">
        <f>piramide[[#This Row],[PZAS]]*piramide[[#This Row],[PRECIO $ C/U]]*COTIZACION!$I$135</f>
        <v>33600</v>
      </c>
      <c r="AO50" s="2">
        <v>3</v>
      </c>
      <c r="AP50" t="s">
        <v>176</v>
      </c>
      <c r="AQ50" t="s">
        <v>88</v>
      </c>
      <c r="AT50">
        <v>1</v>
      </c>
      <c r="AU50" t="s">
        <v>82</v>
      </c>
      <c r="AV50" t="str">
        <f>CONCATENATE(truckzone[[#This Row],[TIPO]]," ",truckzone[[#This Row],[NUM. DE EJES]]," ",truckzone[[#This Row],[LARGO]])</f>
        <v>PLATAFORMA 3 48 FT</v>
      </c>
      <c r="AW50" t="s">
        <v>195</v>
      </c>
      <c r="AX50" s="6">
        <v>27000</v>
      </c>
      <c r="AY50" s="28">
        <f>truckzone[[#This Row],[PZAS]]*truckzone[[#This Row],[PRECIO $ C/U]]*COTIZACION!$I$135</f>
        <v>27000</v>
      </c>
      <c r="AZ50" s="2">
        <v>3</v>
      </c>
      <c r="BA50" t="s">
        <v>176</v>
      </c>
      <c r="BB50" s="40" t="s">
        <v>89</v>
      </c>
    </row>
    <row r="51" spans="2:54">
      <c r="B51" s="41">
        <v>1</v>
      </c>
      <c r="C51" s="42" t="s">
        <v>82</v>
      </c>
      <c r="D51" s="24" t="str">
        <f>CONCATENATE(ACERO1[[#This Row],[TIPO]]," ",ACERO1[[#This Row],[NUM. DE EJES]]," ",ACERO1[[#This Row],[LARGO]])</f>
        <v>PLATAFORMA 2 45 FT</v>
      </c>
      <c r="E51" s="42" t="s">
        <v>8</v>
      </c>
      <c r="F51" s="43">
        <v>2064</v>
      </c>
      <c r="G51" s="43">
        <f>PRODUCTOS!$B51*PRODUCTOS!$F51*COTIZACION!$I$135</f>
        <v>2064</v>
      </c>
      <c r="H51" s="48">
        <v>2</v>
      </c>
      <c r="I51" s="48" t="s">
        <v>165</v>
      </c>
      <c r="J51" s="44" t="s">
        <v>87</v>
      </c>
      <c r="K51" s="45"/>
      <c r="M51">
        <v>0</v>
      </c>
      <c r="N51" t="s">
        <v>82</v>
      </c>
      <c r="O51" t="str">
        <f>CONCATENATE(extras[[#This Row],[TIPO]]," ",extras[[#This Row],[NUM. DE EJES]]," ",extras[[#This Row],[LARGO]])</f>
        <v>PLATAFORMA 3 48 FT</v>
      </c>
      <c r="P51" t="s">
        <v>154</v>
      </c>
      <c r="Q51" t="s">
        <v>91</v>
      </c>
      <c r="R51" s="6"/>
      <c r="S51" s="7">
        <f>extras[[#This Row],[PZAS]]*extras[[#This Row],[PRECIO $ C/U]]*COTIZACION!$I$135</f>
        <v>0</v>
      </c>
      <c r="T51" s="2">
        <v>3</v>
      </c>
      <c r="U51" t="s">
        <v>176</v>
      </c>
      <c r="X51">
        <v>2</v>
      </c>
      <c r="Y51" t="s">
        <v>82</v>
      </c>
      <c r="Z51" t="str">
        <f>CONCATENATE(otros[[#This Row],[TIPO]]," ",otros[[#This Row],[NUM. DE EJES]]," ",otros[[#This Row],[LARGO]])</f>
        <v>PLATAFORMA 2 45 FT</v>
      </c>
      <c r="AA51" t="s">
        <v>56</v>
      </c>
      <c r="AB51" s="6">
        <v>165</v>
      </c>
      <c r="AC51" s="28">
        <f>otros[[#This Row],[PZAS]]*otros[[#This Row],[PRECIO $ C/U]]*COTIZACION!$I$135</f>
        <v>330</v>
      </c>
      <c r="AD51" s="2">
        <v>2</v>
      </c>
      <c r="AE51" t="s">
        <v>165</v>
      </c>
      <c r="AF51" s="16" t="s">
        <v>90</v>
      </c>
      <c r="AI51">
        <v>2.4</v>
      </c>
      <c r="AJ51" t="s">
        <v>82</v>
      </c>
      <c r="AK51" t="str">
        <f>CONCATENATE(piramide[[#This Row],[TIPO]]," ",piramide[[#This Row],[NUM. DE EJES]]," ",piramide[[#This Row],[LARGO]])</f>
        <v>PLATAFORMA 3 48 FT</v>
      </c>
      <c r="AL51" t="s">
        <v>181</v>
      </c>
      <c r="AM51" s="6">
        <v>6130</v>
      </c>
      <c r="AN51" s="28">
        <f>piramide[[#This Row],[PZAS]]*piramide[[#This Row],[PRECIO $ C/U]]*COTIZACION!$I$135</f>
        <v>14712</v>
      </c>
      <c r="AO51" s="2">
        <v>3</v>
      </c>
      <c r="AP51" t="s">
        <v>176</v>
      </c>
      <c r="AQ51" t="s">
        <v>88</v>
      </c>
      <c r="AT51">
        <v>2</v>
      </c>
      <c r="AU51" t="s">
        <v>4</v>
      </c>
      <c r="AV51" t="str">
        <f>CONCATENATE(truckzone[[#This Row],[TIPO]]," ",truckzone[[#This Row],[NUM. DE EJES]]," ",truckzone[[#This Row],[LARGO]])</f>
        <v>DOLLY 2 3.5 FT</v>
      </c>
      <c r="AW51" t="s">
        <v>215</v>
      </c>
      <c r="AX51" s="6">
        <v>1</v>
      </c>
      <c r="AY51" s="28">
        <f>truckzone[[#This Row],[PZAS]]*truckzone[[#This Row],[PRECIO $ C/U]]*COTIZACION!$I$135</f>
        <v>2</v>
      </c>
      <c r="AZ51" s="2">
        <v>2</v>
      </c>
      <c r="BA51" t="s">
        <v>276</v>
      </c>
      <c r="BB51" s="40" t="s">
        <v>89</v>
      </c>
    </row>
    <row r="52" spans="2:54">
      <c r="B52" s="46">
        <v>1</v>
      </c>
      <c r="C52" s="24" t="s">
        <v>82</v>
      </c>
      <c r="D52" s="24" t="str">
        <f>CONCATENATE(ACERO1[[#This Row],[TIPO]]," ",ACERO1[[#This Row],[NUM. DE EJES]]," ",ACERO1[[#This Row],[LARGO]])</f>
        <v>PLATAFORMA 2 45 FT</v>
      </c>
      <c r="E52" s="24" t="s">
        <v>9</v>
      </c>
      <c r="F52" s="29">
        <v>2328</v>
      </c>
      <c r="G52" s="29">
        <f>PRODUCTOS!$B52*PRODUCTOS!$F52*COTIZACION!$I$135</f>
        <v>2328</v>
      </c>
      <c r="H52" s="49">
        <v>2</v>
      </c>
      <c r="I52" s="49" t="s">
        <v>165</v>
      </c>
      <c r="J52" s="30" t="s">
        <v>87</v>
      </c>
      <c r="K52" s="47"/>
      <c r="M52">
        <v>0</v>
      </c>
      <c r="N52" t="s">
        <v>82</v>
      </c>
      <c r="O52" t="str">
        <f>CONCATENATE(extras[[#This Row],[TIPO]]," ",extras[[#This Row],[NUM. DE EJES]]," ",extras[[#This Row],[LARGO]])</f>
        <v>PLATAFORMA 3 48 FT</v>
      </c>
      <c r="P52" t="s">
        <v>157</v>
      </c>
      <c r="Q52" t="s">
        <v>91</v>
      </c>
      <c r="R52" s="6"/>
      <c r="S52" s="7">
        <f>extras[[#This Row],[PZAS]]*extras[[#This Row],[PRECIO $ C/U]]*COTIZACION!$I$135</f>
        <v>0</v>
      </c>
      <c r="T52" s="2">
        <v>3</v>
      </c>
      <c r="U52" t="s">
        <v>176</v>
      </c>
      <c r="X52">
        <v>2</v>
      </c>
      <c r="Y52" t="s">
        <v>82</v>
      </c>
      <c r="Z52" t="str">
        <f>CONCATENATE(otros[[#This Row],[TIPO]]," ",otros[[#This Row],[NUM. DE EJES]]," ",otros[[#This Row],[LARGO]])</f>
        <v>PLATAFORMA 2 45 FT</v>
      </c>
      <c r="AA52" t="s">
        <v>57</v>
      </c>
      <c r="AB52" s="6">
        <v>165</v>
      </c>
      <c r="AC52" s="28">
        <f>otros[[#This Row],[PZAS]]*otros[[#This Row],[PRECIO $ C/U]]*COTIZACION!$I$135</f>
        <v>330</v>
      </c>
      <c r="AD52" s="2">
        <v>2</v>
      </c>
      <c r="AE52" t="s">
        <v>165</v>
      </c>
      <c r="AF52" s="16" t="s">
        <v>90</v>
      </c>
      <c r="AI52">
        <v>1.8</v>
      </c>
      <c r="AJ52" t="s">
        <v>82</v>
      </c>
      <c r="AK52" t="str">
        <f>CONCATENATE(piramide[[#This Row],[TIPO]]," ",piramide[[#This Row],[NUM. DE EJES]]," ",piramide[[#This Row],[LARGO]])</f>
        <v>PLATAFORMA 3 48 FT</v>
      </c>
      <c r="AL52" t="s">
        <v>182</v>
      </c>
      <c r="AM52" s="6">
        <v>245</v>
      </c>
      <c r="AN52" s="28">
        <f>piramide[[#This Row],[PZAS]]*piramide[[#This Row],[PRECIO $ C/U]]*COTIZACION!$I$135</f>
        <v>441</v>
      </c>
      <c r="AO52" s="2">
        <v>3</v>
      </c>
      <c r="AP52" t="s">
        <v>176</v>
      </c>
      <c r="AQ52" t="s">
        <v>88</v>
      </c>
      <c r="AT52">
        <v>2</v>
      </c>
      <c r="AU52" t="s">
        <v>4</v>
      </c>
      <c r="AV52" t="str">
        <f>CONCATENATE(truckzone[[#This Row],[TIPO]]," ",truckzone[[#This Row],[NUM. DE EJES]]," ",truckzone[[#This Row],[LARGO]])</f>
        <v>DOLLY 2 3.5 FT</v>
      </c>
      <c r="AW52" t="s">
        <v>191</v>
      </c>
      <c r="AX52" s="6">
        <v>1</v>
      </c>
      <c r="AY52" s="28">
        <f>truckzone[[#This Row],[PZAS]]*truckzone[[#This Row],[PRECIO $ C/U]]*COTIZACION!$I$135</f>
        <v>2</v>
      </c>
      <c r="AZ52" s="2">
        <v>2</v>
      </c>
      <c r="BA52" t="s">
        <v>276</v>
      </c>
      <c r="BB52" s="40" t="s">
        <v>89</v>
      </c>
    </row>
    <row r="53" spans="2:54">
      <c r="B53" s="41">
        <v>1</v>
      </c>
      <c r="C53" s="42" t="s">
        <v>82</v>
      </c>
      <c r="D53" s="24" t="str">
        <f>CONCATENATE(ACERO1[[#This Row],[TIPO]]," ",ACERO1[[#This Row],[NUM. DE EJES]]," ",ACERO1[[#This Row],[LARGO]])</f>
        <v>PLATAFORMA 2 45 FT</v>
      </c>
      <c r="E53" s="42" t="s">
        <v>10</v>
      </c>
      <c r="F53" s="43">
        <v>84</v>
      </c>
      <c r="G53" s="43">
        <f>PRODUCTOS!$B53*PRODUCTOS!$F53*COTIZACION!$I$135</f>
        <v>84</v>
      </c>
      <c r="H53" s="48">
        <v>2</v>
      </c>
      <c r="I53" s="48" t="s">
        <v>165</v>
      </c>
      <c r="J53" s="44" t="s">
        <v>87</v>
      </c>
      <c r="K53" s="45"/>
      <c r="M53">
        <v>0</v>
      </c>
      <c r="N53" t="s">
        <v>82</v>
      </c>
      <c r="O53" t="str">
        <f>CONCATENATE(extras[[#This Row],[TIPO]]," ",extras[[#This Row],[NUM. DE EJES]]," ",extras[[#This Row],[LARGO]])</f>
        <v>PLATAFORMA 3 48 FT</v>
      </c>
      <c r="P53" t="s">
        <v>158</v>
      </c>
      <c r="Q53" t="s">
        <v>91</v>
      </c>
      <c r="R53" s="6"/>
      <c r="S53" s="7">
        <f>extras[[#This Row],[PZAS]]*extras[[#This Row],[PRECIO $ C/U]]*COTIZACION!$I$135</f>
        <v>0</v>
      </c>
      <c r="T53" s="2">
        <v>3</v>
      </c>
      <c r="U53" t="s">
        <v>176</v>
      </c>
      <c r="X53">
        <v>2</v>
      </c>
      <c r="Y53" t="s">
        <v>82</v>
      </c>
      <c r="Z53" t="str">
        <f>CONCATENATE(otros[[#This Row],[TIPO]]," ",otros[[#This Row],[NUM. DE EJES]]," ",otros[[#This Row],[LARGO]])</f>
        <v>PLATAFORMA 2 45 FT</v>
      </c>
      <c r="AA53" t="s">
        <v>58</v>
      </c>
      <c r="AB53" s="6">
        <v>127</v>
      </c>
      <c r="AC53" s="28">
        <f>otros[[#This Row],[PZAS]]*otros[[#This Row],[PRECIO $ C/U]]*COTIZACION!$I$135</f>
        <v>254</v>
      </c>
      <c r="AD53" s="2">
        <v>2</v>
      </c>
      <c r="AE53" t="s">
        <v>165</v>
      </c>
      <c r="AF53" s="16" t="s">
        <v>90</v>
      </c>
      <c r="AI53">
        <v>8.4</v>
      </c>
      <c r="AJ53" t="s">
        <v>82</v>
      </c>
      <c r="AK53" t="str">
        <f>CONCATENATE(piramide[[#This Row],[TIPO]]," ",piramide[[#This Row],[NUM. DE EJES]]," ",piramide[[#This Row],[LARGO]])</f>
        <v>PLATAFORMA 3 48 FT</v>
      </c>
      <c r="AL53" t="s">
        <v>183</v>
      </c>
      <c r="AM53" s="6">
        <v>953.5</v>
      </c>
      <c r="AN53" s="28">
        <f>piramide[[#This Row],[PZAS]]*piramide[[#This Row],[PRECIO $ C/U]]*COTIZACION!$I$135</f>
        <v>8009.4000000000005</v>
      </c>
      <c r="AO53" s="2">
        <v>3</v>
      </c>
      <c r="AP53" t="s">
        <v>176</v>
      </c>
      <c r="AQ53" t="s">
        <v>88</v>
      </c>
      <c r="AT53">
        <v>2</v>
      </c>
      <c r="AU53" t="s">
        <v>4</v>
      </c>
      <c r="AV53" t="str">
        <f>CONCATENATE(truckzone[[#This Row],[TIPO]]," ",truckzone[[#This Row],[NUM. DE EJES]]," ",truckzone[[#This Row],[LARGO]])</f>
        <v>DOLLY 2 3.5 FT</v>
      </c>
      <c r="AW53" t="s">
        <v>216</v>
      </c>
      <c r="AX53" s="6">
        <v>1</v>
      </c>
      <c r="AY53" s="28">
        <f>truckzone[[#This Row],[PZAS]]*truckzone[[#This Row],[PRECIO $ C/U]]*COTIZACION!$I$135</f>
        <v>2</v>
      </c>
      <c r="AZ53" s="2">
        <v>2</v>
      </c>
      <c r="BA53" t="s">
        <v>276</v>
      </c>
      <c r="BB53" s="40" t="s">
        <v>89</v>
      </c>
    </row>
    <row r="54" spans="2:54">
      <c r="B54" s="46">
        <v>2</v>
      </c>
      <c r="C54" s="24" t="s">
        <v>82</v>
      </c>
      <c r="D54" s="24" t="str">
        <f>CONCATENATE(ACERO1[[#This Row],[TIPO]]," ",ACERO1[[#This Row],[NUM. DE EJES]]," ",ACERO1[[#This Row],[LARGO]])</f>
        <v>PLATAFORMA 2 45 FT</v>
      </c>
      <c r="E54" s="24" t="s">
        <v>147</v>
      </c>
      <c r="F54" s="29">
        <v>480</v>
      </c>
      <c r="G54" s="29">
        <f>PRODUCTOS!$B54*PRODUCTOS!$F54*COTIZACION!$I$135</f>
        <v>960</v>
      </c>
      <c r="H54" s="49">
        <v>2</v>
      </c>
      <c r="I54" s="49" t="s">
        <v>165</v>
      </c>
      <c r="J54" s="30" t="s">
        <v>87</v>
      </c>
      <c r="K54" s="47"/>
      <c r="M54">
        <v>0</v>
      </c>
      <c r="N54" t="s">
        <v>82</v>
      </c>
      <c r="O54" t="str">
        <f>CONCATENATE(extras[[#This Row],[TIPO]]," ",extras[[#This Row],[NUM. DE EJES]]," ",extras[[#This Row],[LARGO]])</f>
        <v>PLATAFORMA 3 48 FT</v>
      </c>
      <c r="P54" t="s">
        <v>159</v>
      </c>
      <c r="Q54" t="s">
        <v>91</v>
      </c>
      <c r="R54" s="6"/>
      <c r="S54" s="7">
        <f>extras[[#This Row],[PZAS]]*extras[[#This Row],[PRECIO $ C/U]]*COTIZACION!$I$135</f>
        <v>0</v>
      </c>
      <c r="T54" s="2">
        <v>3</v>
      </c>
      <c r="U54" t="s">
        <v>176</v>
      </c>
      <c r="X54">
        <v>10</v>
      </c>
      <c r="Y54" t="s">
        <v>82</v>
      </c>
      <c r="Z54" t="str">
        <f>CONCATENATE(otros[[#This Row],[TIPO]]," ",otros[[#This Row],[NUM. DE EJES]]," ",otros[[#This Row],[LARGO]])</f>
        <v>PLATAFORMA 2 45 FT</v>
      </c>
      <c r="AA54" t="s">
        <v>59</v>
      </c>
      <c r="AB54" s="6">
        <v>20</v>
      </c>
      <c r="AC54" s="28">
        <f>otros[[#This Row],[PZAS]]*otros[[#This Row],[PRECIO $ C/U]]*COTIZACION!$I$135</f>
        <v>200</v>
      </c>
      <c r="AD54" s="2">
        <v>2</v>
      </c>
      <c r="AE54" t="s">
        <v>165</v>
      </c>
      <c r="AF54" s="16" t="s">
        <v>90</v>
      </c>
      <c r="AI54">
        <v>0.5</v>
      </c>
      <c r="AJ54" t="s">
        <v>82</v>
      </c>
      <c r="AK54" t="str">
        <f>CONCATENATE(piramide[[#This Row],[TIPO]]," ",piramide[[#This Row],[NUM. DE EJES]]," ",piramide[[#This Row],[LARGO]])</f>
        <v>PLATAFORMA 3 48 FT</v>
      </c>
      <c r="AL54" t="s">
        <v>184</v>
      </c>
      <c r="AM54" s="6">
        <v>1907</v>
      </c>
      <c r="AN54" s="28">
        <f>piramide[[#This Row],[PZAS]]*piramide[[#This Row],[PRECIO $ C/U]]*COTIZACION!$I$135</f>
        <v>953.5</v>
      </c>
      <c r="AO54" s="2">
        <v>3</v>
      </c>
      <c r="AP54" t="s">
        <v>176</v>
      </c>
      <c r="AQ54" t="s">
        <v>88</v>
      </c>
      <c r="AT54">
        <v>2</v>
      </c>
      <c r="AU54" t="s">
        <v>4</v>
      </c>
      <c r="AV54" t="str">
        <f>CONCATENATE(truckzone[[#This Row],[TIPO]]," ",truckzone[[#This Row],[NUM. DE EJES]]," ",truckzone[[#This Row],[LARGO]])</f>
        <v>DOLLY 2 3.5 FT</v>
      </c>
      <c r="AW54" t="s">
        <v>217</v>
      </c>
      <c r="AX54" s="6">
        <v>1</v>
      </c>
      <c r="AY54" s="28">
        <f>truckzone[[#This Row],[PZAS]]*truckzone[[#This Row],[PRECIO $ C/U]]*COTIZACION!$I$135</f>
        <v>2</v>
      </c>
      <c r="AZ54" s="2">
        <v>2</v>
      </c>
      <c r="BA54" t="s">
        <v>276</v>
      </c>
      <c r="BB54" s="40" t="s">
        <v>89</v>
      </c>
    </row>
    <row r="55" spans="2:54">
      <c r="B55" s="41">
        <v>1</v>
      </c>
      <c r="C55" s="42" t="s">
        <v>82</v>
      </c>
      <c r="D55" s="24" t="str">
        <f>CONCATENATE(ACERO1[[#This Row],[TIPO]]," ",ACERO1[[#This Row],[NUM. DE EJES]]," ",ACERO1[[#This Row],[LARGO]])</f>
        <v>PLATAFORMA 2 45 FT</v>
      </c>
      <c r="E55" s="42" t="s">
        <v>148</v>
      </c>
      <c r="F55" s="43">
        <v>1845</v>
      </c>
      <c r="G55" s="43">
        <f>PRODUCTOS!$B55*PRODUCTOS!$F55*COTIZACION!$I$135</f>
        <v>1845</v>
      </c>
      <c r="H55" s="48">
        <v>2</v>
      </c>
      <c r="I55" s="48" t="s">
        <v>165</v>
      </c>
      <c r="J55" s="44" t="s">
        <v>87</v>
      </c>
      <c r="K55" s="45"/>
      <c r="M55">
        <v>0</v>
      </c>
      <c r="N55" t="s">
        <v>4</v>
      </c>
      <c r="O55" t="str">
        <f>CONCATENATE(extras[[#This Row],[TIPO]]," ",extras[[#This Row],[NUM. DE EJES]]," ",extras[[#This Row],[LARGO]])</f>
        <v>DOLLY 2 3.5 FT</v>
      </c>
      <c r="P55" t="s">
        <v>243</v>
      </c>
      <c r="Q55" t="s">
        <v>91</v>
      </c>
      <c r="R55" s="6">
        <v>0</v>
      </c>
      <c r="S55" s="7">
        <f>extras[[#This Row],[PZAS]]*extras[[#This Row],[PRECIO $ C/U]]*COTIZACION!$I$135</f>
        <v>0</v>
      </c>
      <c r="T55" s="2">
        <v>2</v>
      </c>
      <c r="U55" t="s">
        <v>276</v>
      </c>
      <c r="X55">
        <v>1.125</v>
      </c>
      <c r="Y55" t="s">
        <v>82</v>
      </c>
      <c r="Z55" t="str">
        <f>CONCATENATE(otros[[#This Row],[TIPO]]," ",otros[[#This Row],[NUM. DE EJES]]," ",otros[[#This Row],[LARGO]])</f>
        <v>PLATAFORMA 2 45 FT</v>
      </c>
      <c r="AA55" t="s">
        <v>245</v>
      </c>
      <c r="AB55" s="6">
        <v>551</v>
      </c>
      <c r="AC55" s="28">
        <f>otros[[#This Row],[PZAS]]*otros[[#This Row],[PRECIO $ C/U]]*COTIZACION!$I$135</f>
        <v>619.875</v>
      </c>
      <c r="AD55" s="2">
        <v>2</v>
      </c>
      <c r="AE55" t="s">
        <v>165</v>
      </c>
      <c r="AF55" s="16" t="s">
        <v>90</v>
      </c>
      <c r="AI55">
        <v>0.1</v>
      </c>
      <c r="AJ55" t="s">
        <v>82</v>
      </c>
      <c r="AK55" t="str">
        <f>CONCATENATE(piramide[[#This Row],[TIPO]]," ",piramide[[#This Row],[NUM. DE EJES]]," ",piramide[[#This Row],[LARGO]])</f>
        <v>PLATAFORMA 3 48 FT</v>
      </c>
      <c r="AL55" t="s">
        <v>185</v>
      </c>
      <c r="AM55" s="6">
        <v>999</v>
      </c>
      <c r="AN55" s="28">
        <f>piramide[[#This Row],[PZAS]]*piramide[[#This Row],[PRECIO $ C/U]]*COTIZACION!$I$135</f>
        <v>99.9</v>
      </c>
      <c r="AO55" s="2">
        <v>3</v>
      </c>
      <c r="AP55" t="s">
        <v>176</v>
      </c>
      <c r="AQ55" t="s">
        <v>88</v>
      </c>
      <c r="AT55">
        <v>2</v>
      </c>
      <c r="AU55" t="s">
        <v>4</v>
      </c>
      <c r="AV55" t="str">
        <f>CONCATENATE(truckzone[[#This Row],[TIPO]]," ",truckzone[[#This Row],[NUM. DE EJES]]," ",truckzone[[#This Row],[LARGO]])</f>
        <v>DOLLY 2 3.5 FT</v>
      </c>
      <c r="AW55" t="s">
        <v>192</v>
      </c>
      <c r="AX55" s="6">
        <v>1</v>
      </c>
      <c r="AY55" s="28">
        <f>truckzone[[#This Row],[PZAS]]*truckzone[[#This Row],[PRECIO $ C/U]]*COTIZACION!$I$135</f>
        <v>2</v>
      </c>
      <c r="AZ55" s="2">
        <v>2</v>
      </c>
      <c r="BA55" t="s">
        <v>276</v>
      </c>
      <c r="BB55" s="40" t="s">
        <v>89</v>
      </c>
    </row>
    <row r="56" spans="2:54">
      <c r="B56" s="46">
        <v>1</v>
      </c>
      <c r="C56" s="24" t="s">
        <v>82</v>
      </c>
      <c r="D56" s="24" t="str">
        <f>CONCATENATE(ACERO1[[#This Row],[TIPO]]," ",ACERO1[[#This Row],[NUM. DE EJES]]," ",ACERO1[[#This Row],[LARGO]])</f>
        <v>PLATAFORMA 2 45 FT</v>
      </c>
      <c r="E56" s="24" t="s">
        <v>13</v>
      </c>
      <c r="F56" s="29">
        <v>437</v>
      </c>
      <c r="G56" s="29">
        <f>PRODUCTOS!$B56*PRODUCTOS!$F56*COTIZACION!$I$135</f>
        <v>437</v>
      </c>
      <c r="H56" s="49">
        <v>2</v>
      </c>
      <c r="I56" s="49" t="s">
        <v>165</v>
      </c>
      <c r="J56" s="30" t="s">
        <v>87</v>
      </c>
      <c r="K56" s="47"/>
      <c r="M56">
        <v>1</v>
      </c>
      <c r="N56" t="s">
        <v>82</v>
      </c>
      <c r="O56" t="str">
        <f>CONCATENATE(extras[[#This Row],[TIPO]]," ",extras[[#This Row],[NUM. DE EJES]]," ",extras[[#This Row],[LARGO]])</f>
        <v>PLATAFORMA 2 42 FT</v>
      </c>
      <c r="P56" t="s">
        <v>69</v>
      </c>
      <c r="Q56" t="s">
        <v>91</v>
      </c>
      <c r="R56" s="6">
        <v>7100</v>
      </c>
      <c r="S56" s="7">
        <f>extras[[#This Row],[PZAS]]*extras[[#This Row],[PRECIO $ C/U]]*COTIZACION!$I$135</f>
        <v>7100</v>
      </c>
      <c r="T56" s="2">
        <v>2</v>
      </c>
      <c r="U56" t="s">
        <v>242</v>
      </c>
      <c r="X56">
        <v>2</v>
      </c>
      <c r="Y56" t="s">
        <v>82</v>
      </c>
      <c r="Z56" t="str">
        <f>CONCATENATE(otros[[#This Row],[TIPO]]," ",otros[[#This Row],[NUM. DE EJES]]," ",otros[[#This Row],[LARGO]])</f>
        <v>PLATAFORMA 2 45 FT</v>
      </c>
      <c r="AA56" t="s">
        <v>61</v>
      </c>
      <c r="AB56" s="6">
        <v>586</v>
      </c>
      <c r="AC56" s="28">
        <f>otros[[#This Row],[PZAS]]*otros[[#This Row],[PRECIO $ C/U]]*COTIZACION!$I$135</f>
        <v>1172</v>
      </c>
      <c r="AD56" s="2">
        <v>2</v>
      </c>
      <c r="AE56" t="s">
        <v>165</v>
      </c>
      <c r="AF56" s="16" t="s">
        <v>90</v>
      </c>
      <c r="AI56">
        <v>0.6</v>
      </c>
      <c r="AJ56" t="s">
        <v>82</v>
      </c>
      <c r="AK56" t="str">
        <f>CONCATENATE(piramide[[#This Row],[TIPO]]," ",piramide[[#This Row],[NUM. DE EJES]]," ",piramide[[#This Row],[LARGO]])</f>
        <v>PLATAFORMA 3 48 FT</v>
      </c>
      <c r="AL56" t="s">
        <v>186</v>
      </c>
      <c r="AM56" s="6">
        <v>415</v>
      </c>
      <c r="AN56" s="28">
        <f>piramide[[#This Row],[PZAS]]*piramide[[#This Row],[PRECIO $ C/U]]*COTIZACION!$I$135</f>
        <v>249</v>
      </c>
      <c r="AO56" s="2">
        <v>3</v>
      </c>
      <c r="AP56" t="s">
        <v>176</v>
      </c>
      <c r="AQ56" t="s">
        <v>88</v>
      </c>
      <c r="AT56">
        <v>1</v>
      </c>
      <c r="AU56" t="s">
        <v>4</v>
      </c>
      <c r="AV56" t="str">
        <f>CONCATENATE(truckzone[[#This Row],[TIPO]]," ",truckzone[[#This Row],[NUM. DE EJES]]," ",truckzone[[#This Row],[LARGO]])</f>
        <v>DOLLY 2 3.5 FT</v>
      </c>
      <c r="AW56" t="s">
        <v>218</v>
      </c>
      <c r="AX56" s="6">
        <v>1</v>
      </c>
      <c r="AY56" s="28">
        <f>truckzone[[#This Row],[PZAS]]*truckzone[[#This Row],[PRECIO $ C/U]]*COTIZACION!$I$135</f>
        <v>1</v>
      </c>
      <c r="AZ56" s="2">
        <v>2</v>
      </c>
      <c r="BA56" t="s">
        <v>276</v>
      </c>
      <c r="BB56" s="40" t="s">
        <v>89</v>
      </c>
    </row>
    <row r="57" spans="2:54">
      <c r="B57" s="41">
        <v>2</v>
      </c>
      <c r="C57" s="42" t="s">
        <v>82</v>
      </c>
      <c r="D57" s="24" t="str">
        <f>CONCATENATE(ACERO1[[#This Row],[TIPO]]," ",ACERO1[[#This Row],[NUM. DE EJES]]," ",ACERO1[[#This Row],[LARGO]])</f>
        <v>PLATAFORMA 2 45 FT</v>
      </c>
      <c r="E57" s="42" t="s">
        <v>14</v>
      </c>
      <c r="F57" s="43">
        <v>417</v>
      </c>
      <c r="G57" s="43">
        <f>PRODUCTOS!$B57*PRODUCTOS!$F57*COTIZACION!$I$135</f>
        <v>834</v>
      </c>
      <c r="H57" s="48">
        <v>2</v>
      </c>
      <c r="I57" s="48" t="s">
        <v>165</v>
      </c>
      <c r="J57" s="44" t="s">
        <v>87</v>
      </c>
      <c r="K57" s="45"/>
      <c r="M57">
        <v>1</v>
      </c>
      <c r="N57" t="s">
        <v>82</v>
      </c>
      <c r="O57" t="str">
        <f>CONCATENATE(extras[[#This Row],[TIPO]]," ",extras[[#This Row],[NUM. DE EJES]]," ",extras[[#This Row],[LARGO]])</f>
        <v>PLATAFORMA 2 42 FT</v>
      </c>
      <c r="P57" t="s">
        <v>70</v>
      </c>
      <c r="Q57" t="s">
        <v>91</v>
      </c>
      <c r="R57" s="6">
        <v>3744</v>
      </c>
      <c r="S57" s="7">
        <f>extras[[#This Row],[PZAS]]*extras[[#This Row],[PRECIO $ C/U]]*COTIZACION!$I$135</f>
        <v>3744</v>
      </c>
      <c r="T57" s="2">
        <v>2</v>
      </c>
      <c r="U57" t="s">
        <v>242</v>
      </c>
      <c r="X57">
        <v>1</v>
      </c>
      <c r="Y57" t="s">
        <v>82</v>
      </c>
      <c r="Z57" t="str">
        <f>CONCATENATE(otros[[#This Row],[TIPO]]," ",otros[[#This Row],[NUM. DE EJES]]," ",otros[[#This Row],[LARGO]])</f>
        <v>PLATAFORMA 2 45 FT</v>
      </c>
      <c r="AA57" t="s">
        <v>62</v>
      </c>
      <c r="AB57" s="6">
        <v>1500</v>
      </c>
      <c r="AC57" s="28">
        <f>otros[[#This Row],[PZAS]]*otros[[#This Row],[PRECIO $ C/U]]*COTIZACION!$I$135</f>
        <v>1500</v>
      </c>
      <c r="AD57" s="2">
        <v>2</v>
      </c>
      <c r="AE57" t="s">
        <v>165</v>
      </c>
      <c r="AF57" s="16" t="s">
        <v>90</v>
      </c>
      <c r="AI57">
        <v>0.2</v>
      </c>
      <c r="AJ57" t="s">
        <v>82</v>
      </c>
      <c r="AK57" t="str">
        <f>CONCATENATE(piramide[[#This Row],[TIPO]]," ",piramide[[#This Row],[NUM. DE EJES]]," ",piramide[[#This Row],[LARGO]])</f>
        <v>PLATAFORMA 3 48 FT</v>
      </c>
      <c r="AL57" t="s">
        <v>187</v>
      </c>
      <c r="AM57" s="6">
        <v>360</v>
      </c>
      <c r="AN57" s="28">
        <f>piramide[[#This Row],[PZAS]]*piramide[[#This Row],[PRECIO $ C/U]]*COTIZACION!$I$135</f>
        <v>72</v>
      </c>
      <c r="AO57" s="2">
        <v>3</v>
      </c>
      <c r="AP57" t="s">
        <v>176</v>
      </c>
      <c r="AQ57" t="s">
        <v>88</v>
      </c>
      <c r="AT57">
        <v>1</v>
      </c>
      <c r="AU57" t="s">
        <v>4</v>
      </c>
      <c r="AV57" t="str">
        <f>CONCATENATE(truckzone[[#This Row],[TIPO]]," ",truckzone[[#This Row],[NUM. DE EJES]]," ",truckzone[[#This Row],[LARGO]])</f>
        <v>DOLLY 2 3.5 FT</v>
      </c>
      <c r="AW57" t="s">
        <v>219</v>
      </c>
      <c r="AX57" s="6">
        <v>1</v>
      </c>
      <c r="AY57" s="28">
        <f>truckzone[[#This Row],[PZAS]]*truckzone[[#This Row],[PRECIO $ C/U]]*COTIZACION!$I$135</f>
        <v>1</v>
      </c>
      <c r="AZ57" s="2">
        <v>2</v>
      </c>
      <c r="BA57" t="s">
        <v>276</v>
      </c>
      <c r="BB57" s="40" t="s">
        <v>89</v>
      </c>
    </row>
    <row r="58" spans="2:54">
      <c r="B58" s="46">
        <v>1</v>
      </c>
      <c r="C58" s="24" t="s">
        <v>82</v>
      </c>
      <c r="D58" s="24" t="str">
        <f>CONCATENATE(ACERO1[[#This Row],[TIPO]]," ",ACERO1[[#This Row],[NUM. DE EJES]]," ",ACERO1[[#This Row],[LARGO]])</f>
        <v>PLATAFORMA 2 45 FT</v>
      </c>
      <c r="E58" s="24" t="s">
        <v>15</v>
      </c>
      <c r="F58" s="29"/>
      <c r="G58" s="29">
        <f>PRODUCTOS!$B58*PRODUCTOS!$F58*COTIZACION!$I$135</f>
        <v>0</v>
      </c>
      <c r="H58" s="49">
        <v>2</v>
      </c>
      <c r="I58" s="49" t="s">
        <v>165</v>
      </c>
      <c r="J58" s="30" t="s">
        <v>87</v>
      </c>
      <c r="K58" s="47"/>
      <c r="M58">
        <v>1</v>
      </c>
      <c r="N58" t="s">
        <v>82</v>
      </c>
      <c r="O58" t="str">
        <f>CONCATENATE(extras[[#This Row],[TIPO]]," ",extras[[#This Row],[NUM. DE EJES]]," ",extras[[#This Row],[LARGO]])</f>
        <v>PLATAFORMA 2 42 FT</v>
      </c>
      <c r="P58" t="s">
        <v>131</v>
      </c>
      <c r="Q58" t="s">
        <v>91</v>
      </c>
      <c r="R58" s="6">
        <v>6240</v>
      </c>
      <c r="S58" s="7">
        <f>extras[[#This Row],[PZAS]]*extras[[#This Row],[PRECIO $ C/U]]*COTIZACION!$I$135</f>
        <v>6240</v>
      </c>
      <c r="T58" s="2">
        <v>2</v>
      </c>
      <c r="U58" t="s">
        <v>242</v>
      </c>
      <c r="X58">
        <v>2</v>
      </c>
      <c r="Y58" t="s">
        <v>82</v>
      </c>
      <c r="Z58" t="str">
        <f>CONCATENATE(otros[[#This Row],[TIPO]]," ",otros[[#This Row],[NUM. DE EJES]]," ",otros[[#This Row],[LARGO]])</f>
        <v>PLATAFORMA 2 45 FT</v>
      </c>
      <c r="AA58" t="s">
        <v>244</v>
      </c>
      <c r="AB58" s="6">
        <v>350</v>
      </c>
      <c r="AC58" s="28">
        <f>otros[[#This Row],[PZAS]]*otros[[#This Row],[PRECIO $ C/U]]*COTIZACION!$I$135</f>
        <v>700</v>
      </c>
      <c r="AD58" s="2">
        <v>2</v>
      </c>
      <c r="AE58" t="s">
        <v>165</v>
      </c>
      <c r="AF58" s="16" t="s">
        <v>90</v>
      </c>
      <c r="AI58">
        <v>0.2</v>
      </c>
      <c r="AJ58" t="s">
        <v>82</v>
      </c>
      <c r="AK58" t="str">
        <f>CONCATENATE(piramide[[#This Row],[TIPO]]," ",piramide[[#This Row],[NUM. DE EJES]]," ",piramide[[#This Row],[LARGO]])</f>
        <v>PLATAFORMA 3 48 FT</v>
      </c>
      <c r="AL58" t="s">
        <v>188</v>
      </c>
      <c r="AM58" s="6">
        <v>917</v>
      </c>
      <c r="AN58" s="28">
        <f>piramide[[#This Row],[PZAS]]*piramide[[#This Row],[PRECIO $ C/U]]*COTIZACION!$I$135</f>
        <v>183.4</v>
      </c>
      <c r="AO58" s="2">
        <v>3</v>
      </c>
      <c r="AP58" t="s">
        <v>176</v>
      </c>
      <c r="AQ58" t="s">
        <v>88</v>
      </c>
      <c r="AT58">
        <v>1</v>
      </c>
      <c r="AU58" t="s">
        <v>4</v>
      </c>
      <c r="AV58" t="str">
        <f>CONCATENATE(truckzone[[#This Row],[TIPO]]," ",truckzone[[#This Row],[NUM. DE EJES]]," ",truckzone[[#This Row],[LARGO]])</f>
        <v>DOLLY 2 3.5 FT</v>
      </c>
      <c r="AW58" t="s">
        <v>220</v>
      </c>
      <c r="AX58" s="6">
        <v>1</v>
      </c>
      <c r="AY58" s="28">
        <f>truckzone[[#This Row],[PZAS]]*truckzone[[#This Row],[PRECIO $ C/U]]*COTIZACION!$I$135</f>
        <v>1</v>
      </c>
      <c r="AZ58" s="2">
        <v>2</v>
      </c>
      <c r="BA58" t="s">
        <v>276</v>
      </c>
      <c r="BB58" s="40" t="s">
        <v>89</v>
      </c>
    </row>
    <row r="59" spans="2:54">
      <c r="B59" s="41">
        <v>5</v>
      </c>
      <c r="C59" s="42" t="s">
        <v>82</v>
      </c>
      <c r="D59" s="24" t="str">
        <f>CONCATENATE(ACERO1[[#This Row],[TIPO]]," ",ACERO1[[#This Row],[NUM. DE EJES]]," ",ACERO1[[#This Row],[LARGO]])</f>
        <v>PLATAFORMA 2 45 FT</v>
      </c>
      <c r="E59" s="42" t="s">
        <v>16</v>
      </c>
      <c r="F59" s="43">
        <v>504</v>
      </c>
      <c r="G59" s="43">
        <f>PRODUCTOS!$B59*PRODUCTOS!$F59*COTIZACION!$I$135</f>
        <v>2520</v>
      </c>
      <c r="H59" s="48">
        <v>2</v>
      </c>
      <c r="I59" s="48" t="s">
        <v>165</v>
      </c>
      <c r="J59" s="44" t="s">
        <v>87</v>
      </c>
      <c r="K59" s="45"/>
      <c r="M59">
        <v>1</v>
      </c>
      <c r="N59" t="s">
        <v>82</v>
      </c>
      <c r="O59" t="str">
        <f>CONCATENATE(extras[[#This Row],[TIPO]]," ",extras[[#This Row],[NUM. DE EJES]]," ",extras[[#This Row],[LARGO]])</f>
        <v>PLATAFORMA 2 42 FT</v>
      </c>
      <c r="P59" t="s">
        <v>72</v>
      </c>
      <c r="Q59" t="s">
        <v>91</v>
      </c>
      <c r="R59" s="6">
        <v>6240</v>
      </c>
      <c r="S59" s="7">
        <f>extras[[#This Row],[PZAS]]*extras[[#This Row],[PRECIO $ C/U]]*COTIZACION!$I$135</f>
        <v>6240</v>
      </c>
      <c r="T59" s="2">
        <v>2</v>
      </c>
      <c r="U59" t="s">
        <v>242</v>
      </c>
      <c r="X59">
        <v>1</v>
      </c>
      <c r="Y59" t="s">
        <v>82</v>
      </c>
      <c r="Z59" t="str">
        <f>CONCATENATE(otros[[#This Row],[TIPO]]," ",otros[[#This Row],[NUM. DE EJES]]," ",otros[[#This Row],[LARGO]])</f>
        <v>PLATAFORMA 2 45 FT</v>
      </c>
      <c r="AA59" t="s">
        <v>66</v>
      </c>
      <c r="AB59" s="6">
        <v>10000</v>
      </c>
      <c r="AC59" s="28">
        <f>otros[[#This Row],[PZAS]]*otros[[#This Row],[PRECIO $ C/U]]*COTIZACION!$I$135</f>
        <v>10000</v>
      </c>
      <c r="AD59" s="2">
        <v>2</v>
      </c>
      <c r="AE59" t="s">
        <v>165</v>
      </c>
      <c r="AF59" s="16" t="s">
        <v>90</v>
      </c>
      <c r="AI59">
        <v>1</v>
      </c>
      <c r="AJ59" t="s">
        <v>4</v>
      </c>
      <c r="AK59" t="str">
        <f>CONCATENATE(piramide[[#This Row],[TIPO]]," ",piramide[[#This Row],[NUM. DE EJES]]," ",piramide[[#This Row],[LARGO]])</f>
        <v>DOLLY 2 3.5 FT</v>
      </c>
      <c r="AL59" t="s">
        <v>53</v>
      </c>
      <c r="AM59" s="6">
        <v>550</v>
      </c>
      <c r="AN59" s="28">
        <f>piramide[[#This Row],[PZAS]]*piramide[[#This Row],[PRECIO $ C/U]]*COTIZACION!$I$135</f>
        <v>550</v>
      </c>
      <c r="AO59" s="2">
        <v>2</v>
      </c>
      <c r="AP59" t="s">
        <v>276</v>
      </c>
      <c r="AQ59" t="s">
        <v>88</v>
      </c>
      <c r="AT59">
        <v>1</v>
      </c>
      <c r="AU59" t="s">
        <v>4</v>
      </c>
      <c r="AV59" t="str">
        <f>CONCATENATE(truckzone[[#This Row],[TIPO]]," ",truckzone[[#This Row],[NUM. DE EJES]]," ",truckzone[[#This Row],[LARGO]])</f>
        <v>DOLLY 2 3.5 FT</v>
      </c>
      <c r="AW59" t="s">
        <v>221</v>
      </c>
      <c r="AX59" s="6">
        <v>1</v>
      </c>
      <c r="AY59" s="28">
        <f>truckzone[[#This Row],[PZAS]]*truckzone[[#This Row],[PRECIO $ C/U]]*COTIZACION!$I$135</f>
        <v>1</v>
      </c>
      <c r="AZ59" s="2">
        <v>2</v>
      </c>
      <c r="BA59" t="s">
        <v>276</v>
      </c>
      <c r="BB59" s="40" t="s">
        <v>89</v>
      </c>
    </row>
    <row r="60" spans="2:54">
      <c r="B60" s="46">
        <v>54</v>
      </c>
      <c r="C60" s="24" t="s">
        <v>82</v>
      </c>
      <c r="D60" s="24" t="str">
        <f>CONCATENATE(ACERO1[[#This Row],[TIPO]]," ",ACERO1[[#This Row],[NUM. DE EJES]]," ",ACERO1[[#This Row],[LARGO]])</f>
        <v>PLATAFORMA 2 45 FT</v>
      </c>
      <c r="E60" s="24" t="s">
        <v>18</v>
      </c>
      <c r="F60" s="29">
        <v>83.9</v>
      </c>
      <c r="G60" s="29">
        <f>PRODUCTOS!$B60*PRODUCTOS!$F60*COTIZACION!$I$135</f>
        <v>4530.6000000000004</v>
      </c>
      <c r="H60" s="49">
        <v>2</v>
      </c>
      <c r="I60" s="49" t="s">
        <v>165</v>
      </c>
      <c r="J60" s="30" t="s">
        <v>87</v>
      </c>
      <c r="K60" s="47"/>
      <c r="M60">
        <v>1</v>
      </c>
      <c r="N60" t="s">
        <v>82</v>
      </c>
      <c r="O60" t="str">
        <f>CONCATENATE(extras[[#This Row],[TIPO]]," ",extras[[#This Row],[NUM. DE EJES]]," ",extras[[#This Row],[LARGO]])</f>
        <v>PLATAFORMA 2 42 FT</v>
      </c>
      <c r="P60" t="s">
        <v>132</v>
      </c>
      <c r="Q60" t="s">
        <v>91</v>
      </c>
      <c r="R60" s="6">
        <v>5450</v>
      </c>
      <c r="S60" s="7">
        <f>extras[[#This Row],[PZAS]]*extras[[#This Row],[PRECIO $ C/U]]*COTIZACION!$I$135</f>
        <v>5450</v>
      </c>
      <c r="T60" s="2">
        <v>2</v>
      </c>
      <c r="U60" t="s">
        <v>242</v>
      </c>
      <c r="X60">
        <v>1</v>
      </c>
      <c r="Y60" t="s">
        <v>82</v>
      </c>
      <c r="Z60" t="str">
        <f>CONCATENATE(otros[[#This Row],[TIPO]]," ",otros[[#This Row],[NUM. DE EJES]]," ",otros[[#This Row],[LARGO]])</f>
        <v>PLATAFORMA 2 45 FT</v>
      </c>
      <c r="AA60" t="s">
        <v>67</v>
      </c>
      <c r="AB60" s="6">
        <v>2000</v>
      </c>
      <c r="AC60" s="28">
        <f>otros[[#This Row],[PZAS]]*otros[[#This Row],[PRECIO $ C/U]]*COTIZACION!$I$135</f>
        <v>2000</v>
      </c>
      <c r="AD60" s="2">
        <v>2</v>
      </c>
      <c r="AE60" t="s">
        <v>165</v>
      </c>
      <c r="AF60" s="16" t="s">
        <v>90</v>
      </c>
      <c r="AI60">
        <v>1</v>
      </c>
      <c r="AJ60" t="s">
        <v>4</v>
      </c>
      <c r="AK60" t="str">
        <f>CONCATENATE(piramide[[#This Row],[TIPO]]," ",piramide[[#This Row],[NUM. DE EJES]]," ",piramide[[#This Row],[LARGO]])</f>
        <v>DOLLY 2 3.5 FT</v>
      </c>
      <c r="AL60" t="s">
        <v>222</v>
      </c>
      <c r="AM60" s="6">
        <v>1295</v>
      </c>
      <c r="AN60" s="28">
        <f>piramide[[#This Row],[PZAS]]*piramide[[#This Row],[PRECIO $ C/U]]*COTIZACION!$I$135</f>
        <v>1295</v>
      </c>
      <c r="AO60" s="2">
        <v>2</v>
      </c>
      <c r="AP60" t="s">
        <v>276</v>
      </c>
      <c r="AQ60" t="s">
        <v>88</v>
      </c>
      <c r="AT60">
        <v>1</v>
      </c>
      <c r="AU60" t="s">
        <v>4</v>
      </c>
      <c r="AV60" t="str">
        <f>CONCATENATE(truckzone[[#This Row],[TIPO]]," ",truckzone[[#This Row],[NUM. DE EJES]]," ",truckzone[[#This Row],[LARGO]])</f>
        <v>DOLLY 2 3.5 FT</v>
      </c>
      <c r="AW60" t="s">
        <v>48</v>
      </c>
      <c r="AX60" s="6">
        <v>0</v>
      </c>
      <c r="AY60" s="28">
        <f>truckzone[[#This Row],[PZAS]]*truckzone[[#This Row],[PRECIO $ C/U]]*COTIZACION!$I$135</f>
        <v>0</v>
      </c>
      <c r="AZ60" s="2">
        <v>2</v>
      </c>
      <c r="BA60" t="s">
        <v>276</v>
      </c>
      <c r="BB60" s="40" t="s">
        <v>89</v>
      </c>
    </row>
    <row r="61" spans="2:54">
      <c r="B61" s="41">
        <v>1</v>
      </c>
      <c r="C61" s="42" t="s">
        <v>82</v>
      </c>
      <c r="D61" s="24" t="str">
        <f>CONCATENATE(ACERO1[[#This Row],[TIPO]]," ",ACERO1[[#This Row],[NUM. DE EJES]]," ",ACERO1[[#This Row],[LARGO]])</f>
        <v>PLATAFORMA 2 45 FT</v>
      </c>
      <c r="E61" s="42" t="s">
        <v>19</v>
      </c>
      <c r="F61" s="43">
        <v>2035</v>
      </c>
      <c r="G61" s="43">
        <f>PRODUCTOS!$B61*PRODUCTOS!$F61*COTIZACION!$I$135</f>
        <v>2035</v>
      </c>
      <c r="H61" s="48">
        <v>2</v>
      </c>
      <c r="I61" s="48" t="s">
        <v>165</v>
      </c>
      <c r="J61" s="44" t="s">
        <v>87</v>
      </c>
      <c r="K61" s="45"/>
      <c r="M61">
        <v>1</v>
      </c>
      <c r="N61" t="s">
        <v>82</v>
      </c>
      <c r="O61" t="str">
        <f>CONCATENATE(extras[[#This Row],[TIPO]]," ",extras[[#This Row],[NUM. DE EJES]]," ",extras[[#This Row],[LARGO]])</f>
        <v>PLATAFORMA 2 42 FT</v>
      </c>
      <c r="P61" t="s">
        <v>133</v>
      </c>
      <c r="Q61" t="s">
        <v>91</v>
      </c>
      <c r="R61" s="6">
        <v>2300</v>
      </c>
      <c r="S61" s="7">
        <f>extras[[#This Row],[PZAS]]*extras[[#This Row],[PRECIO $ C/U]]*COTIZACION!$I$135</f>
        <v>2300</v>
      </c>
      <c r="T61" s="2">
        <v>2</v>
      </c>
      <c r="U61" t="s">
        <v>242</v>
      </c>
      <c r="X61">
        <v>1</v>
      </c>
      <c r="Y61" t="s">
        <v>82</v>
      </c>
      <c r="Z61" t="str">
        <f>CONCATENATE(otros[[#This Row],[TIPO]]," ",otros[[#This Row],[NUM. DE EJES]]," ",otros[[#This Row],[LARGO]])</f>
        <v>PLATAFORMA 2 45 FT</v>
      </c>
      <c r="AA61" t="s">
        <v>68</v>
      </c>
      <c r="AB61" s="6">
        <v>2500</v>
      </c>
      <c r="AC61" s="28">
        <f>otros[[#This Row],[PZAS]]*otros[[#This Row],[PRECIO $ C/U]]*COTIZACION!$I$135</f>
        <v>2500</v>
      </c>
      <c r="AD61" s="2">
        <v>2</v>
      </c>
      <c r="AE61" t="s">
        <v>165</v>
      </c>
      <c r="AF61" s="16" t="s">
        <v>90</v>
      </c>
      <c r="AI61">
        <v>1</v>
      </c>
      <c r="AJ61" t="s">
        <v>4</v>
      </c>
      <c r="AK61" t="str">
        <f>CONCATENATE(piramide[[#This Row],[TIPO]]," ",piramide[[#This Row],[NUM. DE EJES]]," ",piramide[[#This Row],[LARGO]])</f>
        <v>DOLLY 2 3.5 FT</v>
      </c>
      <c r="AL61" t="s">
        <v>223</v>
      </c>
      <c r="AM61" s="6">
        <v>1500</v>
      </c>
      <c r="AN61" s="28">
        <f>piramide[[#This Row],[PZAS]]*piramide[[#This Row],[PRECIO $ C/U]]*COTIZACION!$I$135</f>
        <v>1500</v>
      </c>
      <c r="AO61" s="2">
        <v>2</v>
      </c>
      <c r="AP61" t="s">
        <v>276</v>
      </c>
      <c r="AQ61" t="s">
        <v>88</v>
      </c>
      <c r="AT61">
        <v>2</v>
      </c>
      <c r="AU61" t="s">
        <v>4</v>
      </c>
      <c r="AV61" t="str">
        <f>CONCATENATE(truckzone[[#This Row],[TIPO]]," ",truckzone[[#This Row],[NUM. DE EJES]]," ",truckzone[[#This Row],[LARGO]])</f>
        <v>DOLLY 2 3.5 FT</v>
      </c>
      <c r="AW61" t="s">
        <v>61</v>
      </c>
      <c r="AX61" s="6">
        <v>0</v>
      </c>
      <c r="AY61" s="28">
        <f>truckzone[[#This Row],[PZAS]]*truckzone[[#This Row],[PRECIO $ C/U]]*COTIZACION!$I$135</f>
        <v>0</v>
      </c>
      <c r="AZ61" s="2">
        <v>2</v>
      </c>
      <c r="BA61" t="s">
        <v>276</v>
      </c>
      <c r="BB61" s="40" t="s">
        <v>89</v>
      </c>
    </row>
    <row r="62" spans="2:54">
      <c r="B62" s="46">
        <v>6</v>
      </c>
      <c r="C62" s="24" t="s">
        <v>82</v>
      </c>
      <c r="D62" s="24" t="str">
        <f>CONCATENATE(ACERO1[[#This Row],[TIPO]]," ",ACERO1[[#This Row],[NUM. DE EJES]]," ",ACERO1[[#This Row],[LARGO]])</f>
        <v>PLATAFORMA 2 45 FT</v>
      </c>
      <c r="E62" s="24" t="s">
        <v>20</v>
      </c>
      <c r="F62" s="29">
        <v>740</v>
      </c>
      <c r="G62" s="29">
        <f>PRODUCTOS!$B62*PRODUCTOS!$F62*COTIZACION!$I$135</f>
        <v>4440</v>
      </c>
      <c r="H62" s="49">
        <v>2</v>
      </c>
      <c r="I62" s="49" t="s">
        <v>165</v>
      </c>
      <c r="J62" s="30" t="s">
        <v>87</v>
      </c>
      <c r="K62" s="47"/>
      <c r="M62">
        <v>1</v>
      </c>
      <c r="N62" t="s">
        <v>82</v>
      </c>
      <c r="O62" t="str">
        <f>CONCATENATE(extras[[#This Row],[TIPO]]," ",extras[[#This Row],[NUM. DE EJES]]," ",extras[[#This Row],[LARGO]])</f>
        <v>PLATAFORMA 2 42 FT</v>
      </c>
      <c r="P62" t="s">
        <v>63</v>
      </c>
      <c r="Q62" t="s">
        <v>91</v>
      </c>
      <c r="R62" s="6">
        <v>33000</v>
      </c>
      <c r="S62" s="7">
        <f>extras[[#This Row],[PZAS]]*extras[[#This Row],[PRECIO $ C/U]]*COTIZACION!$I$135</f>
        <v>33000</v>
      </c>
      <c r="T62" s="2">
        <v>2</v>
      </c>
      <c r="U62" t="s">
        <v>242</v>
      </c>
      <c r="X62">
        <v>1</v>
      </c>
      <c r="Y62" t="s">
        <v>82</v>
      </c>
      <c r="Z62" t="str">
        <f>CONCATENATE(otros[[#This Row],[TIPO]]," ",otros[[#This Row],[NUM. DE EJES]]," ",otros[[#This Row],[LARGO]])</f>
        <v>PLATAFORMA 2 45 FT</v>
      </c>
      <c r="AA62" t="s">
        <v>0</v>
      </c>
      <c r="AB62" s="6">
        <v>15000</v>
      </c>
      <c r="AC62" s="28">
        <f>otros[[#This Row],[PZAS]]*otros[[#This Row],[PRECIO $ C/U]]*COTIZACION!$I$135</f>
        <v>15000</v>
      </c>
      <c r="AD62" s="2">
        <v>2</v>
      </c>
      <c r="AE62" t="s">
        <v>165</v>
      </c>
      <c r="AF62" s="16" t="s">
        <v>90</v>
      </c>
      <c r="AI62">
        <v>1</v>
      </c>
      <c r="AJ62" t="s">
        <v>4</v>
      </c>
      <c r="AK62" t="str">
        <f>CONCATENATE(piramide[[#This Row],[TIPO]]," ",piramide[[#This Row],[NUM. DE EJES]]," ",piramide[[#This Row],[LARGO]])</f>
        <v>DOLLY 2 3.5 FT</v>
      </c>
      <c r="AL62" t="s">
        <v>224</v>
      </c>
      <c r="AM62" s="6">
        <v>300</v>
      </c>
      <c r="AN62" s="28">
        <f>piramide[[#This Row],[PZAS]]*piramide[[#This Row],[PRECIO $ C/U]]*COTIZACION!$I$135</f>
        <v>300</v>
      </c>
      <c r="AO62" s="2">
        <v>2</v>
      </c>
      <c r="AP62" t="s">
        <v>276</v>
      </c>
      <c r="AQ62" t="s">
        <v>88</v>
      </c>
      <c r="AT62">
        <v>40</v>
      </c>
      <c r="AU62" t="s">
        <v>82</v>
      </c>
      <c r="AV62" t="str">
        <f>CONCATENATE(truckzone[[#This Row],[TIPO]]," ",truckzone[[#This Row],[NUM. DE EJES]]," ",truckzone[[#This Row],[LARGO]])</f>
        <v>PLATAFORMA 2 42 FT</v>
      </c>
      <c r="AW62" t="s">
        <v>189</v>
      </c>
      <c r="AX62" s="6">
        <v>578</v>
      </c>
      <c r="AY62" s="28">
        <f>truckzone[[#This Row],[PZAS]]*truckzone[[#This Row],[PRECIO $ C/U]]*COTIZACION!$I$135</f>
        <v>23120</v>
      </c>
      <c r="AZ62" s="2">
        <v>2</v>
      </c>
      <c r="BA62" t="s">
        <v>242</v>
      </c>
      <c r="BB62" s="40" t="s">
        <v>89</v>
      </c>
    </row>
    <row r="63" spans="2:54">
      <c r="B63" s="41">
        <v>1</v>
      </c>
      <c r="C63" s="42" t="s">
        <v>82</v>
      </c>
      <c r="D63" s="24" t="str">
        <f>CONCATENATE(ACERO1[[#This Row],[TIPO]]," ",ACERO1[[#This Row],[NUM. DE EJES]]," ",ACERO1[[#This Row],[LARGO]])</f>
        <v>PLATAFORMA 2 45 FT</v>
      </c>
      <c r="E63" s="42" t="s">
        <v>22</v>
      </c>
      <c r="F63" s="43">
        <v>768</v>
      </c>
      <c r="G63" s="43">
        <f>PRODUCTOS!$B63*PRODUCTOS!$F63*COTIZACION!$I$135</f>
        <v>768</v>
      </c>
      <c r="H63" s="48">
        <v>2</v>
      </c>
      <c r="I63" s="48" t="s">
        <v>165</v>
      </c>
      <c r="J63" s="44" t="s">
        <v>87</v>
      </c>
      <c r="K63" s="45"/>
      <c r="M63">
        <v>1</v>
      </c>
      <c r="N63" t="s">
        <v>82</v>
      </c>
      <c r="O63" t="str">
        <f>CONCATENATE(extras[[#This Row],[TIPO]]," ",extras[[#This Row],[NUM. DE EJES]]," ",extras[[#This Row],[LARGO]])</f>
        <v>PLATAFORMA 2 42 FT</v>
      </c>
      <c r="P63" t="s">
        <v>64</v>
      </c>
      <c r="Q63" t="s">
        <v>91</v>
      </c>
      <c r="R63" s="6">
        <v>15000</v>
      </c>
      <c r="S63" s="7">
        <f>extras[[#This Row],[PZAS]]*extras[[#This Row],[PRECIO $ C/U]]*COTIZACION!$I$135</f>
        <v>15000</v>
      </c>
      <c r="T63" s="2">
        <v>2</v>
      </c>
      <c r="U63" t="s">
        <v>242</v>
      </c>
      <c r="X63">
        <v>1</v>
      </c>
      <c r="Y63" t="s">
        <v>82</v>
      </c>
      <c r="Z63" t="str">
        <f>CONCATENATE(otros[[#This Row],[TIPO]]," ",otros[[#This Row],[NUM. DE EJES]]," ",otros[[#This Row],[LARGO]])</f>
        <v>PLATAFORMA 2 45 FT</v>
      </c>
      <c r="AA63" t="s">
        <v>161</v>
      </c>
      <c r="AB63" s="6">
        <v>3000</v>
      </c>
      <c r="AC63" s="28">
        <f>otros[[#This Row],[PZAS]]*otros[[#This Row],[PRECIO $ C/U]]*COTIZACION!$I$135</f>
        <v>3000</v>
      </c>
      <c r="AD63" s="2">
        <v>2</v>
      </c>
      <c r="AE63" t="s">
        <v>165</v>
      </c>
      <c r="AF63" s="16" t="s">
        <v>90</v>
      </c>
      <c r="AI63">
        <v>1</v>
      </c>
      <c r="AJ63" t="s">
        <v>4</v>
      </c>
      <c r="AK63" t="str">
        <f>CONCATENATE(piramide[[#This Row],[TIPO]]," ",piramide[[#This Row],[NUM. DE EJES]]," ",piramide[[#This Row],[LARGO]])</f>
        <v>DOLLY 2 3.5 FT</v>
      </c>
      <c r="AL63" t="s">
        <v>225</v>
      </c>
      <c r="AM63" s="6">
        <v>700</v>
      </c>
      <c r="AN63" s="28">
        <f>piramide[[#This Row],[PZAS]]*piramide[[#This Row],[PRECIO $ C/U]]*COTIZACION!$I$135</f>
        <v>700</v>
      </c>
      <c r="AO63" s="2">
        <v>2</v>
      </c>
      <c r="AP63" t="s">
        <v>276</v>
      </c>
      <c r="AQ63" t="s">
        <v>88</v>
      </c>
      <c r="AT63">
        <v>1</v>
      </c>
      <c r="AU63" t="s">
        <v>82</v>
      </c>
      <c r="AV63" t="str">
        <f>CONCATENATE(truckzone[[#This Row],[TIPO]]," ",truckzone[[#This Row],[NUM. DE EJES]]," ",truckzone[[#This Row],[LARGO]])</f>
        <v>PLATAFORMA 2 42 FT</v>
      </c>
      <c r="AW63" t="s">
        <v>190</v>
      </c>
      <c r="AX63" s="6">
        <v>1500</v>
      </c>
      <c r="AY63" s="28">
        <f>truckzone[[#This Row],[PZAS]]*truckzone[[#This Row],[PRECIO $ C/U]]*COTIZACION!$I$135</f>
        <v>1500</v>
      </c>
      <c r="AZ63" s="2">
        <v>2</v>
      </c>
      <c r="BA63" t="s">
        <v>242</v>
      </c>
      <c r="BB63" s="40" t="s">
        <v>89</v>
      </c>
    </row>
    <row r="64" spans="2:54">
      <c r="B64" s="46">
        <v>1</v>
      </c>
      <c r="C64" s="24" t="s">
        <v>82</v>
      </c>
      <c r="D64" s="24" t="str">
        <f>CONCATENATE(ACERO1[[#This Row],[TIPO]]," ",ACERO1[[#This Row],[NUM. DE EJES]]," ",ACERO1[[#This Row],[LARGO]])</f>
        <v>PLATAFORMA 2 45 FT</v>
      </c>
      <c r="E64" s="24" t="s">
        <v>150</v>
      </c>
      <c r="F64" s="29">
        <v>3276</v>
      </c>
      <c r="G64" s="29">
        <f>PRODUCTOS!$B64*PRODUCTOS!$F64*COTIZACION!$I$135</f>
        <v>3276</v>
      </c>
      <c r="H64" s="49">
        <v>2</v>
      </c>
      <c r="I64" s="49" t="s">
        <v>165</v>
      </c>
      <c r="J64" s="30" t="s">
        <v>87</v>
      </c>
      <c r="K64" s="47"/>
      <c r="M64">
        <v>0</v>
      </c>
      <c r="N64" t="s">
        <v>82</v>
      </c>
      <c r="O64" t="str">
        <f>CONCATENATE(extras[[#This Row],[TIPO]]," ",extras[[#This Row],[NUM. DE EJES]]," ",extras[[#This Row],[LARGO]])</f>
        <v>PLATAFORMA 2 42 FT</v>
      </c>
      <c r="P64" t="s">
        <v>153</v>
      </c>
      <c r="Q64" t="s">
        <v>91</v>
      </c>
      <c r="R64" s="6">
        <v>15000</v>
      </c>
      <c r="S64" s="7">
        <f>extras[[#This Row],[PZAS]]*extras[[#This Row],[PRECIO $ C/U]]*COTIZACION!$I$135</f>
        <v>0</v>
      </c>
      <c r="T64" s="2">
        <v>2</v>
      </c>
      <c r="U64" t="s">
        <v>242</v>
      </c>
      <c r="X64">
        <v>1</v>
      </c>
      <c r="Y64" t="s">
        <v>82</v>
      </c>
      <c r="Z64" t="str">
        <f>CONCATENATE(otros[[#This Row],[TIPO]]," ",otros[[#This Row],[NUM. DE EJES]]," ",otros[[#This Row],[LARGO]])</f>
        <v>PLATAFORMA 2 45 FT</v>
      </c>
      <c r="AA64" t="s">
        <v>65</v>
      </c>
      <c r="AB64" s="6">
        <v>15000</v>
      </c>
      <c r="AC64" s="28">
        <f>otros[[#This Row],[PZAS]]*otros[[#This Row],[PRECIO $ C/U]]*COTIZACION!$I$135</f>
        <v>15000</v>
      </c>
      <c r="AD64" s="2">
        <v>2</v>
      </c>
      <c r="AE64" t="s">
        <v>165</v>
      </c>
      <c r="AF64" s="16" t="s">
        <v>90</v>
      </c>
      <c r="AI64">
        <v>1</v>
      </c>
      <c r="AJ64" t="s">
        <v>4</v>
      </c>
      <c r="AK64" t="str">
        <f>CONCATENATE(piramide[[#This Row],[TIPO]]," ",piramide[[#This Row],[NUM. DE EJES]]," ",piramide[[#This Row],[LARGO]])</f>
        <v>DOLLY 2 3.5 FT</v>
      </c>
      <c r="AL64" t="s">
        <v>226</v>
      </c>
      <c r="AM64" s="6">
        <v>350</v>
      </c>
      <c r="AN64" s="28">
        <f>piramide[[#This Row],[PZAS]]*piramide[[#This Row],[PRECIO $ C/U]]*COTIZACION!$I$135</f>
        <v>350</v>
      </c>
      <c r="AO64" s="2">
        <v>2</v>
      </c>
      <c r="AP64" t="s">
        <v>276</v>
      </c>
      <c r="AQ64" t="s">
        <v>88</v>
      </c>
      <c r="AT64">
        <v>0.5</v>
      </c>
      <c r="AU64" t="s">
        <v>82</v>
      </c>
      <c r="AV64" t="str">
        <f>CONCATENATE(truckzone[[#This Row],[TIPO]]," ",truckzone[[#This Row],[NUM. DE EJES]]," ",truckzone[[#This Row],[LARGO]])</f>
        <v>PLATAFORMA 2 42 FT</v>
      </c>
      <c r="AW64" t="s">
        <v>46</v>
      </c>
      <c r="AX64" s="6">
        <v>2300</v>
      </c>
      <c r="AY64" s="28">
        <f>truckzone[[#This Row],[PZAS]]*truckzone[[#This Row],[PRECIO $ C/U]]*COTIZACION!$I$135</f>
        <v>1150</v>
      </c>
      <c r="AZ64" s="2">
        <v>2</v>
      </c>
      <c r="BA64" t="s">
        <v>242</v>
      </c>
      <c r="BB64" s="40" t="s">
        <v>89</v>
      </c>
    </row>
    <row r="65" spans="2:54">
      <c r="B65" s="41">
        <v>1</v>
      </c>
      <c r="C65" s="42" t="s">
        <v>82</v>
      </c>
      <c r="D65" s="24" t="str">
        <f>CONCATENATE(ACERO1[[#This Row],[TIPO]]," ",ACERO1[[#This Row],[NUM. DE EJES]]," ",ACERO1[[#This Row],[LARGO]])</f>
        <v>PLATAFORMA 2 45 FT</v>
      </c>
      <c r="E65" s="42" t="s">
        <v>23</v>
      </c>
      <c r="F65" s="43"/>
      <c r="G65" s="43">
        <f>PRODUCTOS!$B65*PRODUCTOS!$F65*COTIZACION!$I$135</f>
        <v>0</v>
      </c>
      <c r="H65" s="48">
        <v>2</v>
      </c>
      <c r="I65" s="48" t="s">
        <v>165</v>
      </c>
      <c r="J65" s="44" t="s">
        <v>87</v>
      </c>
      <c r="K65" s="45"/>
      <c r="M65">
        <v>0</v>
      </c>
      <c r="N65" t="s">
        <v>82</v>
      </c>
      <c r="O65" t="str">
        <f>CONCATENATE(extras[[#This Row],[TIPO]]," ",extras[[#This Row],[NUM. DE EJES]]," ",extras[[#This Row],[LARGO]])</f>
        <v>PLATAFORMA 2 42 FT</v>
      </c>
      <c r="P65" t="s">
        <v>154</v>
      </c>
      <c r="Q65" t="s">
        <v>91</v>
      </c>
      <c r="R65" s="6"/>
      <c r="S65" s="7">
        <f>extras[[#This Row],[PZAS]]*extras[[#This Row],[PRECIO $ C/U]]*COTIZACION!$I$135</f>
        <v>0</v>
      </c>
      <c r="T65" s="2">
        <v>2</v>
      </c>
      <c r="U65" t="s">
        <v>242</v>
      </c>
      <c r="X65">
        <v>1</v>
      </c>
      <c r="Y65" t="s">
        <v>82</v>
      </c>
      <c r="Z65" t="str">
        <f>CONCATENATE(otros[[#This Row],[TIPO]]," ",otros[[#This Row],[NUM. DE EJES]]," ",otros[[#This Row],[LARGO]])</f>
        <v>PLATAFORMA 2 45 FT</v>
      </c>
      <c r="AA65" t="s">
        <v>162</v>
      </c>
      <c r="AB65" s="6">
        <v>5000</v>
      </c>
      <c r="AC65" s="28">
        <f>otros[[#This Row],[PZAS]]*otros[[#This Row],[PRECIO $ C/U]]*COTIZACION!$I$135</f>
        <v>5000</v>
      </c>
      <c r="AD65" s="2">
        <v>2</v>
      </c>
      <c r="AE65" t="s">
        <v>165</v>
      </c>
      <c r="AF65" s="16" t="s">
        <v>90</v>
      </c>
      <c r="AI65">
        <v>1</v>
      </c>
      <c r="AJ65" t="s">
        <v>4</v>
      </c>
      <c r="AK65" t="str">
        <f>CONCATENATE(piramide[[#This Row],[TIPO]]," ",piramide[[#This Row],[NUM. DE EJES]]," ",piramide[[#This Row],[LARGO]])</f>
        <v>DOLLY 2 3.5 FT</v>
      </c>
      <c r="AL65" t="s">
        <v>227</v>
      </c>
      <c r="AM65" s="6">
        <v>0</v>
      </c>
      <c r="AN65" s="28">
        <f>piramide[[#This Row],[PZAS]]*piramide[[#This Row],[PRECIO $ C/U]]*COTIZACION!$I$135</f>
        <v>0</v>
      </c>
      <c r="AO65" s="2">
        <v>2</v>
      </c>
      <c r="AP65" t="s">
        <v>276</v>
      </c>
      <c r="AQ65" t="s">
        <v>88</v>
      </c>
      <c r="AT65">
        <v>1</v>
      </c>
      <c r="AU65" t="s">
        <v>82</v>
      </c>
      <c r="AV65" t="str">
        <f>CONCATENATE(truckzone[[#This Row],[TIPO]]," ",truckzone[[#This Row],[NUM. DE EJES]]," ",truckzone[[#This Row],[LARGO]])</f>
        <v>PLATAFORMA 2 42 FT</v>
      </c>
      <c r="AW65" t="s">
        <v>47</v>
      </c>
      <c r="AX65" s="6">
        <v>800</v>
      </c>
      <c r="AY65" s="28">
        <f>truckzone[[#This Row],[PZAS]]*truckzone[[#This Row],[PRECIO $ C/U]]*COTIZACION!$I$135</f>
        <v>800</v>
      </c>
      <c r="AZ65" s="2">
        <v>2</v>
      </c>
      <c r="BA65" t="s">
        <v>242</v>
      </c>
      <c r="BB65" s="40" t="s">
        <v>89</v>
      </c>
    </row>
    <row r="66" spans="2:54">
      <c r="B66" s="46">
        <v>1</v>
      </c>
      <c r="C66" s="24" t="s">
        <v>82</v>
      </c>
      <c r="D66" s="24" t="str">
        <f>CONCATENATE(ACERO1[[#This Row],[TIPO]]," ",ACERO1[[#This Row],[NUM. DE EJES]]," ",ACERO1[[#This Row],[LARGO]])</f>
        <v>PLATAFORMA 2 45 FT</v>
      </c>
      <c r="E66" s="24" t="s">
        <v>24</v>
      </c>
      <c r="F66" s="29">
        <v>5824.5</v>
      </c>
      <c r="G66" s="29">
        <f>PRODUCTOS!$B66*PRODUCTOS!$F66*COTIZACION!$I$135</f>
        <v>5824.5</v>
      </c>
      <c r="H66" s="49">
        <v>2</v>
      </c>
      <c r="I66" s="49" t="s">
        <v>165</v>
      </c>
      <c r="J66" s="30" t="s">
        <v>87</v>
      </c>
      <c r="K66" s="47"/>
      <c r="M66">
        <v>0</v>
      </c>
      <c r="N66" t="s">
        <v>82</v>
      </c>
      <c r="O66" t="str">
        <f>CONCATENATE(extras[[#This Row],[TIPO]]," ",extras[[#This Row],[NUM. DE EJES]]," ",extras[[#This Row],[LARGO]])</f>
        <v>PLATAFORMA 2 42 FT</v>
      </c>
      <c r="P66" t="s">
        <v>157</v>
      </c>
      <c r="Q66" t="s">
        <v>91</v>
      </c>
      <c r="R66" s="6"/>
      <c r="S66" s="7">
        <f>extras[[#This Row],[PZAS]]*extras[[#This Row],[PRECIO $ C/U]]*COTIZACION!$I$135</f>
        <v>0</v>
      </c>
      <c r="T66" s="2">
        <v>2</v>
      </c>
      <c r="U66" t="s">
        <v>242</v>
      </c>
      <c r="X66">
        <v>1</v>
      </c>
      <c r="Y66" t="s">
        <v>82</v>
      </c>
      <c r="Z66" t="str">
        <f>CONCATENATE(otros[[#This Row],[TIPO]]," ",otros[[#This Row],[NUM. DE EJES]]," ",otros[[#This Row],[LARGO]])</f>
        <v>PLATAFORMA 2 45 FT</v>
      </c>
      <c r="AA66" t="s">
        <v>177</v>
      </c>
      <c r="AB66" s="6">
        <v>30000</v>
      </c>
      <c r="AC66" s="28">
        <f>otros[[#This Row],[PZAS]]*otros[[#This Row],[PRECIO $ C/U]]*COTIZACION!$I$135</f>
        <v>30000</v>
      </c>
      <c r="AD66" s="2">
        <v>2</v>
      </c>
      <c r="AE66" t="s">
        <v>165</v>
      </c>
      <c r="AF66" s="16" t="s">
        <v>90</v>
      </c>
      <c r="AI66">
        <v>1</v>
      </c>
      <c r="AJ66" t="s">
        <v>4</v>
      </c>
      <c r="AK66" t="str">
        <f>CONCATENATE(piramide[[#This Row],[TIPO]]," ",piramide[[#This Row],[NUM. DE EJES]]," ",piramide[[#This Row],[LARGO]])</f>
        <v>DOLLY 2 3.5 FT</v>
      </c>
      <c r="AL66" t="s">
        <v>228</v>
      </c>
      <c r="AM66" s="6">
        <v>0</v>
      </c>
      <c r="AN66" s="28">
        <f>piramide[[#This Row],[PZAS]]*piramide[[#This Row],[PRECIO $ C/U]]*COTIZACION!$I$135</f>
        <v>0</v>
      </c>
      <c r="AO66" s="2">
        <v>2</v>
      </c>
      <c r="AP66" t="s">
        <v>276</v>
      </c>
      <c r="AQ66" t="s">
        <v>88</v>
      </c>
      <c r="AT66">
        <v>2</v>
      </c>
      <c r="AU66" t="s">
        <v>82</v>
      </c>
      <c r="AV66" t="str">
        <f>CONCATENATE(truckzone[[#This Row],[TIPO]]," ",truckzone[[#This Row],[NUM. DE EJES]]," ",truckzone[[#This Row],[LARGO]])</f>
        <v>PLATAFORMA 2 42 FT</v>
      </c>
      <c r="AW66" t="s">
        <v>48</v>
      </c>
      <c r="AX66" s="6">
        <v>986</v>
      </c>
      <c r="AY66" s="28">
        <f>truckzone[[#This Row],[PZAS]]*truckzone[[#This Row],[PRECIO $ C/U]]*COTIZACION!$I$135</f>
        <v>1972</v>
      </c>
      <c r="AZ66" s="2">
        <v>2</v>
      </c>
      <c r="BA66" t="s">
        <v>242</v>
      </c>
      <c r="BB66" s="40" t="s">
        <v>89</v>
      </c>
    </row>
    <row r="67" spans="2:54">
      <c r="B67" s="41">
        <v>1</v>
      </c>
      <c r="C67" s="42" t="s">
        <v>82</v>
      </c>
      <c r="D67" s="24" t="str">
        <f>CONCATENATE(ACERO1[[#This Row],[TIPO]]," ",ACERO1[[#This Row],[NUM. DE EJES]]," ",ACERO1[[#This Row],[LARGO]])</f>
        <v>PLATAFORMA 2 45 FT</v>
      </c>
      <c r="E67" s="42" t="s">
        <v>25</v>
      </c>
      <c r="F67" s="43">
        <v>180</v>
      </c>
      <c r="G67" s="43">
        <f>PRODUCTOS!$B67*PRODUCTOS!$F67*COTIZACION!$I$135</f>
        <v>180</v>
      </c>
      <c r="H67" s="48">
        <v>2</v>
      </c>
      <c r="I67" s="48" t="s">
        <v>165</v>
      </c>
      <c r="J67" s="44" t="s">
        <v>87</v>
      </c>
      <c r="K67" s="45"/>
      <c r="M67">
        <v>0</v>
      </c>
      <c r="N67" t="s">
        <v>82</v>
      </c>
      <c r="O67" t="str">
        <f>CONCATENATE(extras[[#This Row],[TIPO]]," ",extras[[#This Row],[NUM. DE EJES]]," ",extras[[#This Row],[LARGO]])</f>
        <v>PLATAFORMA 2 42 FT</v>
      </c>
      <c r="P67" t="s">
        <v>158</v>
      </c>
      <c r="Q67" t="s">
        <v>91</v>
      </c>
      <c r="R67" s="6"/>
      <c r="S67" s="7">
        <f>extras[[#This Row],[PZAS]]*extras[[#This Row],[PRECIO $ C/U]]*COTIZACION!$I$135</f>
        <v>0</v>
      </c>
      <c r="T67" s="2">
        <v>2</v>
      </c>
      <c r="U67" t="s">
        <v>242</v>
      </c>
      <c r="X67">
        <v>1</v>
      </c>
      <c r="Y67" t="s">
        <v>82</v>
      </c>
      <c r="Z67" t="str">
        <f>CONCATENATE(otros[[#This Row],[TIPO]]," ",otros[[#This Row],[NUM. DE EJES]]," ",otros[[#This Row],[LARGO]])</f>
        <v>PLATAFORMA 2 45 FT</v>
      </c>
      <c r="AA67" t="s">
        <v>163</v>
      </c>
      <c r="AB67" s="6"/>
      <c r="AC67" s="28">
        <f>otros[[#This Row],[PZAS]]*otros[[#This Row],[PRECIO $ C/U]]*COTIZACION!$I$135</f>
        <v>0</v>
      </c>
      <c r="AD67" s="2">
        <v>2</v>
      </c>
      <c r="AE67" t="s">
        <v>165</v>
      </c>
      <c r="AF67" s="16" t="s">
        <v>90</v>
      </c>
      <c r="AI67">
        <v>1</v>
      </c>
      <c r="AJ67" t="s">
        <v>4</v>
      </c>
      <c r="AK67" t="str">
        <f>CONCATENATE(piramide[[#This Row],[TIPO]]," ",piramide[[#This Row],[NUM. DE EJES]]," ",piramide[[#This Row],[LARGO]])</f>
        <v>DOLLY 2 3.5 FT</v>
      </c>
      <c r="AL67" t="s">
        <v>68</v>
      </c>
      <c r="AM67" s="6">
        <v>2500</v>
      </c>
      <c r="AN67" s="28">
        <f>piramide[[#This Row],[PZAS]]*piramide[[#This Row],[PRECIO $ C/U]]*COTIZACION!$I$135</f>
        <v>2500</v>
      </c>
      <c r="AO67" s="2">
        <v>2</v>
      </c>
      <c r="AP67" t="s">
        <v>276</v>
      </c>
      <c r="AQ67" t="s">
        <v>88</v>
      </c>
      <c r="AT67">
        <v>2</v>
      </c>
      <c r="AU67" t="s">
        <v>82</v>
      </c>
      <c r="AV67" t="str">
        <f>CONCATENATE(truckzone[[#This Row],[TIPO]]," ",truckzone[[#This Row],[NUM. DE EJES]]," ",truckzone[[#This Row],[LARGO]])</f>
        <v>PLATAFORMA 2 42 FT</v>
      </c>
      <c r="AW67" t="s">
        <v>191</v>
      </c>
      <c r="AX67" s="6">
        <v>23118</v>
      </c>
      <c r="AY67" s="28">
        <f>truckzone[[#This Row],[PZAS]]*truckzone[[#This Row],[PRECIO $ C/U]]*COTIZACION!$I$135</f>
        <v>46236</v>
      </c>
      <c r="AZ67" s="2">
        <v>2</v>
      </c>
      <c r="BA67" t="s">
        <v>242</v>
      </c>
      <c r="BB67" s="40" t="s">
        <v>89</v>
      </c>
    </row>
    <row r="68" spans="2:54">
      <c r="B68" s="46">
        <v>1</v>
      </c>
      <c r="C68" s="24" t="s">
        <v>82</v>
      </c>
      <c r="D68" s="24" t="str">
        <f>CONCATENATE(ACERO1[[#This Row],[TIPO]]," ",ACERO1[[#This Row],[NUM. DE EJES]]," ",ACERO1[[#This Row],[LARGO]])</f>
        <v>PLATAFORMA 2 45 FT</v>
      </c>
      <c r="E68" s="24" t="s">
        <v>26</v>
      </c>
      <c r="F68" s="29">
        <v>290</v>
      </c>
      <c r="G68" s="29">
        <f>PRODUCTOS!$B68*PRODUCTOS!$F68*COTIZACION!$I$135</f>
        <v>290</v>
      </c>
      <c r="H68" s="49">
        <v>2</v>
      </c>
      <c r="I68" s="49" t="s">
        <v>165</v>
      </c>
      <c r="J68" s="30" t="s">
        <v>87</v>
      </c>
      <c r="K68" s="47"/>
      <c r="M68">
        <v>0</v>
      </c>
      <c r="N68" t="s">
        <v>82</v>
      </c>
      <c r="O68" t="str">
        <f>CONCATENATE(extras[[#This Row],[TIPO]]," ",extras[[#This Row],[NUM. DE EJES]]," ",extras[[#This Row],[LARGO]])</f>
        <v>PLATAFORMA 2 42 FT</v>
      </c>
      <c r="P68" t="s">
        <v>159</v>
      </c>
      <c r="Q68" t="s">
        <v>91</v>
      </c>
      <c r="R68" s="6"/>
      <c r="S68" s="7">
        <f>extras[[#This Row],[PZAS]]*extras[[#This Row],[PRECIO $ C/U]]*COTIZACION!$I$135</f>
        <v>0</v>
      </c>
      <c r="T68" s="2">
        <v>2</v>
      </c>
      <c r="U68" t="s">
        <v>242</v>
      </c>
      <c r="X68">
        <v>0</v>
      </c>
      <c r="Y68" t="s">
        <v>82</v>
      </c>
      <c r="Z68" t="str">
        <f>CONCATENATE(otros[[#This Row],[TIPO]]," ",otros[[#This Row],[NUM. DE EJES]]," ",otros[[#This Row],[LARGO]])</f>
        <v>PLATAFORMA 2 45 FT</v>
      </c>
      <c r="AA68" t="s">
        <v>164</v>
      </c>
      <c r="AB68" s="6"/>
      <c r="AC68" s="28">
        <f>otros[[#This Row],[PZAS]]*otros[[#This Row],[PRECIO $ C/U]]*COTIZACION!$I$135</f>
        <v>0</v>
      </c>
      <c r="AD68" s="2">
        <v>2</v>
      </c>
      <c r="AE68" t="s">
        <v>165</v>
      </c>
      <c r="AF68" s="16" t="s">
        <v>90</v>
      </c>
      <c r="AI68">
        <v>1.05</v>
      </c>
      <c r="AJ68" t="s">
        <v>82</v>
      </c>
      <c r="AK68" t="str">
        <f>CONCATENATE(piramide[[#This Row],[TIPO]]," ",piramide[[#This Row],[NUM. DE EJES]]," ",piramide[[#This Row],[LARGO]])</f>
        <v>PLATAFORMA 2 42 FT</v>
      </c>
      <c r="AL68" t="s">
        <v>246</v>
      </c>
      <c r="AM68" s="6">
        <v>805.21</v>
      </c>
      <c r="AN68" s="28">
        <f>piramide[[#This Row],[PZAS]]*piramide[[#This Row],[PRECIO $ C/U]]*COTIZACION!$I$135</f>
        <v>845.47050000000013</v>
      </c>
      <c r="AO68" s="2">
        <v>2</v>
      </c>
      <c r="AP68" t="s">
        <v>242</v>
      </c>
      <c r="AQ68" t="s">
        <v>88</v>
      </c>
      <c r="AT68">
        <v>2</v>
      </c>
      <c r="AU68" t="s">
        <v>82</v>
      </c>
      <c r="AV68" t="str">
        <f>CONCATENATE(truckzone[[#This Row],[TIPO]]," ",truckzone[[#This Row],[NUM. DE EJES]]," ",truckzone[[#This Row],[LARGO]])</f>
        <v>PLATAFORMA 2 42 FT</v>
      </c>
      <c r="AW68" t="s">
        <v>192</v>
      </c>
      <c r="AX68" s="6">
        <v>24421.05</v>
      </c>
      <c r="AY68" s="28">
        <f>truckzone[[#This Row],[PZAS]]*truckzone[[#This Row],[PRECIO $ C/U]]*COTIZACION!$I$135</f>
        <v>48842.1</v>
      </c>
      <c r="AZ68" s="2">
        <v>2</v>
      </c>
      <c r="BA68" t="s">
        <v>242</v>
      </c>
      <c r="BB68" s="40" t="s">
        <v>89</v>
      </c>
    </row>
    <row r="69" spans="2:54">
      <c r="B69" s="41">
        <v>1</v>
      </c>
      <c r="C69" s="42" t="s">
        <v>82</v>
      </c>
      <c r="D69" s="24" t="str">
        <f>CONCATENATE(ACERO1[[#This Row],[TIPO]]," ",ACERO1[[#This Row],[NUM. DE EJES]]," ",ACERO1[[#This Row],[LARGO]])</f>
        <v>PLATAFORMA 2 45 FT</v>
      </c>
      <c r="E69" s="42" t="s">
        <v>27</v>
      </c>
      <c r="F69" s="43">
        <v>5055</v>
      </c>
      <c r="G69" s="43">
        <f>PRODUCTOS!$B69*PRODUCTOS!$F69*COTIZACION!$I$135</f>
        <v>5055</v>
      </c>
      <c r="H69" s="48">
        <v>2</v>
      </c>
      <c r="I69" s="48" t="s">
        <v>165</v>
      </c>
      <c r="J69" s="44" t="s">
        <v>87</v>
      </c>
      <c r="K69" s="45"/>
      <c r="M69">
        <v>1</v>
      </c>
      <c r="N69" t="s">
        <v>82</v>
      </c>
      <c r="O69" t="str">
        <f>CONCATENATE(extras[[#This Row],[TIPO]]," ",extras[[#This Row],[NUM. DE EJES]]," ",extras[[#This Row],[LARGO]])</f>
        <v>PLATAFORMA 3 42 FT</v>
      </c>
      <c r="P69" t="s">
        <v>69</v>
      </c>
      <c r="Q69" t="s">
        <v>91</v>
      </c>
      <c r="R69" s="6">
        <v>7100</v>
      </c>
      <c r="S69" s="7">
        <f>extras[[#This Row],[PZAS]]*extras[[#This Row],[PRECIO $ C/U]]*COTIZACION!$I$135</f>
        <v>7100</v>
      </c>
      <c r="T69" s="2">
        <v>3</v>
      </c>
      <c r="U69" t="s">
        <v>242</v>
      </c>
      <c r="X69">
        <v>2.835</v>
      </c>
      <c r="Y69" t="s">
        <v>82</v>
      </c>
      <c r="Z69" t="str">
        <f>CONCATENATE(otros[[#This Row],[TIPO]]," ",otros[[#This Row],[NUM. DE EJES]]," ",otros[[#This Row],[LARGO]])</f>
        <v>PLATAFORMA 3 48 FT</v>
      </c>
      <c r="AA69" t="s">
        <v>51</v>
      </c>
      <c r="AB69" s="6">
        <v>820</v>
      </c>
      <c r="AC69" s="28">
        <f>otros[[#This Row],[PZAS]]*otros[[#This Row],[PRECIO $ C/U]]*COTIZACION!$I$135</f>
        <v>2324.6999999999998</v>
      </c>
      <c r="AD69" s="2">
        <v>3</v>
      </c>
      <c r="AE69" t="s">
        <v>176</v>
      </c>
      <c r="AF69" s="16" t="s">
        <v>90</v>
      </c>
      <c r="AI69">
        <v>1.05</v>
      </c>
      <c r="AJ69" t="s">
        <v>82</v>
      </c>
      <c r="AK69" t="str">
        <f>CONCATENATE(piramide[[#This Row],[TIPO]]," ",piramide[[#This Row],[NUM. DE EJES]]," ",piramide[[#This Row],[LARGO]])</f>
        <v>PLATAFORMA 2 42 FT</v>
      </c>
      <c r="AL69" t="s">
        <v>178</v>
      </c>
      <c r="AM69" s="6">
        <v>26370</v>
      </c>
      <c r="AN69" s="28">
        <f>piramide[[#This Row],[PZAS]]*piramide[[#This Row],[PRECIO $ C/U]]*COTIZACION!$I$135</f>
        <v>27688.5</v>
      </c>
      <c r="AO69" s="2">
        <v>2</v>
      </c>
      <c r="AP69" t="s">
        <v>242</v>
      </c>
      <c r="AQ69" t="s">
        <v>88</v>
      </c>
      <c r="AT69">
        <v>2</v>
      </c>
      <c r="AU69" t="s">
        <v>82</v>
      </c>
      <c r="AV69" t="str">
        <f>CONCATENATE(truckzone[[#This Row],[TIPO]]," ",truckzone[[#This Row],[NUM. DE EJES]]," ",truckzone[[#This Row],[LARGO]])</f>
        <v>PLATAFORMA 2 42 FT</v>
      </c>
      <c r="AW69" t="s">
        <v>193</v>
      </c>
      <c r="AX69" s="6">
        <v>6206</v>
      </c>
      <c r="AY69" s="28">
        <f>truckzone[[#This Row],[PZAS]]*truckzone[[#This Row],[PRECIO $ C/U]]*COTIZACION!$I$135</f>
        <v>12412</v>
      </c>
      <c r="AZ69" s="2">
        <v>2</v>
      </c>
      <c r="BA69" t="s">
        <v>242</v>
      </c>
      <c r="BB69" s="40" t="s">
        <v>89</v>
      </c>
    </row>
    <row r="70" spans="2:54">
      <c r="B70" s="46">
        <v>1</v>
      </c>
      <c r="C70" s="24" t="s">
        <v>82</v>
      </c>
      <c r="D70" s="24" t="str">
        <f>CONCATENATE(ACERO1[[#This Row],[TIPO]]," ",ACERO1[[#This Row],[NUM. DE EJES]]," ",ACERO1[[#This Row],[LARGO]])</f>
        <v>PLATAFORMA 2 45 FT</v>
      </c>
      <c r="E70" s="24" t="s">
        <v>146</v>
      </c>
      <c r="F70" s="29">
        <v>274</v>
      </c>
      <c r="G70" s="29">
        <f>PRODUCTOS!$B70*PRODUCTOS!$F70*COTIZACION!$I$135</f>
        <v>274</v>
      </c>
      <c r="H70" s="49">
        <v>2</v>
      </c>
      <c r="I70" s="49" t="s">
        <v>165</v>
      </c>
      <c r="J70" s="30" t="s">
        <v>87</v>
      </c>
      <c r="K70" s="47"/>
      <c r="M70">
        <v>1</v>
      </c>
      <c r="N70" t="s">
        <v>82</v>
      </c>
      <c r="O70" t="str">
        <f>CONCATENATE(extras[[#This Row],[TIPO]]," ",extras[[#This Row],[NUM. DE EJES]]," ",extras[[#This Row],[LARGO]])</f>
        <v>PLATAFORMA 3 42 FT</v>
      </c>
      <c r="P70" t="s">
        <v>70</v>
      </c>
      <c r="Q70" t="s">
        <v>91</v>
      </c>
      <c r="R70" s="6">
        <v>3744</v>
      </c>
      <c r="S70" s="7">
        <f>extras[[#This Row],[PZAS]]*extras[[#This Row],[PRECIO $ C/U]]*COTIZACION!$I$135</f>
        <v>3744</v>
      </c>
      <c r="T70" s="2">
        <v>3</v>
      </c>
      <c r="U70" t="s">
        <v>242</v>
      </c>
      <c r="X70">
        <v>4.8</v>
      </c>
      <c r="Y70" t="s">
        <v>82</v>
      </c>
      <c r="Z70" t="str">
        <f>CONCATENATE(otros[[#This Row],[TIPO]]," ",otros[[#This Row],[NUM. DE EJES]]," ",otros[[#This Row],[LARGO]])</f>
        <v>PLATAFORMA 3 48 FT</v>
      </c>
      <c r="AA70" t="s">
        <v>52</v>
      </c>
      <c r="AB70" s="6">
        <v>1295</v>
      </c>
      <c r="AC70" s="28">
        <f>otros[[#This Row],[PZAS]]*otros[[#This Row],[PRECIO $ C/U]]*COTIZACION!$I$135</f>
        <v>6216</v>
      </c>
      <c r="AD70" s="2">
        <v>3</v>
      </c>
      <c r="AE70" t="s">
        <v>176</v>
      </c>
      <c r="AF70" s="16" t="s">
        <v>90</v>
      </c>
      <c r="AI70">
        <v>1.05</v>
      </c>
      <c r="AJ70" t="s">
        <v>82</v>
      </c>
      <c r="AK70" t="str">
        <f>CONCATENATE(piramide[[#This Row],[TIPO]]," ",piramide[[#This Row],[NUM. DE EJES]]," ",piramide[[#This Row],[LARGO]])</f>
        <v>PLATAFORMA 2 42 FT</v>
      </c>
      <c r="AL70" t="s">
        <v>179</v>
      </c>
      <c r="AM70" s="6">
        <v>1907</v>
      </c>
      <c r="AN70" s="28">
        <f>piramide[[#This Row],[PZAS]]*piramide[[#This Row],[PRECIO $ C/U]]*COTIZACION!$I$135</f>
        <v>2002.3500000000001</v>
      </c>
      <c r="AO70" s="2">
        <v>2</v>
      </c>
      <c r="AP70" t="s">
        <v>242</v>
      </c>
      <c r="AQ70" t="s">
        <v>88</v>
      </c>
      <c r="AT70">
        <v>10</v>
      </c>
      <c r="AU70" t="s">
        <v>82</v>
      </c>
      <c r="AV70" t="str">
        <f>CONCATENATE(truckzone[[#This Row],[TIPO]]," ",truckzone[[#This Row],[NUM. DE EJES]]," ",truckzone[[#This Row],[LARGO]])</f>
        <v>PLATAFORMA 2 42 FT</v>
      </c>
      <c r="AW70" t="s">
        <v>194</v>
      </c>
      <c r="AX70" s="6">
        <v>418</v>
      </c>
      <c r="AY70" s="28">
        <f>truckzone[[#This Row],[PZAS]]*truckzone[[#This Row],[PRECIO $ C/U]]*COTIZACION!$I$135</f>
        <v>4180</v>
      </c>
      <c r="AZ70" s="2">
        <v>2</v>
      </c>
      <c r="BA70" t="s">
        <v>242</v>
      </c>
      <c r="BB70" s="40" t="s">
        <v>89</v>
      </c>
    </row>
    <row r="71" spans="2:54">
      <c r="B71" s="41">
        <v>6</v>
      </c>
      <c r="C71" s="42" t="s">
        <v>82</v>
      </c>
      <c r="D71" s="24" t="str">
        <f>CONCATENATE(ACERO1[[#This Row],[TIPO]]," ",ACERO1[[#This Row],[NUM. DE EJES]]," ",ACERO1[[#This Row],[LARGO]])</f>
        <v>PLATAFORMA 2 45 FT</v>
      </c>
      <c r="E71" s="42" t="s">
        <v>17</v>
      </c>
      <c r="F71" s="43">
        <v>1000.8</v>
      </c>
      <c r="G71" s="43">
        <f>PRODUCTOS!$B71*PRODUCTOS!$F71*COTIZACION!$I$135</f>
        <v>6004.7999999999993</v>
      </c>
      <c r="H71" s="48">
        <v>2</v>
      </c>
      <c r="I71" s="48" t="s">
        <v>165</v>
      </c>
      <c r="J71" s="44" t="s">
        <v>87</v>
      </c>
      <c r="K71" s="45"/>
      <c r="M71">
        <v>1</v>
      </c>
      <c r="N71" t="s">
        <v>82</v>
      </c>
      <c r="O71" t="str">
        <f>CONCATENATE(extras[[#This Row],[TIPO]]," ",extras[[#This Row],[NUM. DE EJES]]," ",extras[[#This Row],[LARGO]])</f>
        <v>PLATAFORMA 3 42 FT</v>
      </c>
      <c r="P71" t="s">
        <v>131</v>
      </c>
      <c r="Q71" t="s">
        <v>91</v>
      </c>
      <c r="R71" s="6">
        <v>6240</v>
      </c>
      <c r="S71" s="7">
        <f>extras[[#This Row],[PZAS]]*extras[[#This Row],[PRECIO $ C/U]]*COTIZACION!$I$135</f>
        <v>6240</v>
      </c>
      <c r="T71" s="2">
        <v>3</v>
      </c>
      <c r="U71" t="s">
        <v>242</v>
      </c>
      <c r="X71">
        <v>1.2</v>
      </c>
      <c r="Y71" t="s">
        <v>82</v>
      </c>
      <c r="Z71" t="str">
        <f>CONCATENATE(otros[[#This Row],[TIPO]]," ",otros[[#This Row],[NUM. DE EJES]]," ",otros[[#This Row],[LARGO]])</f>
        <v>PLATAFORMA 3 48 FT</v>
      </c>
      <c r="AA71" t="s">
        <v>53</v>
      </c>
      <c r="AB71" s="6">
        <v>550</v>
      </c>
      <c r="AC71" s="28">
        <f>otros[[#This Row],[PZAS]]*otros[[#This Row],[PRECIO $ C/U]]*COTIZACION!$I$135</f>
        <v>660</v>
      </c>
      <c r="AD71" s="2">
        <v>3</v>
      </c>
      <c r="AE71" t="s">
        <v>176</v>
      </c>
      <c r="AF71" s="16" t="s">
        <v>90</v>
      </c>
      <c r="AI71">
        <v>4.2</v>
      </c>
      <c r="AJ71" t="s">
        <v>82</v>
      </c>
      <c r="AK71" t="str">
        <f>CONCATENATE(piramide[[#This Row],[TIPO]]," ",piramide[[#This Row],[NUM. DE EJES]]," ",piramide[[#This Row],[LARGO]])</f>
        <v>PLATAFORMA 2 42 FT</v>
      </c>
      <c r="AL71" t="s">
        <v>180</v>
      </c>
      <c r="AM71" s="6">
        <v>7000</v>
      </c>
      <c r="AN71" s="28">
        <f>piramide[[#This Row],[PZAS]]*piramide[[#This Row],[PRECIO $ C/U]]*COTIZACION!$I$135</f>
        <v>29400</v>
      </c>
      <c r="AO71" s="2">
        <v>2</v>
      </c>
      <c r="AP71" t="s">
        <v>242</v>
      </c>
      <c r="AQ71" t="s">
        <v>88</v>
      </c>
      <c r="AT71">
        <v>1</v>
      </c>
      <c r="AU71" t="s">
        <v>82</v>
      </c>
      <c r="AV71" t="str">
        <f>CONCATENATE(truckzone[[#This Row],[TIPO]]," ",truckzone[[#This Row],[NUM. DE EJES]]," ",truckzone[[#This Row],[LARGO]])</f>
        <v>PLATAFORMA 2 42 FT</v>
      </c>
      <c r="AW71" t="s">
        <v>247</v>
      </c>
      <c r="AX71" s="26">
        <v>21000</v>
      </c>
      <c r="AY71" s="36">
        <f>truckzone[[#This Row],[PZAS]]*truckzone[[#This Row],[PRECIO $ C/U]]*COTIZACION!$I$135</f>
        <v>21000</v>
      </c>
      <c r="AZ71" s="2">
        <v>2</v>
      </c>
      <c r="BA71" t="s">
        <v>242</v>
      </c>
      <c r="BB71" s="40" t="s">
        <v>89</v>
      </c>
    </row>
    <row r="72" spans="2:54">
      <c r="B72" s="46">
        <v>1</v>
      </c>
      <c r="C72" s="24" t="s">
        <v>82</v>
      </c>
      <c r="D72" s="24" t="str">
        <f>CONCATENATE(ACERO1[[#This Row],[TIPO]]," ",ACERO1[[#This Row],[NUM. DE EJES]]," ",ACERO1[[#This Row],[LARGO]])</f>
        <v>PLATAFORMA 2 45 FT</v>
      </c>
      <c r="E72" s="24" t="s">
        <v>149</v>
      </c>
      <c r="F72" s="29">
        <v>1331</v>
      </c>
      <c r="G72" s="29">
        <f>PRODUCTOS!$B72*PRODUCTOS!$F72*COTIZACION!$I$135</f>
        <v>1331</v>
      </c>
      <c r="H72" s="49">
        <v>2</v>
      </c>
      <c r="I72" s="49" t="s">
        <v>165</v>
      </c>
      <c r="J72" s="30" t="s">
        <v>87</v>
      </c>
      <c r="K72" s="47"/>
      <c r="M72">
        <v>1</v>
      </c>
      <c r="N72" t="s">
        <v>82</v>
      </c>
      <c r="O72" t="str">
        <f>CONCATENATE(extras[[#This Row],[TIPO]]," ",extras[[#This Row],[NUM. DE EJES]]," ",extras[[#This Row],[LARGO]])</f>
        <v>PLATAFORMA 3 42 FT</v>
      </c>
      <c r="P72" t="s">
        <v>72</v>
      </c>
      <c r="Q72" t="s">
        <v>91</v>
      </c>
      <c r="R72" s="6">
        <v>6240</v>
      </c>
      <c r="S72" s="7">
        <f>extras[[#This Row],[PZAS]]*extras[[#This Row],[PRECIO $ C/U]]*COTIZACION!$I$135</f>
        <v>6240</v>
      </c>
      <c r="T72" s="2">
        <v>3</v>
      </c>
      <c r="U72" t="s">
        <v>242</v>
      </c>
      <c r="X72">
        <v>2</v>
      </c>
      <c r="Y72" t="s">
        <v>82</v>
      </c>
      <c r="Z72" t="str">
        <f>CONCATENATE(otros[[#This Row],[TIPO]]," ",otros[[#This Row],[NUM. DE EJES]]," ",otros[[#This Row],[LARGO]])</f>
        <v>PLATAFORMA 3 48 FT</v>
      </c>
      <c r="AA72" t="s">
        <v>54</v>
      </c>
      <c r="AB72" s="6">
        <v>150</v>
      </c>
      <c r="AC72" s="28">
        <f>otros[[#This Row],[PZAS]]*otros[[#This Row],[PRECIO $ C/U]]*COTIZACION!$I$135</f>
        <v>300</v>
      </c>
      <c r="AD72" s="2">
        <v>3</v>
      </c>
      <c r="AE72" t="s">
        <v>176</v>
      </c>
      <c r="AF72" s="16" t="s">
        <v>90</v>
      </c>
      <c r="AI72">
        <v>2.1</v>
      </c>
      <c r="AJ72" t="s">
        <v>82</v>
      </c>
      <c r="AK72" t="str">
        <f>CONCATENATE(piramide[[#This Row],[TIPO]]," ",piramide[[#This Row],[NUM. DE EJES]]," ",piramide[[#This Row],[LARGO]])</f>
        <v>PLATAFORMA 2 42 FT</v>
      </c>
      <c r="AL72" t="s">
        <v>181</v>
      </c>
      <c r="AM72" s="6">
        <v>6130</v>
      </c>
      <c r="AN72" s="28">
        <f>piramide[[#This Row],[PZAS]]*piramide[[#This Row],[PRECIO $ C/U]]*COTIZACION!$I$135</f>
        <v>12873</v>
      </c>
      <c r="AO72" s="2">
        <v>2</v>
      </c>
      <c r="AP72" t="s">
        <v>242</v>
      </c>
      <c r="AQ72" t="s">
        <v>88</v>
      </c>
      <c r="AT72">
        <v>40</v>
      </c>
      <c r="AU72" t="s">
        <v>82</v>
      </c>
      <c r="AV72" t="str">
        <f>CONCATENATE(truckzone[[#This Row],[TIPO]]," ",truckzone[[#This Row],[NUM. DE EJES]]," ",truckzone[[#This Row],[LARGO]])</f>
        <v>PLATAFORMA 3 42 FT</v>
      </c>
      <c r="AW72" t="s">
        <v>189</v>
      </c>
      <c r="AX72" s="6">
        <v>578</v>
      </c>
      <c r="AY72" s="28">
        <f>truckzone[[#This Row],[PZAS]]*truckzone[[#This Row],[PRECIO $ C/U]]*COTIZACION!$I$135</f>
        <v>23120</v>
      </c>
      <c r="AZ72" s="2">
        <v>3</v>
      </c>
      <c r="BA72" t="s">
        <v>242</v>
      </c>
      <c r="BB72" s="40" t="s">
        <v>89</v>
      </c>
    </row>
    <row r="73" spans="2:54">
      <c r="B73" s="41">
        <v>2</v>
      </c>
      <c r="C73" s="42" t="s">
        <v>82</v>
      </c>
      <c r="D73" s="24" t="str">
        <f>CONCATENATE(ACERO1[[#This Row],[TIPO]]," ",ACERO1[[#This Row],[NUM. DE EJES]]," ",ACERO1[[#This Row],[LARGO]])</f>
        <v>PLATAFORMA 2 45 FT</v>
      </c>
      <c r="E73" s="42" t="s">
        <v>151</v>
      </c>
      <c r="F73" s="43">
        <v>150</v>
      </c>
      <c r="G73" s="43">
        <f>PRODUCTOS!$B73*PRODUCTOS!$F73*COTIZACION!$I$135</f>
        <v>300</v>
      </c>
      <c r="H73" s="48">
        <v>2</v>
      </c>
      <c r="I73" s="48" t="s">
        <v>165</v>
      </c>
      <c r="J73" s="44" t="s">
        <v>87</v>
      </c>
      <c r="K73" s="45"/>
      <c r="M73">
        <v>1</v>
      </c>
      <c r="N73" t="s">
        <v>82</v>
      </c>
      <c r="O73" t="str">
        <f>CONCATENATE(extras[[#This Row],[TIPO]]," ",extras[[#This Row],[NUM. DE EJES]]," ",extras[[#This Row],[LARGO]])</f>
        <v>PLATAFORMA 3 42 FT</v>
      </c>
      <c r="P73" t="s">
        <v>132</v>
      </c>
      <c r="Q73" t="s">
        <v>91</v>
      </c>
      <c r="R73" s="6">
        <v>5450</v>
      </c>
      <c r="S73" s="7">
        <f>extras[[#This Row],[PZAS]]*extras[[#This Row],[PRECIO $ C/U]]*COTIZACION!$I$135</f>
        <v>5450</v>
      </c>
      <c r="T73" s="2">
        <v>3</v>
      </c>
      <c r="U73" t="s">
        <v>242</v>
      </c>
      <c r="X73">
        <v>4.8</v>
      </c>
      <c r="Y73" t="s">
        <v>82</v>
      </c>
      <c r="Z73" t="str">
        <f>CONCATENATE(otros[[#This Row],[TIPO]]," ",otros[[#This Row],[NUM. DE EJES]]," ",otros[[#This Row],[LARGO]])</f>
        <v>PLATAFORMA 3 48 FT</v>
      </c>
      <c r="AA73" t="s">
        <v>55</v>
      </c>
      <c r="AB73" s="6">
        <v>150</v>
      </c>
      <c r="AC73" s="28">
        <f>otros[[#This Row],[PZAS]]*otros[[#This Row],[PRECIO $ C/U]]*COTIZACION!$I$135</f>
        <v>720</v>
      </c>
      <c r="AD73" s="2">
        <v>3</v>
      </c>
      <c r="AE73" t="s">
        <v>176</v>
      </c>
      <c r="AF73" s="16" t="s">
        <v>90</v>
      </c>
      <c r="AI73">
        <v>1.575</v>
      </c>
      <c r="AJ73" t="s">
        <v>82</v>
      </c>
      <c r="AK73" t="str">
        <f>CONCATENATE(piramide[[#This Row],[TIPO]]," ",piramide[[#This Row],[NUM. DE EJES]]," ",piramide[[#This Row],[LARGO]])</f>
        <v>PLATAFORMA 2 42 FT</v>
      </c>
      <c r="AL73" t="s">
        <v>182</v>
      </c>
      <c r="AM73" s="6">
        <v>245</v>
      </c>
      <c r="AN73" s="28">
        <f>piramide[[#This Row],[PZAS]]*piramide[[#This Row],[PRECIO $ C/U]]*COTIZACION!$I$135</f>
        <v>385.875</v>
      </c>
      <c r="AO73" s="2">
        <v>2</v>
      </c>
      <c r="AP73" t="s">
        <v>242</v>
      </c>
      <c r="AQ73" t="s">
        <v>88</v>
      </c>
      <c r="AT73">
        <v>1</v>
      </c>
      <c r="AU73" t="s">
        <v>82</v>
      </c>
      <c r="AV73" t="str">
        <f>CONCATENATE(truckzone[[#This Row],[TIPO]]," ",truckzone[[#This Row],[NUM. DE EJES]]," ",truckzone[[#This Row],[LARGO]])</f>
        <v>PLATAFORMA 3 42 FT</v>
      </c>
      <c r="AW73" t="s">
        <v>190</v>
      </c>
      <c r="AX73" s="6">
        <v>1500</v>
      </c>
      <c r="AY73" s="28">
        <f>truckzone[[#This Row],[PZAS]]*truckzone[[#This Row],[PRECIO $ C/U]]*COTIZACION!$I$135</f>
        <v>1500</v>
      </c>
      <c r="AZ73" s="2">
        <v>3</v>
      </c>
      <c r="BA73" t="s">
        <v>242</v>
      </c>
      <c r="BB73" s="40" t="s">
        <v>89</v>
      </c>
    </row>
    <row r="74" spans="2:54">
      <c r="B74" s="46">
        <v>1</v>
      </c>
      <c r="C74" s="24" t="s">
        <v>82</v>
      </c>
      <c r="D74" s="24" t="str">
        <f>CONCATENATE(ACERO1[[#This Row],[TIPO]]," ",ACERO1[[#This Row],[NUM. DE EJES]]," ",ACERO1[[#This Row],[LARGO]])</f>
        <v>PLATAFORMA 2 45 FT</v>
      </c>
      <c r="E74" s="24" t="s">
        <v>152</v>
      </c>
      <c r="F74" s="29">
        <v>3768</v>
      </c>
      <c r="G74" s="29">
        <f>PRODUCTOS!$B74*PRODUCTOS!$F74*COTIZACION!$I$135</f>
        <v>3768</v>
      </c>
      <c r="H74" s="49">
        <v>2</v>
      </c>
      <c r="I74" s="49" t="s">
        <v>165</v>
      </c>
      <c r="J74" s="30" t="s">
        <v>87</v>
      </c>
      <c r="K74" s="47"/>
      <c r="M74">
        <v>1</v>
      </c>
      <c r="N74" t="s">
        <v>82</v>
      </c>
      <c r="O74" t="str">
        <f>CONCATENATE(extras[[#This Row],[TIPO]]," ",extras[[#This Row],[NUM. DE EJES]]," ",extras[[#This Row],[LARGO]])</f>
        <v>PLATAFORMA 3 42 FT</v>
      </c>
      <c r="P74" t="s">
        <v>133</v>
      </c>
      <c r="Q74" t="s">
        <v>91</v>
      </c>
      <c r="R74" s="6">
        <v>2300</v>
      </c>
      <c r="S74" s="7">
        <f>extras[[#This Row],[PZAS]]*extras[[#This Row],[PRECIO $ C/U]]*COTIZACION!$I$135</f>
        <v>2300</v>
      </c>
      <c r="T74" s="2">
        <v>3</v>
      </c>
      <c r="U74" t="s">
        <v>242</v>
      </c>
      <c r="X74">
        <v>2.4</v>
      </c>
      <c r="Y74" t="s">
        <v>82</v>
      </c>
      <c r="Z74" t="str">
        <f>CONCATENATE(otros[[#This Row],[TIPO]]," ",otros[[#This Row],[NUM. DE EJES]]," ",otros[[#This Row],[LARGO]])</f>
        <v>PLATAFORMA 3 48 FT</v>
      </c>
      <c r="AA74" t="s">
        <v>56</v>
      </c>
      <c r="AB74" s="6">
        <v>165</v>
      </c>
      <c r="AC74" s="28">
        <f>otros[[#This Row],[PZAS]]*otros[[#This Row],[PRECIO $ C/U]]*COTIZACION!$I$135</f>
        <v>396</v>
      </c>
      <c r="AD74" s="2">
        <v>3</v>
      </c>
      <c r="AE74" t="s">
        <v>176</v>
      </c>
      <c r="AF74" s="16" t="s">
        <v>90</v>
      </c>
      <c r="AI74">
        <v>7.35</v>
      </c>
      <c r="AJ74" t="s">
        <v>82</v>
      </c>
      <c r="AK74" t="str">
        <f>CONCATENATE(piramide[[#This Row],[TIPO]]," ",piramide[[#This Row],[NUM. DE EJES]]," ",piramide[[#This Row],[LARGO]])</f>
        <v>PLATAFORMA 2 42 FT</v>
      </c>
      <c r="AL74" t="s">
        <v>183</v>
      </c>
      <c r="AM74" s="6">
        <v>953.5</v>
      </c>
      <c r="AN74" s="28">
        <f>piramide[[#This Row],[PZAS]]*piramide[[#This Row],[PRECIO $ C/U]]*COTIZACION!$I$135</f>
        <v>7008.2249999999995</v>
      </c>
      <c r="AO74" s="2">
        <v>2</v>
      </c>
      <c r="AP74" t="s">
        <v>242</v>
      </c>
      <c r="AQ74" t="s">
        <v>88</v>
      </c>
      <c r="AT74">
        <v>0.5</v>
      </c>
      <c r="AU74" t="s">
        <v>82</v>
      </c>
      <c r="AV74" t="str">
        <f>CONCATENATE(truckzone[[#This Row],[TIPO]]," ",truckzone[[#This Row],[NUM. DE EJES]]," ",truckzone[[#This Row],[LARGO]])</f>
        <v>PLATAFORMA 3 42 FT</v>
      </c>
      <c r="AW74" t="s">
        <v>46</v>
      </c>
      <c r="AX74" s="6">
        <v>2300</v>
      </c>
      <c r="AY74" s="28">
        <f>truckzone[[#This Row],[PZAS]]*truckzone[[#This Row],[PRECIO $ C/U]]*COTIZACION!$I$135</f>
        <v>1150</v>
      </c>
      <c r="AZ74" s="2">
        <v>3</v>
      </c>
      <c r="BA74" t="s">
        <v>242</v>
      </c>
      <c r="BB74" s="40" t="s">
        <v>89</v>
      </c>
    </row>
    <row r="75" spans="2:54">
      <c r="B75" s="41">
        <v>1</v>
      </c>
      <c r="C75" s="42" t="s">
        <v>82</v>
      </c>
      <c r="D75" s="24" t="str">
        <f>CONCATENATE(ACERO1[[#This Row],[TIPO]]," ",ACERO1[[#This Row],[NUM. DE EJES]]," ",ACERO1[[#This Row],[LARGO]])</f>
        <v>PLATAFORMA 3 48 FT</v>
      </c>
      <c r="E75" s="42" t="s">
        <v>8</v>
      </c>
      <c r="F75" s="43">
        <v>2064</v>
      </c>
      <c r="G75" s="43">
        <f>PRODUCTOS!$B75*PRODUCTOS!$F75*COTIZACION!$I$135</f>
        <v>2064</v>
      </c>
      <c r="H75" s="48">
        <v>3</v>
      </c>
      <c r="I75" s="48" t="s">
        <v>176</v>
      </c>
      <c r="J75" s="44" t="s">
        <v>87</v>
      </c>
      <c r="K75" s="45"/>
      <c r="M75">
        <v>1</v>
      </c>
      <c r="N75" t="s">
        <v>82</v>
      </c>
      <c r="O75" t="str">
        <f>CONCATENATE(extras[[#This Row],[TIPO]]," ",extras[[#This Row],[NUM. DE EJES]]," ",extras[[#This Row],[LARGO]])</f>
        <v>PLATAFORMA 3 42 FT</v>
      </c>
      <c r="P75" t="s">
        <v>63</v>
      </c>
      <c r="Q75" t="s">
        <v>91</v>
      </c>
      <c r="R75" s="6">
        <v>33000</v>
      </c>
      <c r="S75" s="7">
        <f>extras[[#This Row],[PZAS]]*extras[[#This Row],[PRECIO $ C/U]]*COTIZACION!$I$135</f>
        <v>33000</v>
      </c>
      <c r="T75" s="2">
        <v>3</v>
      </c>
      <c r="U75" t="s">
        <v>242</v>
      </c>
      <c r="X75">
        <v>2.4</v>
      </c>
      <c r="Y75" t="s">
        <v>82</v>
      </c>
      <c r="Z75" t="str">
        <f>CONCATENATE(otros[[#This Row],[TIPO]]," ",otros[[#This Row],[NUM. DE EJES]]," ",otros[[#This Row],[LARGO]])</f>
        <v>PLATAFORMA 3 48 FT</v>
      </c>
      <c r="AA75" t="s">
        <v>57</v>
      </c>
      <c r="AB75" s="6">
        <v>165</v>
      </c>
      <c r="AC75" s="28">
        <f>otros[[#This Row],[PZAS]]*otros[[#This Row],[PRECIO $ C/U]]*COTIZACION!$I$135</f>
        <v>396</v>
      </c>
      <c r="AD75" s="2">
        <v>3</v>
      </c>
      <c r="AE75" t="s">
        <v>176</v>
      </c>
      <c r="AF75" s="16" t="s">
        <v>90</v>
      </c>
      <c r="AI75">
        <v>0.5</v>
      </c>
      <c r="AJ75" t="s">
        <v>82</v>
      </c>
      <c r="AK75" t="str">
        <f>CONCATENATE(piramide[[#This Row],[TIPO]]," ",piramide[[#This Row],[NUM. DE EJES]]," ",piramide[[#This Row],[LARGO]])</f>
        <v>PLATAFORMA 2 42 FT</v>
      </c>
      <c r="AL75" t="s">
        <v>184</v>
      </c>
      <c r="AM75" s="6">
        <v>1907</v>
      </c>
      <c r="AN75" s="28">
        <f>piramide[[#This Row],[PZAS]]*piramide[[#This Row],[PRECIO $ C/U]]*COTIZACION!$I$135</f>
        <v>953.5</v>
      </c>
      <c r="AO75" s="2">
        <v>2</v>
      </c>
      <c r="AP75" t="s">
        <v>242</v>
      </c>
      <c r="AQ75" t="s">
        <v>88</v>
      </c>
      <c r="AT75">
        <v>1</v>
      </c>
      <c r="AU75" t="s">
        <v>82</v>
      </c>
      <c r="AV75" t="str">
        <f>CONCATENATE(truckzone[[#This Row],[TIPO]]," ",truckzone[[#This Row],[NUM. DE EJES]]," ",truckzone[[#This Row],[LARGO]])</f>
        <v>PLATAFORMA 3 42 FT</v>
      </c>
      <c r="AW75" t="s">
        <v>47</v>
      </c>
      <c r="AX75" s="6">
        <v>800</v>
      </c>
      <c r="AY75" s="28">
        <f>truckzone[[#This Row],[PZAS]]*truckzone[[#This Row],[PRECIO $ C/U]]*COTIZACION!$I$135</f>
        <v>800</v>
      </c>
      <c r="AZ75" s="2">
        <v>3</v>
      </c>
      <c r="BA75" t="s">
        <v>242</v>
      </c>
      <c r="BB75" s="40" t="s">
        <v>89</v>
      </c>
    </row>
    <row r="76" spans="2:54">
      <c r="B76" s="46">
        <v>1</v>
      </c>
      <c r="C76" s="24" t="s">
        <v>82</v>
      </c>
      <c r="D76" s="24" t="str">
        <f>CONCATENATE(ACERO1[[#This Row],[TIPO]]," ",ACERO1[[#This Row],[NUM. DE EJES]]," ",ACERO1[[#This Row],[LARGO]])</f>
        <v>PLATAFORMA 3 48 FT</v>
      </c>
      <c r="E76" s="24" t="s">
        <v>9</v>
      </c>
      <c r="F76" s="29">
        <v>2328</v>
      </c>
      <c r="G76" s="29">
        <f>PRODUCTOS!$B76*PRODUCTOS!$F76*COTIZACION!$I$135</f>
        <v>2328</v>
      </c>
      <c r="H76" s="49">
        <v>3</v>
      </c>
      <c r="I76" s="49" t="s">
        <v>176</v>
      </c>
      <c r="J76" s="30" t="s">
        <v>87</v>
      </c>
      <c r="K76" s="47"/>
      <c r="M76">
        <v>1</v>
      </c>
      <c r="N76" t="s">
        <v>82</v>
      </c>
      <c r="O76" t="str">
        <f>CONCATENATE(extras[[#This Row],[TIPO]]," ",extras[[#This Row],[NUM. DE EJES]]," ",extras[[#This Row],[LARGO]])</f>
        <v>PLATAFORMA 3 42 FT</v>
      </c>
      <c r="P76" t="s">
        <v>64</v>
      </c>
      <c r="Q76" t="s">
        <v>91</v>
      </c>
      <c r="R76" s="6">
        <v>15000</v>
      </c>
      <c r="S76" s="7">
        <f>extras[[#This Row],[PZAS]]*extras[[#This Row],[PRECIO $ C/U]]*COTIZACION!$I$135</f>
        <v>15000</v>
      </c>
      <c r="T76" s="2">
        <v>3</v>
      </c>
      <c r="U76" t="s">
        <v>242</v>
      </c>
      <c r="X76">
        <v>2.4</v>
      </c>
      <c r="Y76" t="s">
        <v>82</v>
      </c>
      <c r="Z76" t="str">
        <f>CONCATENATE(otros[[#This Row],[TIPO]]," ",otros[[#This Row],[NUM. DE EJES]]," ",otros[[#This Row],[LARGO]])</f>
        <v>PLATAFORMA 3 48 FT</v>
      </c>
      <c r="AA76" t="s">
        <v>58</v>
      </c>
      <c r="AB76" s="6">
        <v>127</v>
      </c>
      <c r="AC76" s="28">
        <f>otros[[#This Row],[PZAS]]*otros[[#This Row],[PRECIO $ C/U]]*COTIZACION!$I$135</f>
        <v>304.8</v>
      </c>
      <c r="AD76" s="2">
        <v>3</v>
      </c>
      <c r="AE76" t="s">
        <v>176</v>
      </c>
      <c r="AF76" s="16" t="s">
        <v>90</v>
      </c>
      <c r="AI76">
        <v>0.1</v>
      </c>
      <c r="AJ76" t="s">
        <v>82</v>
      </c>
      <c r="AK76" t="str">
        <f>CONCATENATE(piramide[[#This Row],[TIPO]]," ",piramide[[#This Row],[NUM. DE EJES]]," ",piramide[[#This Row],[LARGO]])</f>
        <v>PLATAFORMA 2 42 FT</v>
      </c>
      <c r="AL76" t="s">
        <v>185</v>
      </c>
      <c r="AM76" s="6">
        <v>999</v>
      </c>
      <c r="AN76" s="28">
        <f>piramide[[#This Row],[PZAS]]*piramide[[#This Row],[PRECIO $ C/U]]*COTIZACION!$I$135</f>
        <v>99.9</v>
      </c>
      <c r="AO76" s="2">
        <v>2</v>
      </c>
      <c r="AP76" t="s">
        <v>242</v>
      </c>
      <c r="AQ76" t="s">
        <v>88</v>
      </c>
      <c r="AT76">
        <v>2</v>
      </c>
      <c r="AU76" t="s">
        <v>82</v>
      </c>
      <c r="AV76" t="str">
        <f>CONCATENATE(truckzone[[#This Row],[TIPO]]," ",truckzone[[#This Row],[NUM. DE EJES]]," ",truckzone[[#This Row],[LARGO]])</f>
        <v>PLATAFORMA 3 42 FT</v>
      </c>
      <c r="AW76" t="s">
        <v>48</v>
      </c>
      <c r="AX76" s="6">
        <v>986</v>
      </c>
      <c r="AY76" s="28">
        <f>truckzone[[#This Row],[PZAS]]*truckzone[[#This Row],[PRECIO $ C/U]]*COTIZACION!$I$135</f>
        <v>1972</v>
      </c>
      <c r="AZ76" s="2">
        <v>3</v>
      </c>
      <c r="BA76" t="s">
        <v>242</v>
      </c>
      <c r="BB76" s="40" t="s">
        <v>89</v>
      </c>
    </row>
    <row r="77" spans="2:54">
      <c r="B77" s="41">
        <v>1</v>
      </c>
      <c r="C77" s="42" t="s">
        <v>82</v>
      </c>
      <c r="D77" s="24" t="str">
        <f>CONCATENATE(ACERO1[[#This Row],[TIPO]]," ",ACERO1[[#This Row],[NUM. DE EJES]]," ",ACERO1[[#This Row],[LARGO]])</f>
        <v>PLATAFORMA 3 48 FT</v>
      </c>
      <c r="E77" s="42" t="s">
        <v>10</v>
      </c>
      <c r="F77" s="43">
        <v>84</v>
      </c>
      <c r="G77" s="43">
        <f>PRODUCTOS!$B77*PRODUCTOS!$F77*COTIZACION!$I$135</f>
        <v>84</v>
      </c>
      <c r="H77" s="48">
        <v>3</v>
      </c>
      <c r="I77" s="48" t="s">
        <v>176</v>
      </c>
      <c r="J77" s="44" t="s">
        <v>87</v>
      </c>
      <c r="K77" s="45"/>
      <c r="M77">
        <v>0</v>
      </c>
      <c r="N77" t="s">
        <v>82</v>
      </c>
      <c r="O77" t="str">
        <f>CONCATENATE(extras[[#This Row],[TIPO]]," ",extras[[#This Row],[NUM. DE EJES]]," ",extras[[#This Row],[LARGO]])</f>
        <v>PLATAFORMA 3 42 FT</v>
      </c>
      <c r="P77" t="s">
        <v>153</v>
      </c>
      <c r="Q77" t="s">
        <v>91</v>
      </c>
      <c r="R77" s="6">
        <v>15000</v>
      </c>
      <c r="S77" s="7">
        <f>extras[[#This Row],[PZAS]]*extras[[#This Row],[PRECIO $ C/U]]*COTIZACION!$I$135</f>
        <v>0</v>
      </c>
      <c r="T77" s="2">
        <v>3</v>
      </c>
      <c r="U77" t="s">
        <v>242</v>
      </c>
      <c r="X77">
        <v>12</v>
      </c>
      <c r="Y77" t="s">
        <v>82</v>
      </c>
      <c r="Z77" t="str">
        <f>CONCATENATE(otros[[#This Row],[TIPO]]," ",otros[[#This Row],[NUM. DE EJES]]," ",otros[[#This Row],[LARGO]])</f>
        <v>PLATAFORMA 3 48 FT</v>
      </c>
      <c r="AA77" t="s">
        <v>59</v>
      </c>
      <c r="AB77" s="6">
        <v>20</v>
      </c>
      <c r="AC77" s="28">
        <f>otros[[#This Row],[PZAS]]*otros[[#This Row],[PRECIO $ C/U]]*COTIZACION!$I$135</f>
        <v>240</v>
      </c>
      <c r="AD77" s="2">
        <v>3</v>
      </c>
      <c r="AE77" t="s">
        <v>176</v>
      </c>
      <c r="AF77" s="16" t="s">
        <v>90</v>
      </c>
      <c r="AI77">
        <v>0.6</v>
      </c>
      <c r="AJ77" t="s">
        <v>82</v>
      </c>
      <c r="AK77" t="str">
        <f>CONCATENATE(piramide[[#This Row],[TIPO]]," ",piramide[[#This Row],[NUM. DE EJES]]," ",piramide[[#This Row],[LARGO]])</f>
        <v>PLATAFORMA 2 42 FT</v>
      </c>
      <c r="AL77" t="s">
        <v>186</v>
      </c>
      <c r="AM77" s="6">
        <v>415</v>
      </c>
      <c r="AN77" s="28">
        <f>piramide[[#This Row],[PZAS]]*piramide[[#This Row],[PRECIO $ C/U]]*COTIZACION!$I$135</f>
        <v>249</v>
      </c>
      <c r="AO77" s="2">
        <v>2</v>
      </c>
      <c r="AP77" t="s">
        <v>242</v>
      </c>
      <c r="AQ77" t="s">
        <v>88</v>
      </c>
      <c r="AT77">
        <v>3</v>
      </c>
      <c r="AU77" t="s">
        <v>82</v>
      </c>
      <c r="AV77" t="str">
        <f>CONCATENATE(truckzone[[#This Row],[TIPO]]," ",truckzone[[#This Row],[NUM. DE EJES]]," ",truckzone[[#This Row],[LARGO]])</f>
        <v>PLATAFORMA 3 42 FT</v>
      </c>
      <c r="AW77" t="s">
        <v>191</v>
      </c>
      <c r="AX77" s="6">
        <v>23118</v>
      </c>
      <c r="AY77" s="28">
        <f>truckzone[[#This Row],[PZAS]]*truckzone[[#This Row],[PRECIO $ C/U]]*COTIZACION!$I$135</f>
        <v>69354</v>
      </c>
      <c r="AZ77" s="2">
        <v>3</v>
      </c>
      <c r="BA77" t="s">
        <v>242</v>
      </c>
      <c r="BB77" s="40" t="s">
        <v>89</v>
      </c>
    </row>
    <row r="78" spans="2:54">
      <c r="B78" s="46">
        <v>2</v>
      </c>
      <c r="C78" s="24" t="s">
        <v>82</v>
      </c>
      <c r="D78" s="24" t="str">
        <f>CONCATENATE(ACERO1[[#This Row],[TIPO]]," ",ACERO1[[#This Row],[NUM. DE EJES]]," ",ACERO1[[#This Row],[LARGO]])</f>
        <v>PLATAFORMA 3 48 FT</v>
      </c>
      <c r="E78" s="24" t="s">
        <v>147</v>
      </c>
      <c r="F78" s="29">
        <v>480</v>
      </c>
      <c r="G78" s="29">
        <f>PRODUCTOS!$B78*PRODUCTOS!$F78*COTIZACION!$I$135</f>
        <v>960</v>
      </c>
      <c r="H78" s="49">
        <v>3</v>
      </c>
      <c r="I78" s="49" t="s">
        <v>176</v>
      </c>
      <c r="J78" s="30" t="s">
        <v>87</v>
      </c>
      <c r="K78" s="47"/>
      <c r="M78">
        <v>0</v>
      </c>
      <c r="N78" t="s">
        <v>82</v>
      </c>
      <c r="O78" t="str">
        <f>CONCATENATE(extras[[#This Row],[TIPO]]," ",extras[[#This Row],[NUM. DE EJES]]," ",extras[[#This Row],[LARGO]])</f>
        <v>PLATAFORMA 3 42 FT</v>
      </c>
      <c r="P78" t="s">
        <v>154</v>
      </c>
      <c r="Q78" t="s">
        <v>91</v>
      </c>
      <c r="R78" s="6"/>
      <c r="S78" s="7">
        <f>extras[[#This Row],[PZAS]]*extras[[#This Row],[PRECIO $ C/U]]*COTIZACION!$I$135</f>
        <v>0</v>
      </c>
      <c r="T78" s="2">
        <v>3</v>
      </c>
      <c r="U78" t="s">
        <v>242</v>
      </c>
      <c r="X78">
        <v>1.05</v>
      </c>
      <c r="Y78" t="s">
        <v>82</v>
      </c>
      <c r="Z78" t="str">
        <f>CONCATENATE(otros[[#This Row],[TIPO]]," ",otros[[#This Row],[NUM. DE EJES]]," ",otros[[#This Row],[LARGO]])</f>
        <v>PLATAFORMA 3 48 FT</v>
      </c>
      <c r="AA78" t="s">
        <v>245</v>
      </c>
      <c r="AB78" s="6">
        <v>551</v>
      </c>
      <c r="AC78" s="28">
        <f>otros[[#This Row],[PZAS]]*otros[[#This Row],[PRECIO $ C/U]]*COTIZACION!$I$135</f>
        <v>578.55000000000007</v>
      </c>
      <c r="AD78" s="2">
        <v>3</v>
      </c>
      <c r="AE78" t="s">
        <v>176</v>
      </c>
      <c r="AF78" s="16" t="s">
        <v>90</v>
      </c>
      <c r="AI78">
        <v>0.2</v>
      </c>
      <c r="AJ78" t="s">
        <v>82</v>
      </c>
      <c r="AK78" t="str">
        <f>CONCATENATE(piramide[[#This Row],[TIPO]]," ",piramide[[#This Row],[NUM. DE EJES]]," ",piramide[[#This Row],[LARGO]])</f>
        <v>PLATAFORMA 2 42 FT</v>
      </c>
      <c r="AL78" t="s">
        <v>187</v>
      </c>
      <c r="AM78" s="6">
        <v>360</v>
      </c>
      <c r="AN78" s="28">
        <f>piramide[[#This Row],[PZAS]]*piramide[[#This Row],[PRECIO $ C/U]]*COTIZACION!$I$135</f>
        <v>72</v>
      </c>
      <c r="AO78" s="2">
        <v>2</v>
      </c>
      <c r="AP78" t="s">
        <v>242</v>
      </c>
      <c r="AQ78" t="s">
        <v>88</v>
      </c>
      <c r="AT78">
        <v>3</v>
      </c>
      <c r="AU78" t="s">
        <v>82</v>
      </c>
      <c r="AV78" t="str">
        <f>CONCATENATE(truckzone[[#This Row],[TIPO]]," ",truckzone[[#This Row],[NUM. DE EJES]]," ",truckzone[[#This Row],[LARGO]])</f>
        <v>PLATAFORMA 3 42 FT</v>
      </c>
      <c r="AW78" t="s">
        <v>192</v>
      </c>
      <c r="AX78" s="6">
        <v>24421.05</v>
      </c>
      <c r="AY78" s="28">
        <f>truckzone[[#This Row],[PZAS]]*truckzone[[#This Row],[PRECIO $ C/U]]*COTIZACION!$I$135</f>
        <v>73263.149999999994</v>
      </c>
      <c r="AZ78" s="2">
        <v>3</v>
      </c>
      <c r="BA78" t="s">
        <v>242</v>
      </c>
      <c r="BB78" s="40" t="s">
        <v>89</v>
      </c>
    </row>
    <row r="79" spans="2:54">
      <c r="B79" s="41">
        <v>1</v>
      </c>
      <c r="C79" s="42" t="s">
        <v>82</v>
      </c>
      <c r="D79" s="24" t="str">
        <f>CONCATENATE(ACERO1[[#This Row],[TIPO]]," ",ACERO1[[#This Row],[NUM. DE EJES]]," ",ACERO1[[#This Row],[LARGO]])</f>
        <v>PLATAFORMA 3 48 FT</v>
      </c>
      <c r="E79" s="42" t="s">
        <v>167</v>
      </c>
      <c r="F79" s="43">
        <v>1845</v>
      </c>
      <c r="G79" s="43">
        <f>PRODUCTOS!$B79*PRODUCTOS!$F79*COTIZACION!$I$135</f>
        <v>1845</v>
      </c>
      <c r="H79" s="48">
        <v>3</v>
      </c>
      <c r="I79" s="48" t="s">
        <v>176</v>
      </c>
      <c r="J79" s="44" t="s">
        <v>87</v>
      </c>
      <c r="K79" s="45"/>
      <c r="M79">
        <v>0</v>
      </c>
      <c r="N79" t="s">
        <v>82</v>
      </c>
      <c r="O79" t="str">
        <f>CONCATENATE(extras[[#This Row],[TIPO]]," ",extras[[#This Row],[NUM. DE EJES]]," ",extras[[#This Row],[LARGO]])</f>
        <v>PLATAFORMA 3 42 FT</v>
      </c>
      <c r="P79" t="s">
        <v>157</v>
      </c>
      <c r="Q79" t="s">
        <v>91</v>
      </c>
      <c r="R79" s="6"/>
      <c r="S79" s="7">
        <f>extras[[#This Row],[PZAS]]*extras[[#This Row],[PRECIO $ C/U]]*COTIZACION!$I$135</f>
        <v>0</v>
      </c>
      <c r="T79" s="2">
        <v>3</v>
      </c>
      <c r="U79" t="s">
        <v>242</v>
      </c>
      <c r="X79">
        <v>2</v>
      </c>
      <c r="Y79" t="s">
        <v>82</v>
      </c>
      <c r="Z79" t="str">
        <f>CONCATENATE(otros[[#This Row],[TIPO]]," ",otros[[#This Row],[NUM. DE EJES]]," ",otros[[#This Row],[LARGO]])</f>
        <v>PLATAFORMA 3 48 FT</v>
      </c>
      <c r="AA79" t="s">
        <v>61</v>
      </c>
      <c r="AB79" s="6">
        <v>586</v>
      </c>
      <c r="AC79" s="28">
        <f>otros[[#This Row],[PZAS]]*otros[[#This Row],[PRECIO $ C/U]]*COTIZACION!$I$135</f>
        <v>1172</v>
      </c>
      <c r="AD79" s="2">
        <v>3</v>
      </c>
      <c r="AE79" t="s">
        <v>176</v>
      </c>
      <c r="AF79" s="16" t="s">
        <v>90</v>
      </c>
      <c r="AI79">
        <v>0.2</v>
      </c>
      <c r="AJ79" t="s">
        <v>82</v>
      </c>
      <c r="AK79" t="str">
        <f>CONCATENATE(piramide[[#This Row],[TIPO]]," ",piramide[[#This Row],[NUM. DE EJES]]," ",piramide[[#This Row],[LARGO]])</f>
        <v>PLATAFORMA 2 42 FT</v>
      </c>
      <c r="AL79" t="s">
        <v>188</v>
      </c>
      <c r="AM79" s="6">
        <v>917</v>
      </c>
      <c r="AN79" s="28">
        <f>piramide[[#This Row],[PZAS]]*piramide[[#This Row],[PRECIO $ C/U]]*COTIZACION!$I$135</f>
        <v>183.4</v>
      </c>
      <c r="AO79" s="2">
        <v>2</v>
      </c>
      <c r="AP79" t="s">
        <v>242</v>
      </c>
      <c r="AQ79" t="s">
        <v>88</v>
      </c>
      <c r="AT79">
        <v>2</v>
      </c>
      <c r="AU79" t="s">
        <v>82</v>
      </c>
      <c r="AV79" t="str">
        <f>CONCATENATE(truckzone[[#This Row],[TIPO]]," ",truckzone[[#This Row],[NUM. DE EJES]]," ",truckzone[[#This Row],[LARGO]])</f>
        <v>PLATAFORMA 3 42 FT</v>
      </c>
      <c r="AW79" t="s">
        <v>193</v>
      </c>
      <c r="AX79" s="6">
        <v>6206</v>
      </c>
      <c r="AY79" s="28">
        <f>truckzone[[#This Row],[PZAS]]*truckzone[[#This Row],[PRECIO $ C/U]]*COTIZACION!$I$135</f>
        <v>12412</v>
      </c>
      <c r="AZ79" s="2">
        <v>3</v>
      </c>
      <c r="BA79" t="s">
        <v>242</v>
      </c>
      <c r="BB79" s="40" t="s">
        <v>89</v>
      </c>
    </row>
    <row r="80" spans="2:54">
      <c r="B80" s="46">
        <v>1</v>
      </c>
      <c r="C80" s="24" t="s">
        <v>82</v>
      </c>
      <c r="D80" s="24" t="str">
        <f>CONCATENATE(ACERO1[[#This Row],[TIPO]]," ",ACERO1[[#This Row],[NUM. DE EJES]]," ",ACERO1[[#This Row],[LARGO]])</f>
        <v>PLATAFORMA 3 48 FT</v>
      </c>
      <c r="E80" s="24" t="s">
        <v>13</v>
      </c>
      <c r="F80" s="29">
        <v>437</v>
      </c>
      <c r="G80" s="29">
        <f>PRODUCTOS!$B80*PRODUCTOS!$F80*COTIZACION!$I$135</f>
        <v>437</v>
      </c>
      <c r="H80" s="49">
        <v>3</v>
      </c>
      <c r="I80" s="49" t="s">
        <v>176</v>
      </c>
      <c r="J80" s="30" t="s">
        <v>87</v>
      </c>
      <c r="K80" s="47"/>
      <c r="M80">
        <v>0</v>
      </c>
      <c r="N80" t="s">
        <v>82</v>
      </c>
      <c r="O80" t="str">
        <f>CONCATENATE(extras[[#This Row],[TIPO]]," ",extras[[#This Row],[NUM. DE EJES]]," ",extras[[#This Row],[LARGO]])</f>
        <v>PLATAFORMA 3 42 FT</v>
      </c>
      <c r="P80" t="s">
        <v>158</v>
      </c>
      <c r="Q80" t="s">
        <v>91</v>
      </c>
      <c r="R80" s="6"/>
      <c r="S80" s="7">
        <f>extras[[#This Row],[PZAS]]*extras[[#This Row],[PRECIO $ C/U]]*COTIZACION!$I$135</f>
        <v>0</v>
      </c>
      <c r="T80" s="2">
        <v>3</v>
      </c>
      <c r="U80" t="s">
        <v>242</v>
      </c>
      <c r="X80">
        <v>2</v>
      </c>
      <c r="Y80" t="s">
        <v>82</v>
      </c>
      <c r="Z80" t="str">
        <f>CONCATENATE(otros[[#This Row],[TIPO]]," ",otros[[#This Row],[NUM. DE EJES]]," ",otros[[#This Row],[LARGO]])</f>
        <v>PLATAFORMA 3 48 FT</v>
      </c>
      <c r="AA80" t="s">
        <v>62</v>
      </c>
      <c r="AB80" s="6">
        <v>1500</v>
      </c>
      <c r="AC80" s="28">
        <f>otros[[#This Row],[PZAS]]*otros[[#This Row],[PRECIO $ C/U]]*COTIZACION!$I$135</f>
        <v>3000</v>
      </c>
      <c r="AD80" s="2">
        <v>3</v>
      </c>
      <c r="AE80" t="s">
        <v>176</v>
      </c>
      <c r="AF80" s="16" t="s">
        <v>90</v>
      </c>
      <c r="AI80">
        <v>1.05</v>
      </c>
      <c r="AJ80" t="s">
        <v>82</v>
      </c>
      <c r="AK80" t="str">
        <f>CONCATENATE(piramide[[#This Row],[TIPO]]," ",piramide[[#This Row],[NUM. DE EJES]]," ",piramide[[#This Row],[LARGO]])</f>
        <v>PLATAFORMA 3 42 FT</v>
      </c>
      <c r="AL80" t="s">
        <v>246</v>
      </c>
      <c r="AM80" s="6">
        <v>805.21</v>
      </c>
      <c r="AN80" s="28">
        <f>piramide[[#This Row],[PZAS]]*piramide[[#This Row],[PRECIO $ C/U]]*COTIZACION!$I$135</f>
        <v>845.47050000000013</v>
      </c>
      <c r="AO80" s="2">
        <v>3</v>
      </c>
      <c r="AP80" t="s">
        <v>242</v>
      </c>
      <c r="AQ80" t="s">
        <v>88</v>
      </c>
      <c r="AT80">
        <v>10</v>
      </c>
      <c r="AU80" t="s">
        <v>82</v>
      </c>
      <c r="AV80" t="str">
        <f>CONCATENATE(truckzone[[#This Row],[TIPO]]," ",truckzone[[#This Row],[NUM. DE EJES]]," ",truckzone[[#This Row],[LARGO]])</f>
        <v>PLATAFORMA 3 42 FT</v>
      </c>
      <c r="AW80" t="s">
        <v>194</v>
      </c>
      <c r="AX80" s="6">
        <v>418</v>
      </c>
      <c r="AY80" s="28">
        <f>truckzone[[#This Row],[PZAS]]*truckzone[[#This Row],[PRECIO $ C/U]]*COTIZACION!$I$135</f>
        <v>4180</v>
      </c>
      <c r="AZ80" s="2">
        <v>3</v>
      </c>
      <c r="BA80" t="s">
        <v>242</v>
      </c>
      <c r="BB80" s="40" t="s">
        <v>89</v>
      </c>
    </row>
    <row r="81" spans="2:54">
      <c r="B81" s="41">
        <v>2</v>
      </c>
      <c r="C81" s="42" t="s">
        <v>82</v>
      </c>
      <c r="D81" s="24" t="str">
        <f>CONCATENATE(ACERO1[[#This Row],[TIPO]]," ",ACERO1[[#This Row],[NUM. DE EJES]]," ",ACERO1[[#This Row],[LARGO]])</f>
        <v>PLATAFORMA 3 48 FT</v>
      </c>
      <c r="E81" s="42" t="s">
        <v>168</v>
      </c>
      <c r="F81" s="43">
        <v>417.6</v>
      </c>
      <c r="G81" s="43">
        <f>PRODUCTOS!$B81*PRODUCTOS!$F81*COTIZACION!$I$135</f>
        <v>835.2</v>
      </c>
      <c r="H81" s="48">
        <v>3</v>
      </c>
      <c r="I81" s="48" t="s">
        <v>176</v>
      </c>
      <c r="J81" s="44" t="s">
        <v>87</v>
      </c>
      <c r="K81" s="45"/>
      <c r="M81">
        <v>0</v>
      </c>
      <c r="N81" t="s">
        <v>82</v>
      </c>
      <c r="O81" t="str">
        <f>CONCATENATE(extras[[#This Row],[TIPO]]," ",extras[[#This Row],[NUM. DE EJES]]," ",extras[[#This Row],[LARGO]])</f>
        <v>PLATAFORMA 3 42 FT</v>
      </c>
      <c r="P81" t="s">
        <v>159</v>
      </c>
      <c r="Q81" t="s">
        <v>91</v>
      </c>
      <c r="R81" s="6"/>
      <c r="S81" s="7">
        <f>extras[[#This Row],[PZAS]]*extras[[#This Row],[PRECIO $ C/U]]*COTIZACION!$I$135</f>
        <v>0</v>
      </c>
      <c r="T81" s="2">
        <v>3</v>
      </c>
      <c r="U81" t="s">
        <v>242</v>
      </c>
      <c r="X81">
        <v>2</v>
      </c>
      <c r="Y81" t="s">
        <v>82</v>
      </c>
      <c r="Z81" t="str">
        <f>CONCATENATE(otros[[#This Row],[TIPO]]," ",otros[[#This Row],[NUM. DE EJES]]," ",otros[[#This Row],[LARGO]])</f>
        <v>PLATAFORMA 3 48 FT</v>
      </c>
      <c r="AA81" t="s">
        <v>244</v>
      </c>
      <c r="AB81" s="6">
        <v>350</v>
      </c>
      <c r="AC81" s="28">
        <f>otros[[#This Row],[PZAS]]*otros[[#This Row],[PRECIO $ C/U]]*COTIZACION!$I$135</f>
        <v>700</v>
      </c>
      <c r="AD81" s="2">
        <v>3</v>
      </c>
      <c r="AE81" t="s">
        <v>176</v>
      </c>
      <c r="AF81" s="16" t="s">
        <v>90</v>
      </c>
      <c r="AI81">
        <v>1.05</v>
      </c>
      <c r="AJ81" t="s">
        <v>82</v>
      </c>
      <c r="AK81" t="str">
        <f>CONCATENATE(piramide[[#This Row],[TIPO]]," ",piramide[[#This Row],[NUM. DE EJES]]," ",piramide[[#This Row],[LARGO]])</f>
        <v>PLATAFORMA 3 42 FT</v>
      </c>
      <c r="AL81" t="s">
        <v>178</v>
      </c>
      <c r="AM81" s="6">
        <v>26370</v>
      </c>
      <c r="AN81" s="28">
        <f>piramide[[#This Row],[PZAS]]*piramide[[#This Row],[PRECIO $ C/U]]*COTIZACION!$I$135</f>
        <v>27688.5</v>
      </c>
      <c r="AO81" s="2">
        <v>3</v>
      </c>
      <c r="AP81" t="s">
        <v>242</v>
      </c>
      <c r="AQ81" t="s">
        <v>88</v>
      </c>
      <c r="AT81">
        <v>1</v>
      </c>
      <c r="AU81" t="s">
        <v>82</v>
      </c>
      <c r="AV81" t="str">
        <f>CONCATENATE(truckzone[[#This Row],[TIPO]]," ",truckzone[[#This Row],[NUM. DE EJES]]," ",truckzone[[#This Row],[LARGO]])</f>
        <v>PLATAFORMA 3 42 FT</v>
      </c>
      <c r="AW81" t="s">
        <v>195</v>
      </c>
      <c r="AX81" s="26">
        <v>27000</v>
      </c>
      <c r="AY81" s="36">
        <f>truckzone[[#This Row],[PZAS]]*truckzone[[#This Row],[PRECIO $ C/U]]*COTIZACION!$I$135</f>
        <v>27000</v>
      </c>
      <c r="AZ81" s="2">
        <v>3</v>
      </c>
      <c r="BA81" t="s">
        <v>242</v>
      </c>
      <c r="BB81" s="40" t="s">
        <v>89</v>
      </c>
    </row>
    <row r="82" spans="2:54">
      <c r="B82" s="46">
        <v>5</v>
      </c>
      <c r="C82" s="24" t="s">
        <v>82</v>
      </c>
      <c r="D82" s="24" t="str">
        <f>CONCATENATE(ACERO1[[#This Row],[TIPO]]," ",ACERO1[[#This Row],[NUM. DE EJES]]," ",ACERO1[[#This Row],[LARGO]])</f>
        <v>PLATAFORMA 3 48 FT</v>
      </c>
      <c r="E82" s="24" t="s">
        <v>16</v>
      </c>
      <c r="F82" s="29">
        <v>504</v>
      </c>
      <c r="G82" s="29">
        <f>PRODUCTOS!$B82*PRODUCTOS!$F82*COTIZACION!$I$135</f>
        <v>2520</v>
      </c>
      <c r="H82" s="49">
        <v>3</v>
      </c>
      <c r="I82" s="49" t="s">
        <v>176</v>
      </c>
      <c r="J82" s="30" t="s">
        <v>87</v>
      </c>
      <c r="K82" s="47"/>
      <c r="M82">
        <v>1</v>
      </c>
      <c r="N82" t="s">
        <v>82</v>
      </c>
      <c r="O82" t="str">
        <f>CONCATENATE(extras[[#This Row],[TIPO]]," ",extras[[#This Row],[NUM. DE EJES]]," ",extras[[#This Row],[LARGO]])</f>
        <v>PLATAFORMA 2 48 FT</v>
      </c>
      <c r="P82" t="s">
        <v>69</v>
      </c>
      <c r="Q82" t="s">
        <v>91</v>
      </c>
      <c r="R82" s="6">
        <v>7100</v>
      </c>
      <c r="S82" s="7">
        <f>extras[[#This Row],[PZAS]]*extras[[#This Row],[PRECIO $ C/U]]*COTIZACION!$I$135</f>
        <v>7100</v>
      </c>
      <c r="T82" s="2">
        <v>2</v>
      </c>
      <c r="U82" t="s">
        <v>176</v>
      </c>
      <c r="X82">
        <v>1.2</v>
      </c>
      <c r="Y82" t="s">
        <v>82</v>
      </c>
      <c r="Z82" t="str">
        <f>CONCATENATE(otros[[#This Row],[TIPO]]," ",otros[[#This Row],[NUM. DE EJES]]," ",otros[[#This Row],[LARGO]])</f>
        <v>PLATAFORMA 3 48 FT</v>
      </c>
      <c r="AA82" t="s">
        <v>66</v>
      </c>
      <c r="AB82" s="6">
        <v>10000</v>
      </c>
      <c r="AC82" s="28">
        <f>otros[[#This Row],[PZAS]]*otros[[#This Row],[PRECIO $ C/U]]*COTIZACION!$I$135</f>
        <v>12000</v>
      </c>
      <c r="AD82" s="2">
        <v>3</v>
      </c>
      <c r="AE82" t="s">
        <v>176</v>
      </c>
      <c r="AF82" s="16" t="s">
        <v>90</v>
      </c>
      <c r="AI82">
        <v>1.05</v>
      </c>
      <c r="AJ82" t="s">
        <v>82</v>
      </c>
      <c r="AK82" t="str">
        <f>CONCATENATE(piramide[[#This Row],[TIPO]]," ",piramide[[#This Row],[NUM. DE EJES]]," ",piramide[[#This Row],[LARGO]])</f>
        <v>PLATAFORMA 3 42 FT</v>
      </c>
      <c r="AL82" t="s">
        <v>179</v>
      </c>
      <c r="AM82" s="6">
        <v>1907</v>
      </c>
      <c r="AN82" s="28">
        <f>piramide[[#This Row],[PZAS]]*piramide[[#This Row],[PRECIO $ C/U]]*COTIZACION!$I$135</f>
        <v>2002.3500000000001</v>
      </c>
      <c r="AO82" s="2">
        <v>3</v>
      </c>
      <c r="AP82" t="s">
        <v>242</v>
      </c>
      <c r="AQ82" t="s">
        <v>88</v>
      </c>
      <c r="AT82">
        <v>46</v>
      </c>
      <c r="AU82" t="s">
        <v>82</v>
      </c>
      <c r="AV82" t="str">
        <f>CONCATENATE(truckzone[[#This Row],[TIPO]]," ",truckzone[[#This Row],[NUM. DE EJES]]," ",truckzone[[#This Row],[LARGO]])</f>
        <v>PLATAFORMA 2 48 FT</v>
      </c>
      <c r="AW82" t="s">
        <v>189</v>
      </c>
      <c r="AX82" s="6">
        <v>578</v>
      </c>
      <c r="AY82" s="28">
        <f>truckzone[[#This Row],[PZAS]]*truckzone[[#This Row],[PRECIO $ C/U]]*COTIZACION!$I$135</f>
        <v>26588</v>
      </c>
      <c r="AZ82" s="2">
        <v>2</v>
      </c>
      <c r="BA82" t="s">
        <v>176</v>
      </c>
      <c r="BB82" s="40" t="s">
        <v>89</v>
      </c>
    </row>
    <row r="83" spans="2:54">
      <c r="B83" s="41">
        <v>1</v>
      </c>
      <c r="C83" s="42" t="s">
        <v>82</v>
      </c>
      <c r="D83" s="24" t="str">
        <f>CONCATENATE(ACERO1[[#This Row],[TIPO]]," ",ACERO1[[#This Row],[NUM. DE EJES]]," ",ACERO1[[#This Row],[LARGO]])</f>
        <v>PLATAFORMA 3 48 FT</v>
      </c>
      <c r="E83" s="42" t="s">
        <v>169</v>
      </c>
      <c r="F83" s="43">
        <v>2035</v>
      </c>
      <c r="G83" s="43">
        <f>PRODUCTOS!$B83*PRODUCTOS!$F83*COTIZACION!$I$135</f>
        <v>2035</v>
      </c>
      <c r="H83" s="48">
        <v>3</v>
      </c>
      <c r="I83" s="48" t="s">
        <v>176</v>
      </c>
      <c r="J83" s="44" t="s">
        <v>87</v>
      </c>
      <c r="K83" s="45"/>
      <c r="M83">
        <v>1</v>
      </c>
      <c r="N83" t="s">
        <v>82</v>
      </c>
      <c r="O83" t="str">
        <f>CONCATENATE(extras[[#This Row],[TIPO]]," ",extras[[#This Row],[NUM. DE EJES]]," ",extras[[#This Row],[LARGO]])</f>
        <v>PLATAFORMA 2 48 FT</v>
      </c>
      <c r="P83" t="s">
        <v>70</v>
      </c>
      <c r="Q83" t="s">
        <v>91</v>
      </c>
      <c r="R83" s="6">
        <v>3744</v>
      </c>
      <c r="S83" s="7">
        <f>extras[[#This Row],[PZAS]]*extras[[#This Row],[PRECIO $ C/U]]*COTIZACION!$I$135</f>
        <v>3744</v>
      </c>
      <c r="T83" s="2">
        <v>2</v>
      </c>
      <c r="U83" t="s">
        <v>176</v>
      </c>
      <c r="X83">
        <v>1</v>
      </c>
      <c r="Y83" t="s">
        <v>82</v>
      </c>
      <c r="Z83" t="str">
        <f>CONCATENATE(otros[[#This Row],[TIPO]]," ",otros[[#This Row],[NUM. DE EJES]]," ",otros[[#This Row],[LARGO]])</f>
        <v>PLATAFORMA 3 48 FT</v>
      </c>
      <c r="AA83" t="s">
        <v>67</v>
      </c>
      <c r="AB83" s="6">
        <v>2000</v>
      </c>
      <c r="AC83" s="28">
        <f>otros[[#This Row],[PZAS]]*otros[[#This Row],[PRECIO $ C/U]]*COTIZACION!$I$135</f>
        <v>2000</v>
      </c>
      <c r="AD83" s="2">
        <v>3</v>
      </c>
      <c r="AE83" t="s">
        <v>176</v>
      </c>
      <c r="AF83" s="16" t="s">
        <v>90</v>
      </c>
      <c r="AI83">
        <v>4.2</v>
      </c>
      <c r="AJ83" t="s">
        <v>82</v>
      </c>
      <c r="AK83" t="str">
        <f>CONCATENATE(piramide[[#This Row],[TIPO]]," ",piramide[[#This Row],[NUM. DE EJES]]," ",piramide[[#This Row],[LARGO]])</f>
        <v>PLATAFORMA 3 42 FT</v>
      </c>
      <c r="AL83" t="s">
        <v>180</v>
      </c>
      <c r="AM83" s="6">
        <v>7000</v>
      </c>
      <c r="AN83" s="28">
        <f>piramide[[#This Row],[PZAS]]*piramide[[#This Row],[PRECIO $ C/U]]*COTIZACION!$I$135</f>
        <v>29400</v>
      </c>
      <c r="AO83" s="2">
        <v>3</v>
      </c>
      <c r="AP83" t="s">
        <v>242</v>
      </c>
      <c r="AQ83" t="s">
        <v>88</v>
      </c>
      <c r="AT83">
        <v>1</v>
      </c>
      <c r="AU83" t="s">
        <v>82</v>
      </c>
      <c r="AV83" t="str">
        <f>CONCATENATE(truckzone[[#This Row],[TIPO]]," ",truckzone[[#This Row],[NUM. DE EJES]]," ",truckzone[[#This Row],[LARGO]])</f>
        <v>PLATAFORMA 2 48 FT</v>
      </c>
      <c r="AW83" t="s">
        <v>190</v>
      </c>
      <c r="AX83" s="6">
        <v>1500</v>
      </c>
      <c r="AY83" s="28">
        <f>truckzone[[#This Row],[PZAS]]*truckzone[[#This Row],[PRECIO $ C/U]]*COTIZACION!$I$135</f>
        <v>1500</v>
      </c>
      <c r="AZ83" s="2">
        <v>2</v>
      </c>
      <c r="BA83" t="s">
        <v>176</v>
      </c>
      <c r="BB83" s="40" t="s">
        <v>89</v>
      </c>
    </row>
    <row r="84" spans="2:54">
      <c r="B84" s="46">
        <v>6</v>
      </c>
      <c r="C84" s="24" t="s">
        <v>82</v>
      </c>
      <c r="D84" s="24" t="str">
        <f>CONCATENATE(ACERO1[[#This Row],[TIPO]]," ",ACERO1[[#This Row],[NUM. DE EJES]]," ",ACERO1[[#This Row],[LARGO]])</f>
        <v>PLATAFORMA 3 48 FT</v>
      </c>
      <c r="E84" s="24" t="s">
        <v>20</v>
      </c>
      <c r="F84" s="29">
        <v>740</v>
      </c>
      <c r="G84" s="29">
        <f>PRODUCTOS!$B84*PRODUCTOS!$F84*COTIZACION!$I$135</f>
        <v>4440</v>
      </c>
      <c r="H84" s="49">
        <v>3</v>
      </c>
      <c r="I84" s="49" t="s">
        <v>176</v>
      </c>
      <c r="J84" s="30" t="s">
        <v>87</v>
      </c>
      <c r="K84" s="47"/>
      <c r="M84">
        <v>1</v>
      </c>
      <c r="N84" t="s">
        <v>82</v>
      </c>
      <c r="O84" t="str">
        <f>CONCATENATE(extras[[#This Row],[TIPO]]," ",extras[[#This Row],[NUM. DE EJES]]," ",extras[[#This Row],[LARGO]])</f>
        <v>PLATAFORMA 2 48 FT</v>
      </c>
      <c r="P84" t="s">
        <v>131</v>
      </c>
      <c r="Q84" t="s">
        <v>91</v>
      </c>
      <c r="R84" s="6">
        <v>6240</v>
      </c>
      <c r="S84" s="7">
        <f>extras[[#This Row],[PZAS]]*extras[[#This Row],[PRECIO $ C/U]]*COTIZACION!$I$135</f>
        <v>6240</v>
      </c>
      <c r="T84" s="2">
        <v>2</v>
      </c>
      <c r="U84" t="s">
        <v>176</v>
      </c>
      <c r="X84">
        <v>1</v>
      </c>
      <c r="Y84" t="s">
        <v>82</v>
      </c>
      <c r="Z84" t="str">
        <f>CONCATENATE(otros[[#This Row],[TIPO]]," ",otros[[#This Row],[NUM. DE EJES]]," ",otros[[#This Row],[LARGO]])</f>
        <v>PLATAFORMA 3 48 FT</v>
      </c>
      <c r="AA84" t="s">
        <v>68</v>
      </c>
      <c r="AB84" s="6">
        <v>2500</v>
      </c>
      <c r="AC84" s="28">
        <f>otros[[#This Row],[PZAS]]*otros[[#This Row],[PRECIO $ C/U]]*COTIZACION!$I$135</f>
        <v>2500</v>
      </c>
      <c r="AD84" s="2">
        <v>3</v>
      </c>
      <c r="AE84" t="s">
        <v>176</v>
      </c>
      <c r="AF84" s="16" t="s">
        <v>90</v>
      </c>
      <c r="AI84">
        <v>2.1</v>
      </c>
      <c r="AJ84" t="s">
        <v>82</v>
      </c>
      <c r="AK84" t="str">
        <f>CONCATENATE(piramide[[#This Row],[TIPO]]," ",piramide[[#This Row],[NUM. DE EJES]]," ",piramide[[#This Row],[LARGO]])</f>
        <v>PLATAFORMA 3 42 FT</v>
      </c>
      <c r="AL84" t="s">
        <v>181</v>
      </c>
      <c r="AM84" s="6">
        <v>6130</v>
      </c>
      <c r="AN84" s="28">
        <f>piramide[[#This Row],[PZAS]]*piramide[[#This Row],[PRECIO $ C/U]]*COTIZACION!$I$135</f>
        <v>12873</v>
      </c>
      <c r="AO84" s="2">
        <v>3</v>
      </c>
      <c r="AP84" t="s">
        <v>242</v>
      </c>
      <c r="AQ84" t="s">
        <v>88</v>
      </c>
      <c r="AT84">
        <v>0.5</v>
      </c>
      <c r="AU84" t="s">
        <v>82</v>
      </c>
      <c r="AV84" t="str">
        <f>CONCATENATE(truckzone[[#This Row],[TIPO]]," ",truckzone[[#This Row],[NUM. DE EJES]]," ",truckzone[[#This Row],[LARGO]])</f>
        <v>PLATAFORMA 2 48 FT</v>
      </c>
      <c r="AW84" t="s">
        <v>46</v>
      </c>
      <c r="AX84" s="6">
        <v>2300</v>
      </c>
      <c r="AY84" s="28">
        <f>truckzone[[#This Row],[PZAS]]*truckzone[[#This Row],[PRECIO $ C/U]]*COTIZACION!$I$135</f>
        <v>1150</v>
      </c>
      <c r="AZ84" s="2">
        <v>2</v>
      </c>
      <c r="BA84" t="s">
        <v>176</v>
      </c>
      <c r="BB84" s="40" t="s">
        <v>89</v>
      </c>
    </row>
    <row r="85" spans="2:54">
      <c r="B85" s="41">
        <v>1</v>
      </c>
      <c r="C85" s="42" t="s">
        <v>82</v>
      </c>
      <c r="D85" s="24" t="str">
        <f>CONCATENATE(ACERO1[[#This Row],[TIPO]]," ",ACERO1[[#This Row],[NUM. DE EJES]]," ",ACERO1[[#This Row],[LARGO]])</f>
        <v>PLATAFORMA 3 48 FT</v>
      </c>
      <c r="E85" s="42" t="s">
        <v>24</v>
      </c>
      <c r="F85" s="43">
        <v>5824.5</v>
      </c>
      <c r="G85" s="43">
        <f>PRODUCTOS!$B85*PRODUCTOS!$F85*COTIZACION!$I$135</f>
        <v>5824.5</v>
      </c>
      <c r="H85" s="48">
        <v>3</v>
      </c>
      <c r="I85" s="48" t="s">
        <v>176</v>
      </c>
      <c r="J85" s="44" t="s">
        <v>87</v>
      </c>
      <c r="K85" s="45"/>
      <c r="M85">
        <v>1</v>
      </c>
      <c r="N85" t="s">
        <v>82</v>
      </c>
      <c r="O85" t="str">
        <f>CONCATENATE(extras[[#This Row],[TIPO]]," ",extras[[#This Row],[NUM. DE EJES]]," ",extras[[#This Row],[LARGO]])</f>
        <v>PLATAFORMA 2 48 FT</v>
      </c>
      <c r="P85" t="s">
        <v>72</v>
      </c>
      <c r="Q85" t="s">
        <v>91</v>
      </c>
      <c r="R85" s="6">
        <v>6240</v>
      </c>
      <c r="S85" s="7">
        <f>extras[[#This Row],[PZAS]]*extras[[#This Row],[PRECIO $ C/U]]*COTIZACION!$I$135</f>
        <v>6240</v>
      </c>
      <c r="T85" s="2">
        <v>2</v>
      </c>
      <c r="U85" t="s">
        <v>176</v>
      </c>
      <c r="X85">
        <v>1</v>
      </c>
      <c r="Y85" t="s">
        <v>82</v>
      </c>
      <c r="Z85" t="str">
        <f>CONCATENATE(otros[[#This Row],[TIPO]]," ",otros[[#This Row],[NUM. DE EJES]]," ",otros[[#This Row],[LARGO]])</f>
        <v>PLATAFORMA 3 48 FT</v>
      </c>
      <c r="AA85" t="s">
        <v>0</v>
      </c>
      <c r="AB85" s="6">
        <v>15000</v>
      </c>
      <c r="AC85" s="28">
        <f>otros[[#This Row],[PZAS]]*otros[[#This Row],[PRECIO $ C/U]]*COTIZACION!$I$135</f>
        <v>15000</v>
      </c>
      <c r="AD85" s="2">
        <v>3</v>
      </c>
      <c r="AE85" t="s">
        <v>176</v>
      </c>
      <c r="AF85" s="16" t="s">
        <v>90</v>
      </c>
      <c r="AI85">
        <v>1.575</v>
      </c>
      <c r="AJ85" t="s">
        <v>82</v>
      </c>
      <c r="AK85" t="str">
        <f>CONCATENATE(piramide[[#This Row],[TIPO]]," ",piramide[[#This Row],[NUM. DE EJES]]," ",piramide[[#This Row],[LARGO]])</f>
        <v>PLATAFORMA 3 42 FT</v>
      </c>
      <c r="AL85" t="s">
        <v>182</v>
      </c>
      <c r="AM85" s="6">
        <v>245</v>
      </c>
      <c r="AN85" s="28">
        <f>piramide[[#This Row],[PZAS]]*piramide[[#This Row],[PRECIO $ C/U]]*COTIZACION!$I$135</f>
        <v>385.875</v>
      </c>
      <c r="AO85" s="2">
        <v>3</v>
      </c>
      <c r="AP85" t="s">
        <v>242</v>
      </c>
      <c r="AQ85" t="s">
        <v>88</v>
      </c>
      <c r="AT85">
        <v>1</v>
      </c>
      <c r="AU85" t="s">
        <v>82</v>
      </c>
      <c r="AV85" t="str">
        <f>CONCATENATE(truckzone[[#This Row],[TIPO]]," ",truckzone[[#This Row],[NUM. DE EJES]]," ",truckzone[[#This Row],[LARGO]])</f>
        <v>PLATAFORMA 2 48 FT</v>
      </c>
      <c r="AW85" t="s">
        <v>47</v>
      </c>
      <c r="AX85" s="6">
        <v>800</v>
      </c>
      <c r="AY85" s="28">
        <f>truckzone[[#This Row],[PZAS]]*truckzone[[#This Row],[PRECIO $ C/U]]*COTIZACION!$I$135</f>
        <v>800</v>
      </c>
      <c r="AZ85" s="2">
        <v>2</v>
      </c>
      <c r="BA85" t="s">
        <v>176</v>
      </c>
      <c r="BB85" s="40" t="s">
        <v>89</v>
      </c>
    </row>
    <row r="86" spans="2:54">
      <c r="B86" s="46">
        <v>1</v>
      </c>
      <c r="C86" s="24" t="s">
        <v>82</v>
      </c>
      <c r="D86" s="24" t="str">
        <f>CONCATENATE(ACERO1[[#This Row],[TIPO]]," ",ACERO1[[#This Row],[NUM. DE EJES]]," ",ACERO1[[#This Row],[LARGO]])</f>
        <v>PLATAFORMA 3 48 FT</v>
      </c>
      <c r="E86" s="24" t="s">
        <v>170</v>
      </c>
      <c r="F86" s="29">
        <v>180</v>
      </c>
      <c r="G86" s="29">
        <f>PRODUCTOS!$B86*PRODUCTOS!$F86*COTIZACION!$I$135</f>
        <v>180</v>
      </c>
      <c r="H86" s="49">
        <v>3</v>
      </c>
      <c r="I86" s="49" t="s">
        <v>176</v>
      </c>
      <c r="J86" s="30" t="s">
        <v>87</v>
      </c>
      <c r="K86" s="47"/>
      <c r="M86">
        <v>1</v>
      </c>
      <c r="N86" t="s">
        <v>82</v>
      </c>
      <c r="O86" t="str">
        <f>CONCATENATE(extras[[#This Row],[TIPO]]," ",extras[[#This Row],[NUM. DE EJES]]," ",extras[[#This Row],[LARGO]])</f>
        <v>PLATAFORMA 2 48 FT</v>
      </c>
      <c r="P86" t="s">
        <v>132</v>
      </c>
      <c r="Q86" t="s">
        <v>91</v>
      </c>
      <c r="R86" s="6">
        <v>5450</v>
      </c>
      <c r="S86" s="7">
        <f>extras[[#This Row],[PZAS]]*extras[[#This Row],[PRECIO $ C/U]]*COTIZACION!$I$135</f>
        <v>5450</v>
      </c>
      <c r="T86" s="2">
        <v>2</v>
      </c>
      <c r="U86" t="s">
        <v>176</v>
      </c>
      <c r="X86">
        <v>1</v>
      </c>
      <c r="Y86" t="s">
        <v>82</v>
      </c>
      <c r="Z86" t="str">
        <f>CONCATENATE(otros[[#This Row],[TIPO]]," ",otros[[#This Row],[NUM. DE EJES]]," ",otros[[#This Row],[LARGO]])</f>
        <v>PLATAFORMA 3 48 FT</v>
      </c>
      <c r="AA86" t="s">
        <v>161</v>
      </c>
      <c r="AB86" s="6">
        <v>3000</v>
      </c>
      <c r="AC86" s="28">
        <f>otros[[#This Row],[PZAS]]*otros[[#This Row],[PRECIO $ C/U]]*COTIZACION!$I$135</f>
        <v>3000</v>
      </c>
      <c r="AD86" s="2">
        <v>3</v>
      </c>
      <c r="AE86" t="s">
        <v>176</v>
      </c>
      <c r="AF86" s="16" t="s">
        <v>90</v>
      </c>
      <c r="AI86">
        <v>7.35</v>
      </c>
      <c r="AJ86" t="s">
        <v>82</v>
      </c>
      <c r="AK86" t="str">
        <f>CONCATENATE(piramide[[#This Row],[TIPO]]," ",piramide[[#This Row],[NUM. DE EJES]]," ",piramide[[#This Row],[LARGO]])</f>
        <v>PLATAFORMA 3 42 FT</v>
      </c>
      <c r="AL86" t="s">
        <v>183</v>
      </c>
      <c r="AM86" s="6">
        <v>953.5</v>
      </c>
      <c r="AN86" s="28">
        <f>piramide[[#This Row],[PZAS]]*piramide[[#This Row],[PRECIO $ C/U]]*COTIZACION!$I$135</f>
        <v>7008.2249999999995</v>
      </c>
      <c r="AO86" s="2">
        <v>3</v>
      </c>
      <c r="AP86" t="s">
        <v>242</v>
      </c>
      <c r="AQ86" t="s">
        <v>88</v>
      </c>
      <c r="AT86">
        <v>2</v>
      </c>
      <c r="AU86" t="s">
        <v>82</v>
      </c>
      <c r="AV86" t="str">
        <f>CONCATENATE(truckzone[[#This Row],[TIPO]]," ",truckzone[[#This Row],[NUM. DE EJES]]," ",truckzone[[#This Row],[LARGO]])</f>
        <v>PLATAFORMA 2 48 FT</v>
      </c>
      <c r="AW86" t="s">
        <v>48</v>
      </c>
      <c r="AX86" s="6">
        <v>986</v>
      </c>
      <c r="AY86" s="28">
        <f>truckzone[[#This Row],[PZAS]]*truckzone[[#This Row],[PRECIO $ C/U]]*COTIZACION!$I$135</f>
        <v>1972</v>
      </c>
      <c r="AZ86" s="2">
        <v>2</v>
      </c>
      <c r="BA86" t="s">
        <v>176</v>
      </c>
      <c r="BB86" s="40" t="s">
        <v>89</v>
      </c>
    </row>
    <row r="87" spans="2:54">
      <c r="B87" s="41">
        <v>1</v>
      </c>
      <c r="C87" s="42" t="s">
        <v>82</v>
      </c>
      <c r="D87" s="24" t="str">
        <f>CONCATENATE(ACERO1[[#This Row],[TIPO]]," ",ACERO1[[#This Row],[NUM. DE EJES]]," ",ACERO1[[#This Row],[LARGO]])</f>
        <v>PLATAFORMA 3 48 FT</v>
      </c>
      <c r="E87" s="42" t="s">
        <v>171</v>
      </c>
      <c r="F87" s="43">
        <v>290</v>
      </c>
      <c r="G87" s="43">
        <f>PRODUCTOS!$B87*PRODUCTOS!$F87*COTIZACION!$I$135</f>
        <v>290</v>
      </c>
      <c r="H87" s="48">
        <v>3</v>
      </c>
      <c r="I87" s="48" t="s">
        <v>176</v>
      </c>
      <c r="J87" s="44" t="s">
        <v>87</v>
      </c>
      <c r="K87" s="45"/>
      <c r="M87">
        <v>1</v>
      </c>
      <c r="N87" t="s">
        <v>82</v>
      </c>
      <c r="O87" t="str">
        <f>CONCATENATE(extras[[#This Row],[TIPO]]," ",extras[[#This Row],[NUM. DE EJES]]," ",extras[[#This Row],[LARGO]])</f>
        <v>PLATAFORMA 2 48 FT</v>
      </c>
      <c r="P87" t="s">
        <v>133</v>
      </c>
      <c r="Q87" t="s">
        <v>91</v>
      </c>
      <c r="R87" s="6">
        <v>2300</v>
      </c>
      <c r="S87" s="7">
        <f>extras[[#This Row],[PZAS]]*extras[[#This Row],[PRECIO $ C/U]]*COTIZACION!$I$135</f>
        <v>2300</v>
      </c>
      <c r="T87" s="2">
        <v>2</v>
      </c>
      <c r="U87" t="s">
        <v>176</v>
      </c>
      <c r="X87">
        <v>1</v>
      </c>
      <c r="Y87" t="s">
        <v>82</v>
      </c>
      <c r="Z87" t="str">
        <f>CONCATENATE(otros[[#This Row],[TIPO]]," ",otros[[#This Row],[NUM. DE EJES]]," ",otros[[#This Row],[LARGO]])</f>
        <v>PLATAFORMA 3 48 FT</v>
      </c>
      <c r="AA87" t="s">
        <v>65</v>
      </c>
      <c r="AB87" s="6">
        <v>15000</v>
      </c>
      <c r="AC87" s="28">
        <f>otros[[#This Row],[PZAS]]*otros[[#This Row],[PRECIO $ C/U]]*COTIZACION!$I$135</f>
        <v>15000</v>
      </c>
      <c r="AD87" s="2">
        <v>3</v>
      </c>
      <c r="AE87" t="s">
        <v>176</v>
      </c>
      <c r="AF87" s="16" t="s">
        <v>90</v>
      </c>
      <c r="AI87">
        <v>0.5</v>
      </c>
      <c r="AJ87" t="s">
        <v>82</v>
      </c>
      <c r="AK87" t="str">
        <f>CONCATENATE(piramide[[#This Row],[TIPO]]," ",piramide[[#This Row],[NUM. DE EJES]]," ",piramide[[#This Row],[LARGO]])</f>
        <v>PLATAFORMA 3 42 FT</v>
      </c>
      <c r="AL87" t="s">
        <v>184</v>
      </c>
      <c r="AM87" s="6">
        <v>1907</v>
      </c>
      <c r="AN87" s="28">
        <f>piramide[[#This Row],[PZAS]]*piramide[[#This Row],[PRECIO $ C/U]]*COTIZACION!$I$135</f>
        <v>953.5</v>
      </c>
      <c r="AO87" s="2">
        <v>3</v>
      </c>
      <c r="AP87" t="s">
        <v>242</v>
      </c>
      <c r="AQ87" t="s">
        <v>88</v>
      </c>
      <c r="AT87">
        <v>2</v>
      </c>
      <c r="AU87" t="s">
        <v>82</v>
      </c>
      <c r="AV87" t="str">
        <f>CONCATENATE(truckzone[[#This Row],[TIPO]]," ",truckzone[[#This Row],[NUM. DE EJES]]," ",truckzone[[#This Row],[LARGO]])</f>
        <v>PLATAFORMA 2 48 FT</v>
      </c>
      <c r="AW87" t="s">
        <v>191</v>
      </c>
      <c r="AX87" s="6">
        <v>23118</v>
      </c>
      <c r="AY87" s="28">
        <f>truckzone[[#This Row],[PZAS]]*truckzone[[#This Row],[PRECIO $ C/U]]*COTIZACION!$I$135</f>
        <v>46236</v>
      </c>
      <c r="AZ87" s="2">
        <v>2</v>
      </c>
      <c r="BA87" t="s">
        <v>176</v>
      </c>
      <c r="BB87" s="40" t="s">
        <v>89</v>
      </c>
    </row>
    <row r="88" spans="2:54">
      <c r="B88" s="46">
        <v>1</v>
      </c>
      <c r="C88" s="24" t="s">
        <v>82</v>
      </c>
      <c r="D88" s="24" t="str">
        <f>CONCATENATE(ACERO1[[#This Row],[TIPO]]," ",ACERO1[[#This Row],[NUM. DE EJES]]," ",ACERO1[[#This Row],[LARGO]])</f>
        <v>PLATAFORMA 3 48 FT</v>
      </c>
      <c r="E88" s="24" t="s">
        <v>27</v>
      </c>
      <c r="F88" s="29">
        <v>5055</v>
      </c>
      <c r="G88" s="29">
        <f>PRODUCTOS!$B88*PRODUCTOS!$F88*COTIZACION!$I$135</f>
        <v>5055</v>
      </c>
      <c r="H88" s="49">
        <v>3</v>
      </c>
      <c r="I88" s="49" t="s">
        <v>176</v>
      </c>
      <c r="J88" s="30" t="s">
        <v>87</v>
      </c>
      <c r="K88" s="47"/>
      <c r="M88">
        <v>1</v>
      </c>
      <c r="N88" t="s">
        <v>82</v>
      </c>
      <c r="O88" t="str">
        <f>CONCATENATE(extras[[#This Row],[TIPO]]," ",extras[[#This Row],[NUM. DE EJES]]," ",extras[[#This Row],[LARGO]])</f>
        <v>PLATAFORMA 2 48 FT</v>
      </c>
      <c r="P88" t="s">
        <v>63</v>
      </c>
      <c r="Q88" t="s">
        <v>91</v>
      </c>
      <c r="R88" s="6">
        <v>33000</v>
      </c>
      <c r="S88" s="7">
        <f>extras[[#This Row],[PZAS]]*extras[[#This Row],[PRECIO $ C/U]]*COTIZACION!$I$135</f>
        <v>33000</v>
      </c>
      <c r="T88" s="2">
        <v>2</v>
      </c>
      <c r="U88" t="s">
        <v>176</v>
      </c>
      <c r="X88">
        <v>1</v>
      </c>
      <c r="Y88" t="s">
        <v>82</v>
      </c>
      <c r="Z88" t="str">
        <f>CONCATENATE(otros[[#This Row],[TIPO]]," ",otros[[#This Row],[NUM. DE EJES]]," ",otros[[#This Row],[LARGO]])</f>
        <v>PLATAFORMA 3 48 FT</v>
      </c>
      <c r="AA88" t="s">
        <v>162</v>
      </c>
      <c r="AB88" s="6">
        <v>5000</v>
      </c>
      <c r="AC88" s="28">
        <f>otros[[#This Row],[PZAS]]*otros[[#This Row],[PRECIO $ C/U]]*COTIZACION!$I$135</f>
        <v>5000</v>
      </c>
      <c r="AD88" s="2">
        <v>3</v>
      </c>
      <c r="AE88" t="s">
        <v>176</v>
      </c>
      <c r="AF88" s="16" t="s">
        <v>90</v>
      </c>
      <c r="AI88">
        <v>0.1</v>
      </c>
      <c r="AJ88" t="s">
        <v>82</v>
      </c>
      <c r="AK88" t="str">
        <f>CONCATENATE(piramide[[#This Row],[TIPO]]," ",piramide[[#This Row],[NUM. DE EJES]]," ",piramide[[#This Row],[LARGO]])</f>
        <v>PLATAFORMA 3 42 FT</v>
      </c>
      <c r="AL88" t="s">
        <v>185</v>
      </c>
      <c r="AM88" s="6">
        <v>999</v>
      </c>
      <c r="AN88" s="28">
        <f>piramide[[#This Row],[PZAS]]*piramide[[#This Row],[PRECIO $ C/U]]*COTIZACION!$I$135</f>
        <v>99.9</v>
      </c>
      <c r="AO88" s="2">
        <v>3</v>
      </c>
      <c r="AP88" t="s">
        <v>242</v>
      </c>
      <c r="AQ88" t="s">
        <v>88</v>
      </c>
      <c r="AT88">
        <v>2</v>
      </c>
      <c r="AU88" t="s">
        <v>82</v>
      </c>
      <c r="AV88" t="str">
        <f>CONCATENATE(truckzone[[#This Row],[TIPO]]," ",truckzone[[#This Row],[NUM. DE EJES]]," ",truckzone[[#This Row],[LARGO]])</f>
        <v>PLATAFORMA 2 48 FT</v>
      </c>
      <c r="AW88" t="s">
        <v>192</v>
      </c>
      <c r="AX88" s="6">
        <v>24421.05</v>
      </c>
      <c r="AY88" s="28">
        <f>truckzone[[#This Row],[PZAS]]*truckzone[[#This Row],[PRECIO $ C/U]]*COTIZACION!$I$135</f>
        <v>48842.1</v>
      </c>
      <c r="AZ88" s="2">
        <v>2</v>
      </c>
      <c r="BA88" t="s">
        <v>176</v>
      </c>
      <c r="BB88" s="40" t="s">
        <v>89</v>
      </c>
    </row>
    <row r="89" spans="2:54">
      <c r="B89" s="41">
        <v>1</v>
      </c>
      <c r="C89" s="42" t="s">
        <v>82</v>
      </c>
      <c r="D89" s="24" t="str">
        <f>CONCATENATE(ACERO1[[#This Row],[TIPO]]," ",ACERO1[[#This Row],[NUM. DE EJES]]," ",ACERO1[[#This Row],[LARGO]])</f>
        <v>PLATAFORMA 3 48 FT</v>
      </c>
      <c r="E89" s="42" t="s">
        <v>146</v>
      </c>
      <c r="F89" s="43">
        <v>274</v>
      </c>
      <c r="G89" s="43">
        <f>PRODUCTOS!$B89*PRODUCTOS!$F89*COTIZACION!$I$135</f>
        <v>274</v>
      </c>
      <c r="H89" s="48">
        <v>3</v>
      </c>
      <c r="I89" s="48" t="s">
        <v>176</v>
      </c>
      <c r="J89" s="44" t="s">
        <v>87</v>
      </c>
      <c r="K89" s="45"/>
      <c r="M89">
        <v>1</v>
      </c>
      <c r="N89" t="s">
        <v>82</v>
      </c>
      <c r="O89" t="str">
        <f>CONCATENATE(extras[[#This Row],[TIPO]]," ",extras[[#This Row],[NUM. DE EJES]]," ",extras[[#This Row],[LARGO]])</f>
        <v>PLATAFORMA 2 48 FT</v>
      </c>
      <c r="P89" t="s">
        <v>64</v>
      </c>
      <c r="Q89" t="s">
        <v>91</v>
      </c>
      <c r="R89" s="6">
        <v>15000</v>
      </c>
      <c r="S89" s="7">
        <f>extras[[#This Row],[PZAS]]*extras[[#This Row],[PRECIO $ C/U]]*COTIZACION!$I$135</f>
        <v>15000</v>
      </c>
      <c r="T89" s="2">
        <v>2</v>
      </c>
      <c r="U89" t="s">
        <v>176</v>
      </c>
      <c r="X89">
        <v>1</v>
      </c>
      <c r="Y89" t="s">
        <v>82</v>
      </c>
      <c r="Z89" t="str">
        <f>CONCATENATE(otros[[#This Row],[TIPO]]," ",otros[[#This Row],[NUM. DE EJES]]," ",otros[[#This Row],[LARGO]])</f>
        <v>PLATAFORMA 3 48 FT</v>
      </c>
      <c r="AA89" t="s">
        <v>177</v>
      </c>
      <c r="AB89" s="6">
        <v>30000</v>
      </c>
      <c r="AC89" s="28">
        <f>otros[[#This Row],[PZAS]]*otros[[#This Row],[PRECIO $ C/U]]*COTIZACION!$I$135</f>
        <v>30000</v>
      </c>
      <c r="AD89" s="2">
        <v>3</v>
      </c>
      <c r="AE89" t="s">
        <v>176</v>
      </c>
      <c r="AF89" s="16" t="s">
        <v>90</v>
      </c>
      <c r="AI89">
        <v>0.6</v>
      </c>
      <c r="AJ89" t="s">
        <v>82</v>
      </c>
      <c r="AK89" t="str">
        <f>CONCATENATE(piramide[[#This Row],[TIPO]]," ",piramide[[#This Row],[NUM. DE EJES]]," ",piramide[[#This Row],[LARGO]])</f>
        <v>PLATAFORMA 3 42 FT</v>
      </c>
      <c r="AL89" t="s">
        <v>186</v>
      </c>
      <c r="AM89" s="6">
        <v>415</v>
      </c>
      <c r="AN89" s="28">
        <f>piramide[[#This Row],[PZAS]]*piramide[[#This Row],[PRECIO $ C/U]]*COTIZACION!$I$135</f>
        <v>249</v>
      </c>
      <c r="AO89" s="2">
        <v>3</v>
      </c>
      <c r="AP89" t="s">
        <v>242</v>
      </c>
      <c r="AQ89" t="s">
        <v>88</v>
      </c>
      <c r="AT89">
        <v>2</v>
      </c>
      <c r="AU89" t="s">
        <v>82</v>
      </c>
      <c r="AV89" t="str">
        <f>CONCATENATE(truckzone[[#This Row],[TIPO]]," ",truckzone[[#This Row],[NUM. DE EJES]]," ",truckzone[[#This Row],[LARGO]])</f>
        <v>PLATAFORMA 2 48 FT</v>
      </c>
      <c r="AW89" t="s">
        <v>193</v>
      </c>
      <c r="AX89" s="6">
        <v>6206</v>
      </c>
      <c r="AY89" s="28">
        <f>truckzone[[#This Row],[PZAS]]*truckzone[[#This Row],[PRECIO $ C/U]]*COTIZACION!$I$135</f>
        <v>12412</v>
      </c>
      <c r="AZ89" s="2">
        <v>2</v>
      </c>
      <c r="BA89" t="s">
        <v>176</v>
      </c>
      <c r="BB89" s="40" t="s">
        <v>89</v>
      </c>
    </row>
    <row r="90" spans="2:54">
      <c r="B90" s="46">
        <v>1</v>
      </c>
      <c r="C90" s="24" t="s">
        <v>82</v>
      </c>
      <c r="D90" s="24" t="str">
        <f>CONCATENATE(ACERO1[[#This Row],[TIPO]]," ",ACERO1[[#This Row],[NUM. DE EJES]]," ",ACERO1[[#This Row],[LARGO]])</f>
        <v>PLATAFORMA 3 48 FT</v>
      </c>
      <c r="E90" s="24" t="s">
        <v>149</v>
      </c>
      <c r="F90" s="29">
        <v>1331</v>
      </c>
      <c r="G90" s="29">
        <f>PRODUCTOS!$B90*PRODUCTOS!$F90*COTIZACION!$I$135</f>
        <v>1331</v>
      </c>
      <c r="H90" s="49">
        <v>3</v>
      </c>
      <c r="I90" s="49" t="s">
        <v>176</v>
      </c>
      <c r="J90" s="30" t="s">
        <v>87</v>
      </c>
      <c r="K90" s="47"/>
      <c r="M90">
        <v>0</v>
      </c>
      <c r="N90" t="s">
        <v>82</v>
      </c>
      <c r="O90" t="str">
        <f>CONCATENATE(extras[[#This Row],[TIPO]]," ",extras[[#This Row],[NUM. DE EJES]]," ",extras[[#This Row],[LARGO]])</f>
        <v>PLATAFORMA 2 48 FT</v>
      </c>
      <c r="P90" t="s">
        <v>153</v>
      </c>
      <c r="Q90" t="s">
        <v>91</v>
      </c>
      <c r="R90" s="6">
        <v>15000</v>
      </c>
      <c r="S90" s="7">
        <f>extras[[#This Row],[PZAS]]*extras[[#This Row],[PRECIO $ C/U]]*COTIZACION!$I$135</f>
        <v>0</v>
      </c>
      <c r="T90" s="2">
        <v>2</v>
      </c>
      <c r="U90" t="s">
        <v>176</v>
      </c>
      <c r="X90">
        <v>1</v>
      </c>
      <c r="Y90" t="s">
        <v>82</v>
      </c>
      <c r="Z90" t="str">
        <f>CONCATENATE(otros[[#This Row],[TIPO]]," ",otros[[#This Row],[NUM. DE EJES]]," ",otros[[#This Row],[LARGO]])</f>
        <v>PLATAFORMA 3 48 FT</v>
      </c>
      <c r="AA90" t="s">
        <v>163</v>
      </c>
      <c r="AB90" s="6"/>
      <c r="AC90" s="28">
        <f>otros[[#This Row],[PZAS]]*otros[[#This Row],[PRECIO $ C/U]]*COTIZACION!$I$135</f>
        <v>0</v>
      </c>
      <c r="AD90" s="2">
        <v>3</v>
      </c>
      <c r="AE90" t="s">
        <v>176</v>
      </c>
      <c r="AF90" s="16" t="s">
        <v>90</v>
      </c>
      <c r="AI90">
        <v>0.2</v>
      </c>
      <c r="AJ90" t="s">
        <v>82</v>
      </c>
      <c r="AK90" t="str">
        <f>CONCATENATE(piramide[[#This Row],[TIPO]]," ",piramide[[#This Row],[NUM. DE EJES]]," ",piramide[[#This Row],[LARGO]])</f>
        <v>PLATAFORMA 3 42 FT</v>
      </c>
      <c r="AL90" t="s">
        <v>187</v>
      </c>
      <c r="AM90" s="6">
        <v>360</v>
      </c>
      <c r="AN90" s="28">
        <f>piramide[[#This Row],[PZAS]]*piramide[[#This Row],[PRECIO $ C/U]]*COTIZACION!$I$135</f>
        <v>72</v>
      </c>
      <c r="AO90" s="2">
        <v>3</v>
      </c>
      <c r="AP90" t="s">
        <v>242</v>
      </c>
      <c r="AQ90" t="s">
        <v>88</v>
      </c>
      <c r="AT90">
        <v>10</v>
      </c>
      <c r="AU90" t="s">
        <v>82</v>
      </c>
      <c r="AV90" t="str">
        <f>CONCATENATE(truckzone[[#This Row],[TIPO]]," ",truckzone[[#This Row],[NUM. DE EJES]]," ",truckzone[[#This Row],[LARGO]])</f>
        <v>PLATAFORMA 2 48 FT</v>
      </c>
      <c r="AW90" t="s">
        <v>194</v>
      </c>
      <c r="AX90" s="6">
        <v>418</v>
      </c>
      <c r="AY90" s="28">
        <f>truckzone[[#This Row],[PZAS]]*truckzone[[#This Row],[PRECIO $ C/U]]*COTIZACION!$I$135</f>
        <v>4180</v>
      </c>
      <c r="AZ90" s="2">
        <v>2</v>
      </c>
      <c r="BA90" t="s">
        <v>176</v>
      </c>
      <c r="BB90" s="40" t="s">
        <v>89</v>
      </c>
    </row>
    <row r="91" spans="2:54">
      <c r="B91" s="41">
        <v>9</v>
      </c>
      <c r="C91" s="42" t="s">
        <v>82</v>
      </c>
      <c r="D91" s="24" t="str">
        <f>CONCATENATE(ACERO1[[#This Row],[TIPO]]," ",ACERO1[[#This Row],[NUM. DE EJES]]," ",ACERO1[[#This Row],[LARGO]])</f>
        <v>PLATAFORMA 3 48 FT</v>
      </c>
      <c r="E91" s="42" t="s">
        <v>172</v>
      </c>
      <c r="F91" s="43">
        <v>1000.8</v>
      </c>
      <c r="G91" s="43">
        <f>PRODUCTOS!$B91*PRODUCTOS!$F91*COTIZACION!$I$135</f>
        <v>9007.1999999999989</v>
      </c>
      <c r="H91" s="48">
        <v>3</v>
      </c>
      <c r="I91" s="48" t="s">
        <v>176</v>
      </c>
      <c r="J91" s="44" t="s">
        <v>87</v>
      </c>
      <c r="K91" s="45"/>
      <c r="M91">
        <v>0</v>
      </c>
      <c r="N91" t="s">
        <v>82</v>
      </c>
      <c r="O91" t="str">
        <f>CONCATENATE(extras[[#This Row],[TIPO]]," ",extras[[#This Row],[NUM. DE EJES]]," ",extras[[#This Row],[LARGO]])</f>
        <v>PLATAFORMA 2 48 FT</v>
      </c>
      <c r="P91" t="s">
        <v>154</v>
      </c>
      <c r="Q91" t="s">
        <v>91</v>
      </c>
      <c r="R91" s="6"/>
      <c r="S91" s="7">
        <f>extras[[#This Row],[PZAS]]*extras[[#This Row],[PRECIO $ C/U]]*COTIZACION!$I$135</f>
        <v>0</v>
      </c>
      <c r="T91" s="2">
        <v>2</v>
      </c>
      <c r="U91" t="s">
        <v>176</v>
      </c>
      <c r="X91">
        <v>0</v>
      </c>
      <c r="Y91" t="s">
        <v>82</v>
      </c>
      <c r="Z91" t="str">
        <f>CONCATENATE(otros[[#This Row],[TIPO]]," ",otros[[#This Row],[NUM. DE EJES]]," ",otros[[#This Row],[LARGO]])</f>
        <v>PLATAFORMA 3 48 FT</v>
      </c>
      <c r="AA91" t="s">
        <v>164</v>
      </c>
      <c r="AB91" s="6"/>
      <c r="AC91" s="28">
        <f>otros[[#This Row],[PZAS]]*otros[[#This Row],[PRECIO $ C/U]]*COTIZACION!$I$135</f>
        <v>0</v>
      </c>
      <c r="AD91" s="2">
        <v>3</v>
      </c>
      <c r="AE91" t="s">
        <v>176</v>
      </c>
      <c r="AF91" s="16" t="s">
        <v>90</v>
      </c>
      <c r="AI91">
        <v>0.2</v>
      </c>
      <c r="AJ91" t="s">
        <v>82</v>
      </c>
      <c r="AK91" t="str">
        <f>CONCATENATE(piramide[[#This Row],[TIPO]]," ",piramide[[#This Row],[NUM. DE EJES]]," ",piramide[[#This Row],[LARGO]])</f>
        <v>PLATAFORMA 3 42 FT</v>
      </c>
      <c r="AL91" t="s">
        <v>188</v>
      </c>
      <c r="AM91" s="6">
        <v>917</v>
      </c>
      <c r="AN91" s="28">
        <f>piramide[[#This Row],[PZAS]]*piramide[[#This Row],[PRECIO $ C/U]]*COTIZACION!$I$135</f>
        <v>183.4</v>
      </c>
      <c r="AO91" s="2">
        <v>3</v>
      </c>
      <c r="AP91" t="s">
        <v>242</v>
      </c>
      <c r="AQ91" t="s">
        <v>88</v>
      </c>
      <c r="AT91">
        <v>1</v>
      </c>
      <c r="AU91" t="s">
        <v>82</v>
      </c>
      <c r="AV91" t="str">
        <f>CONCATENATE(truckzone[[#This Row],[TIPO]]," ",truckzone[[#This Row],[NUM. DE EJES]]," ",truckzone[[#This Row],[LARGO]])</f>
        <v>PLATAFORMA 2 48 FT</v>
      </c>
      <c r="AW91" t="s">
        <v>195</v>
      </c>
      <c r="AX91" s="26">
        <v>27000</v>
      </c>
      <c r="AY91" s="36">
        <f>truckzone[[#This Row],[PZAS]]*truckzone[[#This Row],[PRECIO $ C/U]]*COTIZACION!$I$135</f>
        <v>27000</v>
      </c>
      <c r="AZ91" s="2">
        <v>2</v>
      </c>
      <c r="BA91" t="s">
        <v>176</v>
      </c>
      <c r="BB91" s="40" t="s">
        <v>89</v>
      </c>
    </row>
    <row r="92" spans="2:54">
      <c r="B92" s="46">
        <v>58</v>
      </c>
      <c r="C92" s="24" t="s">
        <v>82</v>
      </c>
      <c r="D92" s="24" t="str">
        <f>CONCATENATE(ACERO1[[#This Row],[TIPO]]," ",ACERO1[[#This Row],[NUM. DE EJES]]," ",ACERO1[[#This Row],[LARGO]])</f>
        <v>PLATAFORMA 3 48 FT</v>
      </c>
      <c r="E92" s="24" t="s">
        <v>173</v>
      </c>
      <c r="F92" s="29">
        <v>83.9</v>
      </c>
      <c r="G92" s="29">
        <f>PRODUCTOS!$B92*PRODUCTOS!$F92*COTIZACION!$I$135</f>
        <v>4866.2000000000007</v>
      </c>
      <c r="H92" s="49">
        <v>3</v>
      </c>
      <c r="I92" s="49" t="s">
        <v>176</v>
      </c>
      <c r="J92" s="30" t="s">
        <v>87</v>
      </c>
      <c r="K92" s="47"/>
      <c r="M92">
        <v>0</v>
      </c>
      <c r="N92" t="s">
        <v>82</v>
      </c>
      <c r="O92" t="str">
        <f>CONCATENATE(extras[[#This Row],[TIPO]]," ",extras[[#This Row],[NUM. DE EJES]]," ",extras[[#This Row],[LARGO]])</f>
        <v>PLATAFORMA 2 48 FT</v>
      </c>
      <c r="P92" t="s">
        <v>157</v>
      </c>
      <c r="Q92" t="s">
        <v>91</v>
      </c>
      <c r="R92" s="6"/>
      <c r="S92" s="7">
        <f>extras[[#This Row],[PZAS]]*extras[[#This Row],[PRECIO $ C/U]]*COTIZACION!$I$135</f>
        <v>0</v>
      </c>
      <c r="T92" s="2">
        <v>2</v>
      </c>
      <c r="U92" t="s">
        <v>176</v>
      </c>
      <c r="X92">
        <v>4</v>
      </c>
      <c r="Y92" t="s">
        <v>4</v>
      </c>
      <c r="Z92" t="str">
        <f>CONCATENATE(otros[[#This Row],[TIPO]]," ",otros[[#This Row],[NUM. DE EJES]]," ",otros[[#This Row],[LARGO]])</f>
        <v>DOLLY 2 3.5 FT</v>
      </c>
      <c r="AA92" t="s">
        <v>229</v>
      </c>
      <c r="AB92" s="6">
        <v>1800</v>
      </c>
      <c r="AC92" s="28">
        <f>otros[[#This Row],[PZAS]]*otros[[#This Row],[PRECIO $ C/U]]*COTIZACION!$I$135</f>
        <v>7200</v>
      </c>
      <c r="AD92" s="2">
        <v>2</v>
      </c>
      <c r="AE92" t="s">
        <v>276</v>
      </c>
      <c r="AF92" s="16" t="s">
        <v>90</v>
      </c>
      <c r="AI92">
        <v>1.2</v>
      </c>
      <c r="AJ92" t="s">
        <v>82</v>
      </c>
      <c r="AK92" t="str">
        <f>CONCATENATE(piramide[[#This Row],[TIPO]]," ",piramide[[#This Row],[NUM. DE EJES]]," ",piramide[[#This Row],[LARGO]])</f>
        <v>PLATAFORMA 2 48 FT</v>
      </c>
      <c r="AL92" t="s">
        <v>246</v>
      </c>
      <c r="AM92" s="6">
        <v>805.21</v>
      </c>
      <c r="AN92" s="28">
        <f>piramide[[#This Row],[PZAS]]*piramide[[#This Row],[PRECIO $ C/U]]*COTIZACION!$I$135</f>
        <v>966.25199999999995</v>
      </c>
      <c r="AO92" s="2">
        <v>2</v>
      </c>
      <c r="AP92" t="s">
        <v>176</v>
      </c>
      <c r="AQ92" t="s">
        <v>88</v>
      </c>
      <c r="AT92">
        <v>34</v>
      </c>
      <c r="AU92" t="s">
        <v>82</v>
      </c>
      <c r="AV92" t="str">
        <f>CONCATENATE(truckzone[[#This Row],[TIPO]]," ",truckzone[[#This Row],[NUM. DE EJES]]," ",truckzone[[#This Row],[LARGO]])</f>
        <v>PLATAFORMA 2 35 FT</v>
      </c>
      <c r="AW92" t="s">
        <v>189</v>
      </c>
      <c r="AX92" s="6">
        <v>578</v>
      </c>
      <c r="AY92" s="28">
        <f>truckzone[[#This Row],[PZAS]]*truckzone[[#This Row],[PRECIO $ C/U]]*COTIZACION!$I$135</f>
        <v>19652</v>
      </c>
      <c r="AZ92" s="2">
        <v>2</v>
      </c>
      <c r="BA92" t="s">
        <v>248</v>
      </c>
      <c r="BB92" s="40" t="s">
        <v>89</v>
      </c>
    </row>
    <row r="93" spans="2:54">
      <c r="B93" s="41">
        <v>1</v>
      </c>
      <c r="C93" s="42" t="s">
        <v>82</v>
      </c>
      <c r="D93" s="24" t="str">
        <f>CONCATENATE(ACERO1[[#This Row],[TIPO]]," ",ACERO1[[#This Row],[NUM. DE EJES]]," ",ACERO1[[#This Row],[LARGO]])</f>
        <v>PLATAFORMA 3 48 FT</v>
      </c>
      <c r="E93" s="42" t="s">
        <v>45</v>
      </c>
      <c r="F93" s="43">
        <v>768</v>
      </c>
      <c r="G93" s="43">
        <f>PRODUCTOS!$B93*PRODUCTOS!$F93*COTIZACION!$I$135</f>
        <v>768</v>
      </c>
      <c r="H93" s="48">
        <v>3</v>
      </c>
      <c r="I93" s="48" t="s">
        <v>176</v>
      </c>
      <c r="J93" s="44" t="s">
        <v>87</v>
      </c>
      <c r="K93" s="45"/>
      <c r="M93">
        <v>0</v>
      </c>
      <c r="N93" t="s">
        <v>82</v>
      </c>
      <c r="O93" t="str">
        <f>CONCATENATE(extras[[#This Row],[TIPO]]," ",extras[[#This Row],[NUM. DE EJES]]," ",extras[[#This Row],[LARGO]])</f>
        <v>PLATAFORMA 2 48 FT</v>
      </c>
      <c r="P93" t="s">
        <v>158</v>
      </c>
      <c r="Q93" t="s">
        <v>91</v>
      </c>
      <c r="R93" s="6"/>
      <c r="S93" s="7">
        <f>extras[[#This Row],[PZAS]]*extras[[#This Row],[PRECIO $ C/U]]*COTIZACION!$I$135</f>
        <v>0</v>
      </c>
      <c r="T93" s="2">
        <v>2</v>
      </c>
      <c r="U93" t="s">
        <v>176</v>
      </c>
      <c r="X93">
        <v>4</v>
      </c>
      <c r="Y93" t="s">
        <v>4</v>
      </c>
      <c r="Z93" t="str">
        <f>CONCATENATE(otros[[#This Row],[TIPO]]," ",otros[[#This Row],[NUM. DE EJES]]," ",otros[[#This Row],[LARGO]])</f>
        <v>DOLLY 2 3.5 FT</v>
      </c>
      <c r="AA93" t="s">
        <v>230</v>
      </c>
      <c r="AB93" s="6">
        <v>450</v>
      </c>
      <c r="AC93" s="28">
        <f>otros[[#This Row],[PZAS]]*otros[[#This Row],[PRECIO $ C/U]]*COTIZACION!$I$135</f>
        <v>1800</v>
      </c>
      <c r="AD93" s="2">
        <v>2</v>
      </c>
      <c r="AE93" t="s">
        <v>276</v>
      </c>
      <c r="AF93" s="16" t="s">
        <v>90</v>
      </c>
      <c r="AI93">
        <v>1.2</v>
      </c>
      <c r="AJ93" t="s">
        <v>82</v>
      </c>
      <c r="AK93" t="str">
        <f>CONCATENATE(piramide[[#This Row],[TIPO]]," ",piramide[[#This Row],[NUM. DE EJES]]," ",piramide[[#This Row],[LARGO]])</f>
        <v>PLATAFORMA 2 48 FT</v>
      </c>
      <c r="AL93" t="s">
        <v>178</v>
      </c>
      <c r="AM93" s="6">
        <v>26370</v>
      </c>
      <c r="AN93" s="28">
        <f>piramide[[#This Row],[PZAS]]*piramide[[#This Row],[PRECIO $ C/U]]*COTIZACION!$I$135</f>
        <v>31644</v>
      </c>
      <c r="AO93" s="2">
        <v>2</v>
      </c>
      <c r="AP93" t="s">
        <v>176</v>
      </c>
      <c r="AQ93" t="s">
        <v>88</v>
      </c>
      <c r="AT93">
        <v>1</v>
      </c>
      <c r="AU93" t="s">
        <v>82</v>
      </c>
      <c r="AV93" t="str">
        <f>CONCATENATE(truckzone[[#This Row],[TIPO]]," ",truckzone[[#This Row],[NUM. DE EJES]]," ",truckzone[[#This Row],[LARGO]])</f>
        <v>PLATAFORMA 2 35 FT</v>
      </c>
      <c r="AW93" t="s">
        <v>190</v>
      </c>
      <c r="AX93" s="6">
        <v>1500</v>
      </c>
      <c r="AY93" s="28">
        <f>truckzone[[#This Row],[PZAS]]*truckzone[[#This Row],[PRECIO $ C/U]]*COTIZACION!$I$135</f>
        <v>1500</v>
      </c>
      <c r="AZ93" s="2">
        <v>2</v>
      </c>
      <c r="BA93" t="s">
        <v>248</v>
      </c>
      <c r="BB93" s="40" t="s">
        <v>89</v>
      </c>
    </row>
    <row r="94" spans="2:54">
      <c r="B94" s="46">
        <v>1</v>
      </c>
      <c r="C94" s="24" t="s">
        <v>82</v>
      </c>
      <c r="D94" s="24" t="str">
        <f>CONCATENATE(ACERO1[[#This Row],[TIPO]]," ",ACERO1[[#This Row],[NUM. DE EJES]]," ",ACERO1[[#This Row],[LARGO]])</f>
        <v>PLATAFORMA 3 48 FT</v>
      </c>
      <c r="E94" s="24" t="s">
        <v>150</v>
      </c>
      <c r="F94" s="29">
        <v>3276</v>
      </c>
      <c r="G94" s="29">
        <f>PRODUCTOS!$B94*PRODUCTOS!$F94*COTIZACION!$I$135</f>
        <v>3276</v>
      </c>
      <c r="H94" s="49">
        <v>3</v>
      </c>
      <c r="I94" s="49" t="s">
        <v>176</v>
      </c>
      <c r="J94" s="30" t="s">
        <v>87</v>
      </c>
      <c r="K94" s="47"/>
      <c r="M94">
        <v>0</v>
      </c>
      <c r="N94" t="s">
        <v>82</v>
      </c>
      <c r="O94" t="str">
        <f>CONCATENATE(extras[[#This Row],[TIPO]]," ",extras[[#This Row],[NUM. DE EJES]]," ",extras[[#This Row],[LARGO]])</f>
        <v>PLATAFORMA 2 48 FT</v>
      </c>
      <c r="P94" t="s">
        <v>159</v>
      </c>
      <c r="Q94" t="s">
        <v>91</v>
      </c>
      <c r="R94" s="6"/>
      <c r="S94" s="7">
        <f>extras[[#This Row],[PZAS]]*extras[[#This Row],[PRECIO $ C/U]]*COTIZACION!$I$135</f>
        <v>0</v>
      </c>
      <c r="T94" s="2">
        <v>2</v>
      </c>
      <c r="U94" t="s">
        <v>176</v>
      </c>
      <c r="X94">
        <v>2</v>
      </c>
      <c r="Y94" t="s">
        <v>4</v>
      </c>
      <c r="Z94" t="str">
        <f>CONCATENATE(otros[[#This Row],[TIPO]]," ",otros[[#This Row],[NUM. DE EJES]]," ",otros[[#This Row],[LARGO]])</f>
        <v>DOLLY 2 3.5 FT</v>
      </c>
      <c r="AA94" t="s">
        <v>231</v>
      </c>
      <c r="AB94" s="6">
        <v>750</v>
      </c>
      <c r="AC94" s="28">
        <f>otros[[#This Row],[PZAS]]*otros[[#This Row],[PRECIO $ C/U]]*COTIZACION!$I$135</f>
        <v>1500</v>
      </c>
      <c r="AD94" s="2">
        <v>2</v>
      </c>
      <c r="AE94" t="s">
        <v>276</v>
      </c>
      <c r="AF94" s="16" t="s">
        <v>90</v>
      </c>
      <c r="AI94">
        <v>1.2</v>
      </c>
      <c r="AJ94" t="s">
        <v>82</v>
      </c>
      <c r="AK94" t="str">
        <f>CONCATENATE(piramide[[#This Row],[TIPO]]," ",piramide[[#This Row],[NUM. DE EJES]]," ",piramide[[#This Row],[LARGO]])</f>
        <v>PLATAFORMA 2 48 FT</v>
      </c>
      <c r="AL94" t="s">
        <v>179</v>
      </c>
      <c r="AM94" s="6">
        <v>1907</v>
      </c>
      <c r="AN94" s="28">
        <f>piramide[[#This Row],[PZAS]]*piramide[[#This Row],[PRECIO $ C/U]]*COTIZACION!$I$135</f>
        <v>2288.4</v>
      </c>
      <c r="AO94" s="2">
        <v>2</v>
      </c>
      <c r="AP94" t="s">
        <v>176</v>
      </c>
      <c r="AQ94" t="s">
        <v>88</v>
      </c>
      <c r="AT94">
        <v>0.5</v>
      </c>
      <c r="AU94" t="s">
        <v>82</v>
      </c>
      <c r="AV94" t="str">
        <f>CONCATENATE(truckzone[[#This Row],[TIPO]]," ",truckzone[[#This Row],[NUM. DE EJES]]," ",truckzone[[#This Row],[LARGO]])</f>
        <v>PLATAFORMA 2 35 FT</v>
      </c>
      <c r="AW94" t="s">
        <v>46</v>
      </c>
      <c r="AX94" s="6">
        <v>2300</v>
      </c>
      <c r="AY94" s="28">
        <f>truckzone[[#This Row],[PZAS]]*truckzone[[#This Row],[PRECIO $ C/U]]*COTIZACION!$I$135</f>
        <v>1150</v>
      </c>
      <c r="AZ94" s="2">
        <v>2</v>
      </c>
      <c r="BA94" t="s">
        <v>248</v>
      </c>
      <c r="BB94" s="40" t="s">
        <v>89</v>
      </c>
    </row>
    <row r="95" spans="2:54">
      <c r="B95" s="41">
        <v>2</v>
      </c>
      <c r="C95" s="42" t="s">
        <v>82</v>
      </c>
      <c r="D95" s="24" t="str">
        <f>CONCATENATE(ACERO1[[#This Row],[TIPO]]," ",ACERO1[[#This Row],[NUM. DE EJES]]," ",ACERO1[[#This Row],[LARGO]])</f>
        <v>PLATAFORMA 3 48 FT</v>
      </c>
      <c r="E95" s="42" t="s">
        <v>174</v>
      </c>
      <c r="F95" s="43">
        <v>150</v>
      </c>
      <c r="G95" s="43">
        <f>PRODUCTOS!$B95*PRODUCTOS!$F95*COTIZACION!$I$135</f>
        <v>300</v>
      </c>
      <c r="H95" s="48">
        <v>3</v>
      </c>
      <c r="I95" s="48" t="s">
        <v>176</v>
      </c>
      <c r="J95" s="44" t="s">
        <v>87</v>
      </c>
      <c r="K95" s="45"/>
      <c r="M95">
        <v>1</v>
      </c>
      <c r="N95" t="s">
        <v>82</v>
      </c>
      <c r="O95" t="str">
        <f>CONCATENATE(extras[[#This Row],[TIPO]]," ",extras[[#This Row],[NUM. DE EJES]]," ",extras[[#This Row],[LARGO]])</f>
        <v>PLATAFORMA 2 35 FT</v>
      </c>
      <c r="P95" t="s">
        <v>69</v>
      </c>
      <c r="Q95" t="s">
        <v>91</v>
      </c>
      <c r="R95" s="6">
        <v>7100</v>
      </c>
      <c r="S95" s="7">
        <f>extras[[#This Row],[PZAS]]*extras[[#This Row],[PRECIO $ C/U]]*COTIZACION!$I$135</f>
        <v>7100</v>
      </c>
      <c r="T95" s="2">
        <v>2</v>
      </c>
      <c r="U95" t="s">
        <v>248</v>
      </c>
      <c r="X95">
        <v>1</v>
      </c>
      <c r="Y95" t="s">
        <v>4</v>
      </c>
      <c r="Z95" t="str">
        <f>CONCATENATE(otros[[#This Row],[TIPO]]," ",otros[[#This Row],[NUM. DE EJES]]," ",otros[[#This Row],[LARGO]])</f>
        <v>DOLLY 2 3.5 FT</v>
      </c>
      <c r="AA95" t="s">
        <v>65</v>
      </c>
      <c r="AB95" s="6">
        <v>6000</v>
      </c>
      <c r="AC95" s="28">
        <f>otros[[#This Row],[PZAS]]*otros[[#This Row],[PRECIO $ C/U]]*COTIZACION!$I$135</f>
        <v>6000</v>
      </c>
      <c r="AD95" s="2">
        <v>2</v>
      </c>
      <c r="AE95" t="s">
        <v>276</v>
      </c>
      <c r="AF95" s="16" t="s">
        <v>90</v>
      </c>
      <c r="AI95">
        <v>4.8</v>
      </c>
      <c r="AJ95" t="s">
        <v>82</v>
      </c>
      <c r="AK95" t="str">
        <f>CONCATENATE(piramide[[#This Row],[TIPO]]," ",piramide[[#This Row],[NUM. DE EJES]]," ",piramide[[#This Row],[LARGO]])</f>
        <v>PLATAFORMA 2 48 FT</v>
      </c>
      <c r="AL95" t="s">
        <v>180</v>
      </c>
      <c r="AM95" s="6">
        <v>7000</v>
      </c>
      <c r="AN95" s="28">
        <f>piramide[[#This Row],[PZAS]]*piramide[[#This Row],[PRECIO $ C/U]]*COTIZACION!$I$135</f>
        <v>33600</v>
      </c>
      <c r="AO95" s="2">
        <v>2</v>
      </c>
      <c r="AP95" t="s">
        <v>176</v>
      </c>
      <c r="AQ95" t="s">
        <v>88</v>
      </c>
      <c r="AT95">
        <v>1</v>
      </c>
      <c r="AU95" t="s">
        <v>82</v>
      </c>
      <c r="AV95" t="str">
        <f>CONCATENATE(truckzone[[#This Row],[TIPO]]," ",truckzone[[#This Row],[NUM. DE EJES]]," ",truckzone[[#This Row],[LARGO]])</f>
        <v>PLATAFORMA 2 35 FT</v>
      </c>
      <c r="AW95" t="s">
        <v>47</v>
      </c>
      <c r="AX95" s="6">
        <v>800</v>
      </c>
      <c r="AY95" s="28">
        <f>truckzone[[#This Row],[PZAS]]*truckzone[[#This Row],[PRECIO $ C/U]]*COTIZACION!$I$135</f>
        <v>800</v>
      </c>
      <c r="AZ95" s="2">
        <v>2</v>
      </c>
      <c r="BA95" t="s">
        <v>248</v>
      </c>
      <c r="BB95" s="40" t="s">
        <v>89</v>
      </c>
    </row>
    <row r="96" spans="2:54">
      <c r="B96" s="46">
        <v>1</v>
      </c>
      <c r="C96" s="24" t="s">
        <v>82</v>
      </c>
      <c r="D96" s="24" t="str">
        <f>CONCATENATE(ACERO1[[#This Row],[TIPO]]," ",ACERO1[[#This Row],[NUM. DE EJES]]," ",ACERO1[[#This Row],[LARGO]])</f>
        <v>PLATAFORMA 3 48 FT</v>
      </c>
      <c r="E96" s="24" t="s">
        <v>175</v>
      </c>
      <c r="F96" s="29">
        <v>3768</v>
      </c>
      <c r="G96" s="29">
        <f>PRODUCTOS!$B96*PRODUCTOS!$F96*COTIZACION!$I$135</f>
        <v>3768</v>
      </c>
      <c r="H96" s="49">
        <v>3</v>
      </c>
      <c r="I96" s="49" t="s">
        <v>176</v>
      </c>
      <c r="J96" s="30" t="s">
        <v>87</v>
      </c>
      <c r="K96" s="47"/>
      <c r="M96">
        <v>1</v>
      </c>
      <c r="N96" t="s">
        <v>82</v>
      </c>
      <c r="O96" t="str">
        <f>CONCATENATE(extras[[#This Row],[TIPO]]," ",extras[[#This Row],[NUM. DE EJES]]," ",extras[[#This Row],[LARGO]])</f>
        <v>PLATAFORMA 2 35 FT</v>
      </c>
      <c r="P96" t="s">
        <v>70</v>
      </c>
      <c r="Q96" t="s">
        <v>91</v>
      </c>
      <c r="R96" s="6">
        <v>3744</v>
      </c>
      <c r="S96" s="7">
        <f>extras[[#This Row],[PZAS]]*extras[[#This Row],[PRECIO $ C/U]]*COTIZACION!$I$135</f>
        <v>3744</v>
      </c>
      <c r="T96" s="2">
        <v>2</v>
      </c>
      <c r="U96" t="s">
        <v>248</v>
      </c>
      <c r="X96">
        <v>6</v>
      </c>
      <c r="Y96" t="s">
        <v>4</v>
      </c>
      <c r="Z96" t="str">
        <f>CONCATENATE(otros[[#This Row],[TIPO]]," ",otros[[#This Row],[NUM. DE EJES]]," ",otros[[#This Row],[LARGO]])</f>
        <v>DOLLY 2 3.5 FT</v>
      </c>
      <c r="AA96" t="s">
        <v>232</v>
      </c>
      <c r="AB96" s="6">
        <v>393</v>
      </c>
      <c r="AC96" s="28">
        <f>otros[[#This Row],[PZAS]]*otros[[#This Row],[PRECIO $ C/U]]*COTIZACION!$I$135</f>
        <v>2358</v>
      </c>
      <c r="AD96" s="2">
        <v>2</v>
      </c>
      <c r="AE96" t="s">
        <v>276</v>
      </c>
      <c r="AF96" s="16" t="s">
        <v>90</v>
      </c>
      <c r="AI96">
        <v>2.4</v>
      </c>
      <c r="AJ96" t="s">
        <v>82</v>
      </c>
      <c r="AK96" t="str">
        <f>CONCATENATE(piramide[[#This Row],[TIPO]]," ",piramide[[#This Row],[NUM. DE EJES]]," ",piramide[[#This Row],[LARGO]])</f>
        <v>PLATAFORMA 2 48 FT</v>
      </c>
      <c r="AL96" t="s">
        <v>181</v>
      </c>
      <c r="AM96" s="6">
        <v>6130</v>
      </c>
      <c r="AN96" s="28">
        <f>piramide[[#This Row],[PZAS]]*piramide[[#This Row],[PRECIO $ C/U]]*COTIZACION!$I$135</f>
        <v>14712</v>
      </c>
      <c r="AO96" s="2">
        <v>2</v>
      </c>
      <c r="AP96" t="s">
        <v>176</v>
      </c>
      <c r="AQ96" t="s">
        <v>88</v>
      </c>
      <c r="AT96">
        <v>2</v>
      </c>
      <c r="AU96" t="s">
        <v>82</v>
      </c>
      <c r="AV96" t="str">
        <f>CONCATENATE(truckzone[[#This Row],[TIPO]]," ",truckzone[[#This Row],[NUM. DE EJES]]," ",truckzone[[#This Row],[LARGO]])</f>
        <v>PLATAFORMA 2 35 FT</v>
      </c>
      <c r="AW96" t="s">
        <v>48</v>
      </c>
      <c r="AX96" s="6">
        <v>986</v>
      </c>
      <c r="AY96" s="28">
        <f>truckzone[[#This Row],[PZAS]]*truckzone[[#This Row],[PRECIO $ C/U]]*COTIZACION!$I$135</f>
        <v>1972</v>
      </c>
      <c r="AZ96" s="2">
        <v>2</v>
      </c>
      <c r="BA96" t="s">
        <v>248</v>
      </c>
      <c r="BB96" s="40" t="s">
        <v>89</v>
      </c>
    </row>
    <row r="97" spans="2:54">
      <c r="B97" s="41">
        <v>1</v>
      </c>
      <c r="C97" s="42" t="s">
        <v>4</v>
      </c>
      <c r="D97" s="24" t="str">
        <f>CONCATENATE(ACERO1[[#This Row],[TIPO]]," ",ACERO1[[#This Row],[NUM. DE EJES]]," ",ACERO1[[#This Row],[LARGO]])</f>
        <v>DOLLY 2 3.5 FT</v>
      </c>
      <c r="E97" s="42" t="s">
        <v>197</v>
      </c>
      <c r="F97" s="43"/>
      <c r="G97" s="43">
        <f>PRODUCTOS!$B97*PRODUCTOS!$F97*COTIZACION!$I$135</f>
        <v>0</v>
      </c>
      <c r="H97" s="49">
        <v>2</v>
      </c>
      <c r="I97" s="49" t="s">
        <v>276</v>
      </c>
      <c r="J97" s="44" t="s">
        <v>87</v>
      </c>
      <c r="K97" s="45"/>
      <c r="M97">
        <v>1</v>
      </c>
      <c r="N97" t="s">
        <v>82</v>
      </c>
      <c r="O97" t="str">
        <f>CONCATENATE(extras[[#This Row],[TIPO]]," ",extras[[#This Row],[NUM. DE EJES]]," ",extras[[#This Row],[LARGO]])</f>
        <v>PLATAFORMA 2 35 FT</v>
      </c>
      <c r="P97" t="s">
        <v>131</v>
      </c>
      <c r="Q97" t="s">
        <v>91</v>
      </c>
      <c r="R97" s="6">
        <v>6240</v>
      </c>
      <c r="S97" s="7">
        <f>extras[[#This Row],[PZAS]]*extras[[#This Row],[PRECIO $ C/U]]*COTIZACION!$I$135</f>
        <v>6240</v>
      </c>
      <c r="T97" s="2">
        <v>2</v>
      </c>
      <c r="U97" t="s">
        <v>248</v>
      </c>
      <c r="X97">
        <v>1</v>
      </c>
      <c r="Y97" t="s">
        <v>4</v>
      </c>
      <c r="Z97" t="str">
        <f>CONCATENATE(otros[[#This Row],[TIPO]]," ",otros[[#This Row],[NUM. DE EJES]]," ",otros[[#This Row],[LARGO]])</f>
        <v>DOLLY 2 3.5 FT</v>
      </c>
      <c r="AA97" t="s">
        <v>233</v>
      </c>
      <c r="AB97" s="6">
        <v>1500</v>
      </c>
      <c r="AC97" s="28">
        <f>otros[[#This Row],[PZAS]]*otros[[#This Row],[PRECIO $ C/U]]*COTIZACION!$I$135</f>
        <v>1500</v>
      </c>
      <c r="AD97" s="2">
        <v>2</v>
      </c>
      <c r="AE97" t="s">
        <v>276</v>
      </c>
      <c r="AF97" s="16" t="s">
        <v>90</v>
      </c>
      <c r="AI97">
        <v>1.8</v>
      </c>
      <c r="AJ97" t="s">
        <v>82</v>
      </c>
      <c r="AK97" t="str">
        <f>CONCATENATE(piramide[[#This Row],[TIPO]]," ",piramide[[#This Row],[NUM. DE EJES]]," ",piramide[[#This Row],[LARGO]])</f>
        <v>PLATAFORMA 2 48 FT</v>
      </c>
      <c r="AL97" t="s">
        <v>182</v>
      </c>
      <c r="AM97" s="6">
        <v>245</v>
      </c>
      <c r="AN97" s="28">
        <f>piramide[[#This Row],[PZAS]]*piramide[[#This Row],[PRECIO $ C/U]]*COTIZACION!$I$135</f>
        <v>441</v>
      </c>
      <c r="AO97" s="2">
        <v>2</v>
      </c>
      <c r="AP97" t="s">
        <v>176</v>
      </c>
      <c r="AQ97" t="s">
        <v>88</v>
      </c>
      <c r="AT97">
        <v>2</v>
      </c>
      <c r="AU97" t="s">
        <v>82</v>
      </c>
      <c r="AV97" t="str">
        <f>CONCATENATE(truckzone[[#This Row],[TIPO]]," ",truckzone[[#This Row],[NUM. DE EJES]]," ",truckzone[[#This Row],[LARGO]])</f>
        <v>PLATAFORMA 2 35 FT</v>
      </c>
      <c r="AW97" t="s">
        <v>191</v>
      </c>
      <c r="AX97" s="6">
        <v>23118</v>
      </c>
      <c r="AY97" s="28">
        <f>truckzone[[#This Row],[PZAS]]*truckzone[[#This Row],[PRECIO $ C/U]]*COTIZACION!$I$135</f>
        <v>46236</v>
      </c>
      <c r="AZ97" s="2">
        <v>2</v>
      </c>
      <c r="BA97" t="s">
        <v>248</v>
      </c>
      <c r="BB97" s="40" t="s">
        <v>89</v>
      </c>
    </row>
    <row r="98" spans="2:54">
      <c r="B98" s="46">
        <v>1.3</v>
      </c>
      <c r="C98" s="24" t="s">
        <v>4</v>
      </c>
      <c r="D98" s="24" t="str">
        <f>CONCATENATE(ACERO1[[#This Row],[TIPO]]," ",ACERO1[[#This Row],[NUM. DE EJES]]," ",ACERO1[[#This Row],[LARGO]])</f>
        <v>DOLLY 2 3.5 FT</v>
      </c>
      <c r="E98" s="24" t="s">
        <v>198</v>
      </c>
      <c r="F98" s="29"/>
      <c r="G98" s="29">
        <f>PRODUCTOS!$B98*PRODUCTOS!$F98*COTIZACION!$I$135</f>
        <v>0</v>
      </c>
      <c r="H98" s="49">
        <v>2</v>
      </c>
      <c r="I98" s="49" t="s">
        <v>276</v>
      </c>
      <c r="J98" s="30" t="s">
        <v>87</v>
      </c>
      <c r="K98" s="47"/>
      <c r="M98">
        <v>1</v>
      </c>
      <c r="N98" t="s">
        <v>82</v>
      </c>
      <c r="O98" t="str">
        <f>CONCATENATE(extras[[#This Row],[TIPO]]," ",extras[[#This Row],[NUM. DE EJES]]," ",extras[[#This Row],[LARGO]])</f>
        <v>PLATAFORMA 2 35 FT</v>
      </c>
      <c r="P98" t="s">
        <v>72</v>
      </c>
      <c r="Q98" t="s">
        <v>91</v>
      </c>
      <c r="R98" s="6">
        <v>6240</v>
      </c>
      <c r="S98" s="7">
        <f>extras[[#This Row],[PZAS]]*extras[[#This Row],[PRECIO $ C/U]]*COTIZACION!$I$135</f>
        <v>6240</v>
      </c>
      <c r="T98" s="2">
        <v>2</v>
      </c>
      <c r="U98" t="s">
        <v>248</v>
      </c>
      <c r="X98">
        <v>1</v>
      </c>
      <c r="Y98" t="s">
        <v>4</v>
      </c>
      <c r="Z98" t="str">
        <f>CONCATENATE(otros[[#This Row],[TIPO]]," ",otros[[#This Row],[NUM. DE EJES]]," ",otros[[#This Row],[LARGO]])</f>
        <v>DOLLY 2 3.5 FT</v>
      </c>
      <c r="AA98" t="s">
        <v>234</v>
      </c>
      <c r="AB98" s="6">
        <v>8000</v>
      </c>
      <c r="AC98" s="28">
        <f>otros[[#This Row],[PZAS]]*otros[[#This Row],[PRECIO $ C/U]]*COTIZACION!$I$135</f>
        <v>8000</v>
      </c>
      <c r="AD98" s="2">
        <v>2</v>
      </c>
      <c r="AE98" t="s">
        <v>276</v>
      </c>
      <c r="AF98" s="16" t="s">
        <v>90</v>
      </c>
      <c r="AI98">
        <v>8.4</v>
      </c>
      <c r="AJ98" t="s">
        <v>82</v>
      </c>
      <c r="AK98" t="str">
        <f>CONCATENATE(piramide[[#This Row],[TIPO]]," ",piramide[[#This Row],[NUM. DE EJES]]," ",piramide[[#This Row],[LARGO]])</f>
        <v>PLATAFORMA 2 48 FT</v>
      </c>
      <c r="AL98" t="s">
        <v>183</v>
      </c>
      <c r="AM98" s="6">
        <v>953.5</v>
      </c>
      <c r="AN98" s="28">
        <f>piramide[[#This Row],[PZAS]]*piramide[[#This Row],[PRECIO $ C/U]]*COTIZACION!$I$135</f>
        <v>8009.4000000000005</v>
      </c>
      <c r="AO98" s="2">
        <v>2</v>
      </c>
      <c r="AP98" t="s">
        <v>176</v>
      </c>
      <c r="AQ98" t="s">
        <v>88</v>
      </c>
      <c r="AT98">
        <v>2</v>
      </c>
      <c r="AU98" t="s">
        <v>82</v>
      </c>
      <c r="AV98" t="str">
        <f>CONCATENATE(truckzone[[#This Row],[TIPO]]," ",truckzone[[#This Row],[NUM. DE EJES]]," ",truckzone[[#This Row],[LARGO]])</f>
        <v>PLATAFORMA 2 35 FT</v>
      </c>
      <c r="AW98" t="s">
        <v>192</v>
      </c>
      <c r="AX98" s="6">
        <v>24421.05</v>
      </c>
      <c r="AY98" s="28">
        <f>truckzone[[#This Row],[PZAS]]*truckzone[[#This Row],[PRECIO $ C/U]]*COTIZACION!$I$135</f>
        <v>48842.1</v>
      </c>
      <c r="AZ98" s="2">
        <v>2</v>
      </c>
      <c r="BA98" t="s">
        <v>248</v>
      </c>
      <c r="BB98" s="40" t="s">
        <v>89</v>
      </c>
    </row>
    <row r="99" spans="2:54">
      <c r="B99" s="41">
        <v>1</v>
      </c>
      <c r="C99" s="42" t="s">
        <v>4</v>
      </c>
      <c r="D99" s="24" t="str">
        <f>CONCATENATE(ACERO1[[#This Row],[TIPO]]," ",ACERO1[[#This Row],[NUM. DE EJES]]," ",ACERO1[[#This Row],[LARGO]])</f>
        <v>DOLLY 2 3.5 FT</v>
      </c>
      <c r="E99" s="42" t="s">
        <v>199</v>
      </c>
      <c r="F99" s="43"/>
      <c r="G99" s="43">
        <f>PRODUCTOS!$B99*PRODUCTOS!$F99*COTIZACION!$I$135</f>
        <v>0</v>
      </c>
      <c r="H99" s="49">
        <v>2</v>
      </c>
      <c r="I99" s="49" t="s">
        <v>276</v>
      </c>
      <c r="J99" s="44" t="s">
        <v>87</v>
      </c>
      <c r="K99" s="45"/>
      <c r="M99">
        <v>1</v>
      </c>
      <c r="N99" t="s">
        <v>82</v>
      </c>
      <c r="O99" t="str">
        <f>CONCATENATE(extras[[#This Row],[TIPO]]," ",extras[[#This Row],[NUM. DE EJES]]," ",extras[[#This Row],[LARGO]])</f>
        <v>PLATAFORMA 2 35 FT</v>
      </c>
      <c r="P99" t="s">
        <v>132</v>
      </c>
      <c r="Q99" t="s">
        <v>91</v>
      </c>
      <c r="R99" s="6">
        <v>5450</v>
      </c>
      <c r="S99" s="7">
        <f>extras[[#This Row],[PZAS]]*extras[[#This Row],[PRECIO $ C/U]]*COTIZACION!$I$135</f>
        <v>5450</v>
      </c>
      <c r="T99" s="2">
        <v>2</v>
      </c>
      <c r="U99" t="s">
        <v>248</v>
      </c>
      <c r="X99">
        <v>1</v>
      </c>
      <c r="Y99" t="s">
        <v>4</v>
      </c>
      <c r="Z99" t="str">
        <f>CONCATENATE(otros[[#This Row],[TIPO]]," ",otros[[#This Row],[NUM. DE EJES]]," ",otros[[#This Row],[LARGO]])</f>
        <v>DOLLY 2 3.5 FT</v>
      </c>
      <c r="AA99" t="s">
        <v>163</v>
      </c>
      <c r="AB99" s="6">
        <v>15000</v>
      </c>
      <c r="AC99" s="28">
        <f>otros[[#This Row],[PZAS]]*otros[[#This Row],[PRECIO $ C/U]]*COTIZACION!$I$135</f>
        <v>15000</v>
      </c>
      <c r="AD99" s="2">
        <v>2</v>
      </c>
      <c r="AE99" t="s">
        <v>276</v>
      </c>
      <c r="AF99" s="16" t="s">
        <v>90</v>
      </c>
      <c r="AI99">
        <v>0.5</v>
      </c>
      <c r="AJ99" t="s">
        <v>82</v>
      </c>
      <c r="AK99" t="str">
        <f>CONCATENATE(piramide[[#This Row],[TIPO]]," ",piramide[[#This Row],[NUM. DE EJES]]," ",piramide[[#This Row],[LARGO]])</f>
        <v>PLATAFORMA 2 48 FT</v>
      </c>
      <c r="AL99" t="s">
        <v>184</v>
      </c>
      <c r="AM99" s="6">
        <v>1907</v>
      </c>
      <c r="AN99" s="28">
        <f>piramide[[#This Row],[PZAS]]*piramide[[#This Row],[PRECIO $ C/U]]*COTIZACION!$I$135</f>
        <v>953.5</v>
      </c>
      <c r="AO99" s="2">
        <v>2</v>
      </c>
      <c r="AP99" t="s">
        <v>176</v>
      </c>
      <c r="AQ99" t="s">
        <v>88</v>
      </c>
      <c r="AT99">
        <v>2</v>
      </c>
      <c r="AU99" t="s">
        <v>82</v>
      </c>
      <c r="AV99" t="str">
        <f>CONCATENATE(truckzone[[#This Row],[TIPO]]," ",truckzone[[#This Row],[NUM. DE EJES]]," ",truckzone[[#This Row],[LARGO]])</f>
        <v>PLATAFORMA 2 35 FT</v>
      </c>
      <c r="AW99" t="s">
        <v>193</v>
      </c>
      <c r="AX99" s="6">
        <v>6206</v>
      </c>
      <c r="AY99" s="28">
        <f>truckzone[[#This Row],[PZAS]]*truckzone[[#This Row],[PRECIO $ C/U]]*COTIZACION!$I$135</f>
        <v>12412</v>
      </c>
      <c r="AZ99" s="2">
        <v>2</v>
      </c>
      <c r="BA99" t="s">
        <v>248</v>
      </c>
      <c r="BB99" s="40" t="s">
        <v>89</v>
      </c>
    </row>
    <row r="100" spans="2:54">
      <c r="B100" s="46">
        <v>2.2000000000000002</v>
      </c>
      <c r="C100" s="24" t="s">
        <v>4</v>
      </c>
      <c r="D100" s="24" t="str">
        <f>CONCATENATE(ACERO1[[#This Row],[TIPO]]," ",ACERO1[[#This Row],[NUM. DE EJES]]," ",ACERO1[[#This Row],[LARGO]])</f>
        <v>DOLLY 2 3.5 FT</v>
      </c>
      <c r="E100" s="24" t="s">
        <v>200</v>
      </c>
      <c r="F100" s="29"/>
      <c r="G100" s="29">
        <f>PRODUCTOS!$B100*PRODUCTOS!$F100*COTIZACION!$I$135</f>
        <v>0</v>
      </c>
      <c r="H100" s="49">
        <v>2</v>
      </c>
      <c r="I100" s="49" t="s">
        <v>276</v>
      </c>
      <c r="J100" s="30" t="s">
        <v>87</v>
      </c>
      <c r="K100" s="47"/>
      <c r="M100">
        <v>1</v>
      </c>
      <c r="N100" t="s">
        <v>82</v>
      </c>
      <c r="O100" t="str">
        <f>CONCATENATE(extras[[#This Row],[TIPO]]," ",extras[[#This Row],[NUM. DE EJES]]," ",extras[[#This Row],[LARGO]])</f>
        <v>PLATAFORMA 2 35 FT</v>
      </c>
      <c r="P100" t="s">
        <v>133</v>
      </c>
      <c r="Q100" t="s">
        <v>91</v>
      </c>
      <c r="R100" s="6">
        <v>2300</v>
      </c>
      <c r="S100" s="7">
        <f>extras[[#This Row],[PZAS]]*extras[[#This Row],[PRECIO $ C/U]]*COTIZACION!$I$135</f>
        <v>2300</v>
      </c>
      <c r="T100" s="2">
        <v>2</v>
      </c>
      <c r="U100" t="s">
        <v>248</v>
      </c>
      <c r="X100">
        <v>1</v>
      </c>
      <c r="Y100" t="s">
        <v>4</v>
      </c>
      <c r="Z100" t="str">
        <f>CONCATENATE(otros[[#This Row],[TIPO]]," ",otros[[#This Row],[NUM. DE EJES]]," ",otros[[#This Row],[LARGO]])</f>
        <v>DOLLY 2 3.5 FT</v>
      </c>
      <c r="AA100" t="s">
        <v>235</v>
      </c>
      <c r="AB100" s="6">
        <v>300</v>
      </c>
      <c r="AC100" s="28">
        <f>otros[[#This Row],[PZAS]]*otros[[#This Row],[PRECIO $ C/U]]*COTIZACION!$I$135</f>
        <v>300</v>
      </c>
      <c r="AD100" s="2">
        <v>2</v>
      </c>
      <c r="AE100" t="s">
        <v>276</v>
      </c>
      <c r="AF100" s="16" t="s">
        <v>90</v>
      </c>
      <c r="AI100">
        <v>0.1</v>
      </c>
      <c r="AJ100" t="s">
        <v>82</v>
      </c>
      <c r="AK100" t="str">
        <f>CONCATENATE(piramide[[#This Row],[TIPO]]," ",piramide[[#This Row],[NUM. DE EJES]]," ",piramide[[#This Row],[LARGO]])</f>
        <v>PLATAFORMA 2 48 FT</v>
      </c>
      <c r="AL100" t="s">
        <v>185</v>
      </c>
      <c r="AM100" s="6">
        <v>999</v>
      </c>
      <c r="AN100" s="28">
        <f>piramide[[#This Row],[PZAS]]*piramide[[#This Row],[PRECIO $ C/U]]*COTIZACION!$I$135</f>
        <v>99.9</v>
      </c>
      <c r="AO100" s="2">
        <v>2</v>
      </c>
      <c r="AP100" t="s">
        <v>176</v>
      </c>
      <c r="AQ100" t="s">
        <v>88</v>
      </c>
      <c r="AT100">
        <v>10</v>
      </c>
      <c r="AU100" t="s">
        <v>82</v>
      </c>
      <c r="AV100" t="str">
        <f>CONCATENATE(truckzone[[#This Row],[TIPO]]," ",truckzone[[#This Row],[NUM. DE EJES]]," ",truckzone[[#This Row],[LARGO]])</f>
        <v>PLATAFORMA 2 35 FT</v>
      </c>
      <c r="AW100" t="s">
        <v>194</v>
      </c>
      <c r="AX100" s="6">
        <v>418</v>
      </c>
      <c r="AY100" s="28">
        <f>truckzone[[#This Row],[PZAS]]*truckzone[[#This Row],[PRECIO $ C/U]]*COTIZACION!$I$135</f>
        <v>4180</v>
      </c>
      <c r="AZ100" s="2">
        <v>2</v>
      </c>
      <c r="BA100" t="s">
        <v>248</v>
      </c>
      <c r="BB100" s="40" t="s">
        <v>89</v>
      </c>
    </row>
    <row r="101" spans="2:54">
      <c r="B101" s="41">
        <v>1</v>
      </c>
      <c r="C101" s="42" t="s">
        <v>4</v>
      </c>
      <c r="D101" s="24" t="str">
        <f>CONCATENATE(ACERO1[[#This Row],[TIPO]]," ",ACERO1[[#This Row],[NUM. DE EJES]]," ",ACERO1[[#This Row],[LARGO]])</f>
        <v>DOLLY 2 3.5 FT</v>
      </c>
      <c r="E101" s="42" t="s">
        <v>201</v>
      </c>
      <c r="F101" s="43"/>
      <c r="G101" s="43">
        <f>PRODUCTOS!$B101*PRODUCTOS!$F101*COTIZACION!$I$135</f>
        <v>0</v>
      </c>
      <c r="H101" s="49">
        <v>2</v>
      </c>
      <c r="I101" s="49" t="s">
        <v>276</v>
      </c>
      <c r="J101" s="44" t="s">
        <v>87</v>
      </c>
      <c r="K101" s="45"/>
      <c r="M101">
        <v>1</v>
      </c>
      <c r="N101" t="s">
        <v>82</v>
      </c>
      <c r="O101" t="str">
        <f>CONCATENATE(extras[[#This Row],[TIPO]]," ",extras[[#This Row],[NUM. DE EJES]]," ",extras[[#This Row],[LARGO]])</f>
        <v>PLATAFORMA 2 35 FT</v>
      </c>
      <c r="P101" t="s">
        <v>63</v>
      </c>
      <c r="Q101" t="s">
        <v>91</v>
      </c>
      <c r="R101" s="6">
        <v>33000</v>
      </c>
      <c r="S101" s="7">
        <f>extras[[#This Row],[PZAS]]*extras[[#This Row],[PRECIO $ C/U]]*COTIZACION!$I$135</f>
        <v>33000</v>
      </c>
      <c r="T101" s="2">
        <v>2</v>
      </c>
      <c r="U101" t="s">
        <v>248</v>
      </c>
      <c r="X101">
        <v>1</v>
      </c>
      <c r="Y101" t="s">
        <v>4</v>
      </c>
      <c r="Z101" t="str">
        <f>CONCATENATE(otros[[#This Row],[TIPO]]," ",otros[[#This Row],[NUM. DE EJES]]," ",otros[[#This Row],[LARGO]])</f>
        <v>DOLLY 2 3.5 FT</v>
      </c>
      <c r="AA101" t="s">
        <v>236</v>
      </c>
      <c r="AB101" s="6">
        <v>800</v>
      </c>
      <c r="AC101" s="28">
        <f>otros[[#This Row],[PZAS]]*otros[[#This Row],[PRECIO $ C/U]]*COTIZACION!$I$135</f>
        <v>800</v>
      </c>
      <c r="AD101" s="2">
        <v>2</v>
      </c>
      <c r="AE101" t="s">
        <v>276</v>
      </c>
      <c r="AF101" s="16" t="s">
        <v>90</v>
      </c>
      <c r="AI101">
        <v>0.6</v>
      </c>
      <c r="AJ101" t="s">
        <v>82</v>
      </c>
      <c r="AK101" t="str">
        <f>CONCATENATE(piramide[[#This Row],[TIPO]]," ",piramide[[#This Row],[NUM. DE EJES]]," ",piramide[[#This Row],[LARGO]])</f>
        <v>PLATAFORMA 2 48 FT</v>
      </c>
      <c r="AL101" t="s">
        <v>186</v>
      </c>
      <c r="AM101" s="6">
        <v>415</v>
      </c>
      <c r="AN101" s="28">
        <f>piramide[[#This Row],[PZAS]]*piramide[[#This Row],[PRECIO $ C/U]]*COTIZACION!$I$135</f>
        <v>249</v>
      </c>
      <c r="AO101" s="2">
        <v>2</v>
      </c>
      <c r="AP101" t="s">
        <v>176</v>
      </c>
      <c r="AQ101" t="s">
        <v>88</v>
      </c>
      <c r="AT101">
        <v>1</v>
      </c>
      <c r="AU101" t="s">
        <v>82</v>
      </c>
      <c r="AV101" t="str">
        <f>CONCATENATE(truckzone[[#This Row],[TIPO]]," ",truckzone[[#This Row],[NUM. DE EJES]]," ",truckzone[[#This Row],[LARGO]])</f>
        <v>PLATAFORMA 2 35 FT</v>
      </c>
      <c r="AW101" t="s">
        <v>247</v>
      </c>
      <c r="AX101" s="26">
        <v>27000</v>
      </c>
      <c r="AY101" s="36">
        <f>truckzone[[#This Row],[PZAS]]*truckzone[[#This Row],[PRECIO $ C/U]]*COTIZACION!$I$135</f>
        <v>27000</v>
      </c>
      <c r="AZ101" s="2">
        <v>2</v>
      </c>
      <c r="BA101" t="s">
        <v>248</v>
      </c>
      <c r="BB101" s="40" t="s">
        <v>89</v>
      </c>
    </row>
    <row r="102" spans="2:54">
      <c r="B102" s="46">
        <v>2</v>
      </c>
      <c r="C102" s="24" t="s">
        <v>4</v>
      </c>
      <c r="D102" s="24" t="str">
        <f>CONCATENATE(ACERO1[[#This Row],[TIPO]]," ",ACERO1[[#This Row],[NUM. DE EJES]]," ",ACERO1[[#This Row],[LARGO]])</f>
        <v>DOLLY 2 3.5 FT</v>
      </c>
      <c r="E102" s="24" t="s">
        <v>202</v>
      </c>
      <c r="F102" s="29"/>
      <c r="G102" s="29">
        <f>PRODUCTOS!$B102*PRODUCTOS!$F102*COTIZACION!$I$135</f>
        <v>0</v>
      </c>
      <c r="H102" s="49">
        <v>2</v>
      </c>
      <c r="I102" s="49" t="s">
        <v>276</v>
      </c>
      <c r="J102" s="30" t="s">
        <v>87</v>
      </c>
      <c r="K102" s="47"/>
      <c r="M102">
        <v>1</v>
      </c>
      <c r="N102" t="s">
        <v>82</v>
      </c>
      <c r="O102" t="str">
        <f>CONCATENATE(extras[[#This Row],[TIPO]]," ",extras[[#This Row],[NUM. DE EJES]]," ",extras[[#This Row],[LARGO]])</f>
        <v>PLATAFORMA 2 35 FT</v>
      </c>
      <c r="P102" t="s">
        <v>64</v>
      </c>
      <c r="Q102" t="s">
        <v>91</v>
      </c>
      <c r="R102" s="6">
        <v>15000</v>
      </c>
      <c r="S102" s="7">
        <f>extras[[#This Row],[PZAS]]*extras[[#This Row],[PRECIO $ C/U]]*COTIZACION!$I$135</f>
        <v>15000</v>
      </c>
      <c r="T102" s="2">
        <v>2</v>
      </c>
      <c r="U102" t="s">
        <v>248</v>
      </c>
      <c r="X102">
        <v>1</v>
      </c>
      <c r="Y102" t="s">
        <v>4</v>
      </c>
      <c r="Z102" t="str">
        <f>CONCATENATE(otros[[#This Row],[TIPO]]," ",otros[[#This Row],[NUM. DE EJES]]," ",otros[[#This Row],[LARGO]])</f>
        <v>DOLLY 2 3.5 FT</v>
      </c>
      <c r="AA102" t="s">
        <v>237</v>
      </c>
      <c r="AB102" s="6">
        <v>2000</v>
      </c>
      <c r="AC102" s="28">
        <f>otros[[#This Row],[PZAS]]*otros[[#This Row],[PRECIO $ C/U]]*COTIZACION!$I$135</f>
        <v>2000</v>
      </c>
      <c r="AD102" s="2">
        <v>2</v>
      </c>
      <c r="AE102" t="s">
        <v>276</v>
      </c>
      <c r="AF102" s="16" t="s">
        <v>90</v>
      </c>
      <c r="AI102">
        <v>0.2</v>
      </c>
      <c r="AJ102" t="s">
        <v>82</v>
      </c>
      <c r="AK102" t="str">
        <f>CONCATENATE(piramide[[#This Row],[TIPO]]," ",piramide[[#This Row],[NUM. DE EJES]]," ",piramide[[#This Row],[LARGO]])</f>
        <v>PLATAFORMA 2 48 FT</v>
      </c>
      <c r="AL102" t="s">
        <v>187</v>
      </c>
      <c r="AM102" s="6">
        <v>360</v>
      </c>
      <c r="AN102" s="28">
        <f>piramide[[#This Row],[PZAS]]*piramide[[#This Row],[PRECIO $ C/U]]*COTIZACION!$I$135</f>
        <v>72</v>
      </c>
      <c r="AO102" s="2">
        <v>2</v>
      </c>
      <c r="AP102" t="s">
        <v>176</v>
      </c>
      <c r="AQ102" t="s">
        <v>88</v>
      </c>
    </row>
    <row r="103" spans="2:54">
      <c r="B103" s="41">
        <v>2</v>
      </c>
      <c r="C103" s="42" t="s">
        <v>4</v>
      </c>
      <c r="D103" s="24" t="str">
        <f>CONCATENATE(ACERO1[[#This Row],[TIPO]]," ",ACERO1[[#This Row],[NUM. DE EJES]]," ",ACERO1[[#This Row],[LARGO]])</f>
        <v>DOLLY 2 3.5 FT</v>
      </c>
      <c r="E103" s="42" t="s">
        <v>203</v>
      </c>
      <c r="F103" s="43"/>
      <c r="G103" s="43">
        <f>PRODUCTOS!$B103*PRODUCTOS!$F103*COTIZACION!$I$135</f>
        <v>0</v>
      </c>
      <c r="H103" s="49">
        <v>2</v>
      </c>
      <c r="I103" s="49" t="s">
        <v>276</v>
      </c>
      <c r="J103" s="44" t="s">
        <v>87</v>
      </c>
      <c r="K103" s="45"/>
      <c r="M103">
        <v>0</v>
      </c>
      <c r="N103" t="s">
        <v>82</v>
      </c>
      <c r="O103" t="str">
        <f>CONCATENATE(extras[[#This Row],[TIPO]]," ",extras[[#This Row],[NUM. DE EJES]]," ",extras[[#This Row],[LARGO]])</f>
        <v>PLATAFORMA 2 35 FT</v>
      </c>
      <c r="P103" t="s">
        <v>153</v>
      </c>
      <c r="Q103" t="s">
        <v>91</v>
      </c>
      <c r="R103" s="6">
        <v>15000</v>
      </c>
      <c r="S103" s="7">
        <f>extras[[#This Row],[PZAS]]*extras[[#This Row],[PRECIO $ C/U]]*COTIZACION!$I$135</f>
        <v>0</v>
      </c>
      <c r="T103" s="2">
        <v>2</v>
      </c>
      <c r="U103" t="s">
        <v>248</v>
      </c>
      <c r="X103">
        <v>1</v>
      </c>
      <c r="Y103" t="s">
        <v>4</v>
      </c>
      <c r="Z103" t="str">
        <f>CONCATENATE(otros[[#This Row],[TIPO]]," ",otros[[#This Row],[NUM. DE EJES]]," ",otros[[#This Row],[LARGO]])</f>
        <v>DOLLY 2 3.5 FT</v>
      </c>
      <c r="AA103" t="s">
        <v>0</v>
      </c>
      <c r="AB103" s="6">
        <v>15000</v>
      </c>
      <c r="AC103" s="28">
        <f>otros[[#This Row],[PZAS]]*otros[[#This Row],[PRECIO $ C/U]]*COTIZACION!$I$135</f>
        <v>15000</v>
      </c>
      <c r="AD103" s="2">
        <v>2</v>
      </c>
      <c r="AE103" t="s">
        <v>276</v>
      </c>
      <c r="AF103" s="16" t="s">
        <v>90</v>
      </c>
      <c r="AI103">
        <v>0.2</v>
      </c>
      <c r="AJ103" t="s">
        <v>82</v>
      </c>
      <c r="AK103" t="str">
        <f>CONCATENATE(piramide[[#This Row],[TIPO]]," ",piramide[[#This Row],[NUM. DE EJES]]," ",piramide[[#This Row],[LARGO]])</f>
        <v>PLATAFORMA 2 48 FT</v>
      </c>
      <c r="AL103" t="s">
        <v>188</v>
      </c>
      <c r="AM103" s="6">
        <v>917</v>
      </c>
      <c r="AN103" s="28">
        <f>piramide[[#This Row],[PZAS]]*piramide[[#This Row],[PRECIO $ C/U]]*COTIZACION!$I$135</f>
        <v>183.4</v>
      </c>
      <c r="AO103" s="2">
        <v>2</v>
      </c>
      <c r="AP103" t="s">
        <v>176</v>
      </c>
      <c r="AQ103" t="s">
        <v>88</v>
      </c>
    </row>
    <row r="104" spans="2:54">
      <c r="B104" s="46">
        <v>2</v>
      </c>
      <c r="C104" s="24" t="s">
        <v>4</v>
      </c>
      <c r="D104" s="24" t="str">
        <f>CONCATENATE(ACERO1[[#This Row],[TIPO]]," ",ACERO1[[#This Row],[NUM. DE EJES]]," ",ACERO1[[#This Row],[LARGO]])</f>
        <v>DOLLY 2 3.5 FT</v>
      </c>
      <c r="E104" s="24" t="s">
        <v>204</v>
      </c>
      <c r="F104" s="29"/>
      <c r="G104" s="29">
        <f>PRODUCTOS!$B104*PRODUCTOS!$F104*COTIZACION!$I$135</f>
        <v>0</v>
      </c>
      <c r="H104" s="49">
        <v>2</v>
      </c>
      <c r="I104" s="49" t="s">
        <v>276</v>
      </c>
      <c r="J104" s="30" t="s">
        <v>87</v>
      </c>
      <c r="K104" s="47"/>
      <c r="M104">
        <v>0</v>
      </c>
      <c r="N104" t="s">
        <v>82</v>
      </c>
      <c r="O104" t="str">
        <f>CONCATENATE(extras[[#This Row],[TIPO]]," ",extras[[#This Row],[NUM. DE EJES]]," ",extras[[#This Row],[LARGO]])</f>
        <v>PLATAFORMA 2 35 FT</v>
      </c>
      <c r="P104" t="s">
        <v>154</v>
      </c>
      <c r="Q104" t="s">
        <v>91</v>
      </c>
      <c r="R104" s="6"/>
      <c r="S104" s="7">
        <f>extras[[#This Row],[PZAS]]*extras[[#This Row],[PRECIO $ C/U]]*COTIZACION!$I$135</f>
        <v>0</v>
      </c>
      <c r="T104" s="2">
        <v>2</v>
      </c>
      <c r="U104" t="s">
        <v>248</v>
      </c>
      <c r="X104">
        <v>1</v>
      </c>
      <c r="Y104" t="s">
        <v>4</v>
      </c>
      <c r="Z104" t="str">
        <f>CONCATENATE(otros[[#This Row],[TIPO]]," ",otros[[#This Row],[NUM. DE EJES]]," ",otros[[#This Row],[LARGO]])</f>
        <v>DOLLY 2 3.5 FT</v>
      </c>
      <c r="AA104" t="s">
        <v>238</v>
      </c>
      <c r="AB104" s="6">
        <v>300</v>
      </c>
      <c r="AC104" s="28">
        <f>otros[[#This Row],[PZAS]]*otros[[#This Row],[PRECIO $ C/U]]*COTIZACION!$I$135</f>
        <v>300</v>
      </c>
      <c r="AD104" s="2">
        <v>2</v>
      </c>
      <c r="AE104" t="s">
        <v>276</v>
      </c>
      <c r="AF104" s="16" t="s">
        <v>90</v>
      </c>
      <c r="AI104">
        <v>0.875</v>
      </c>
      <c r="AJ104" t="s">
        <v>82</v>
      </c>
      <c r="AK104" t="str">
        <f>CONCATENATE(piramide[[#This Row],[TIPO]]," ",piramide[[#This Row],[NUM. DE EJES]]," ",piramide[[#This Row],[LARGO]])</f>
        <v>PLATAFORMA 2 35 FT</v>
      </c>
      <c r="AL104" t="s">
        <v>246</v>
      </c>
      <c r="AM104" s="6">
        <v>805.21</v>
      </c>
      <c r="AN104" s="28">
        <f>piramide[[#This Row],[PZAS]]*piramide[[#This Row],[PRECIO $ C/U]]*COTIZACION!$I$135</f>
        <v>704.55875000000003</v>
      </c>
      <c r="AO104" s="2">
        <v>2</v>
      </c>
      <c r="AP104" t="s">
        <v>248</v>
      </c>
      <c r="AQ104" t="s">
        <v>88</v>
      </c>
    </row>
    <row r="105" spans="2:54">
      <c r="B105" s="41">
        <v>1</v>
      </c>
      <c r="C105" s="42" t="s">
        <v>4</v>
      </c>
      <c r="D105" s="24" t="str">
        <f>CONCATENATE(ACERO1[[#This Row],[TIPO]]," ",ACERO1[[#This Row],[NUM. DE EJES]]," ",ACERO1[[#This Row],[LARGO]])</f>
        <v>DOLLY 2 3.5 FT</v>
      </c>
      <c r="E105" s="42" t="s">
        <v>205</v>
      </c>
      <c r="F105" s="43">
        <v>1753</v>
      </c>
      <c r="G105" s="43">
        <f>PRODUCTOS!$B105*PRODUCTOS!$F105*COTIZACION!$I$135</f>
        <v>1753</v>
      </c>
      <c r="H105" s="49">
        <v>2</v>
      </c>
      <c r="I105" s="49" t="s">
        <v>276</v>
      </c>
      <c r="J105" s="44" t="s">
        <v>87</v>
      </c>
      <c r="K105" s="45"/>
      <c r="M105">
        <v>0</v>
      </c>
      <c r="N105" t="s">
        <v>82</v>
      </c>
      <c r="O105" t="str">
        <f>CONCATENATE(extras[[#This Row],[TIPO]]," ",extras[[#This Row],[NUM. DE EJES]]," ",extras[[#This Row],[LARGO]])</f>
        <v>PLATAFORMA 2 35 FT</v>
      </c>
      <c r="P105" t="s">
        <v>157</v>
      </c>
      <c r="Q105" t="s">
        <v>91</v>
      </c>
      <c r="R105" s="6"/>
      <c r="S105" s="7">
        <f>extras[[#This Row],[PZAS]]*extras[[#This Row],[PRECIO $ C/U]]*COTIZACION!$I$135</f>
        <v>0</v>
      </c>
      <c r="T105" s="2">
        <v>2</v>
      </c>
      <c r="U105" t="s">
        <v>248</v>
      </c>
      <c r="X105">
        <v>1</v>
      </c>
      <c r="Y105" t="s">
        <v>4</v>
      </c>
      <c r="Z105" t="str">
        <f>CONCATENATE(otros[[#This Row],[TIPO]]," ",otros[[#This Row],[NUM. DE EJES]]," ",otros[[#This Row],[LARGO]])</f>
        <v>DOLLY 2 3.5 FT</v>
      </c>
      <c r="AA105" t="s">
        <v>239</v>
      </c>
      <c r="AB105" s="6">
        <v>1200</v>
      </c>
      <c r="AC105" s="28">
        <f>otros[[#This Row],[PZAS]]*otros[[#This Row],[PRECIO $ C/U]]*COTIZACION!$I$135</f>
        <v>1200</v>
      </c>
      <c r="AD105" s="2">
        <v>2</v>
      </c>
      <c r="AE105" t="s">
        <v>276</v>
      </c>
      <c r="AF105" s="16" t="s">
        <v>90</v>
      </c>
      <c r="AI105">
        <v>0.875</v>
      </c>
      <c r="AJ105" t="s">
        <v>82</v>
      </c>
      <c r="AK105" t="str">
        <f>CONCATENATE(piramide[[#This Row],[TIPO]]," ",piramide[[#This Row],[NUM. DE EJES]]," ",piramide[[#This Row],[LARGO]])</f>
        <v>PLATAFORMA 2 35 FT</v>
      </c>
      <c r="AL105" t="s">
        <v>178</v>
      </c>
      <c r="AM105" s="6">
        <v>26370</v>
      </c>
      <c r="AN105" s="28">
        <f>piramide[[#This Row],[PZAS]]*piramide[[#This Row],[PRECIO $ C/U]]*COTIZACION!$I$135</f>
        <v>23073.75</v>
      </c>
      <c r="AO105" s="2">
        <v>2</v>
      </c>
      <c r="AP105" t="s">
        <v>248</v>
      </c>
      <c r="AQ105" t="s">
        <v>88</v>
      </c>
    </row>
    <row r="106" spans="2:54">
      <c r="B106" s="46">
        <v>0.5</v>
      </c>
      <c r="C106" s="24" t="s">
        <v>4</v>
      </c>
      <c r="D106" s="24" t="str">
        <f>CONCATENATE(ACERO1[[#This Row],[TIPO]]," ",ACERO1[[#This Row],[NUM. DE EJES]]," ",ACERO1[[#This Row],[LARGO]])</f>
        <v>DOLLY 2 3.5 FT</v>
      </c>
      <c r="E106" s="24" t="s">
        <v>206</v>
      </c>
      <c r="F106" s="29"/>
      <c r="G106" s="29">
        <f>PRODUCTOS!$B106*PRODUCTOS!$F106*COTIZACION!$I$135</f>
        <v>0</v>
      </c>
      <c r="H106" s="49">
        <v>2</v>
      </c>
      <c r="I106" s="49" t="s">
        <v>276</v>
      </c>
      <c r="J106" s="30" t="s">
        <v>87</v>
      </c>
      <c r="K106" s="47"/>
      <c r="M106">
        <v>0</v>
      </c>
      <c r="N106" t="s">
        <v>82</v>
      </c>
      <c r="O106" t="str">
        <f>CONCATENATE(extras[[#This Row],[TIPO]]," ",extras[[#This Row],[NUM. DE EJES]]," ",extras[[#This Row],[LARGO]])</f>
        <v>PLATAFORMA 2 35 FT</v>
      </c>
      <c r="P106" t="s">
        <v>158</v>
      </c>
      <c r="Q106" t="s">
        <v>91</v>
      </c>
      <c r="R106" s="6"/>
      <c r="S106" s="7">
        <f>extras[[#This Row],[PZAS]]*extras[[#This Row],[PRECIO $ C/U]]*COTIZACION!$I$135</f>
        <v>0</v>
      </c>
      <c r="T106" s="2">
        <v>2</v>
      </c>
      <c r="U106" t="s">
        <v>248</v>
      </c>
      <c r="X106">
        <v>1</v>
      </c>
      <c r="Y106" t="s">
        <v>82</v>
      </c>
      <c r="Z106" t="str">
        <f>CONCATENATE(otros[[#This Row],[TIPO]]," ",otros[[#This Row],[NUM. DE EJES]]," ",otros[[#This Row],[LARGO]])</f>
        <v>PLATAFORMA 2 35 FT</v>
      </c>
      <c r="AA106" t="s">
        <v>51</v>
      </c>
      <c r="AB106" s="6">
        <v>820</v>
      </c>
      <c r="AC106" s="28">
        <f>otros[[#This Row],[PZAS]]*otros[[#This Row],[PRECIO $ C/U]]*COTIZACION!$I$135</f>
        <v>820</v>
      </c>
      <c r="AD106" s="2">
        <v>2</v>
      </c>
      <c r="AE106" t="s">
        <v>248</v>
      </c>
      <c r="AF106" s="16" t="s">
        <v>90</v>
      </c>
      <c r="AI106">
        <v>0.875</v>
      </c>
      <c r="AJ106" t="s">
        <v>82</v>
      </c>
      <c r="AK106" t="str">
        <f>CONCATENATE(piramide[[#This Row],[TIPO]]," ",piramide[[#This Row],[NUM. DE EJES]]," ",piramide[[#This Row],[LARGO]])</f>
        <v>PLATAFORMA 2 35 FT</v>
      </c>
      <c r="AL106" t="s">
        <v>179</v>
      </c>
      <c r="AM106" s="6">
        <v>1907</v>
      </c>
      <c r="AN106" s="28">
        <f>piramide[[#This Row],[PZAS]]*piramide[[#This Row],[PRECIO $ C/U]]*COTIZACION!$I$135</f>
        <v>1668.625</v>
      </c>
      <c r="AO106" s="2">
        <v>2</v>
      </c>
      <c r="AP106" t="s">
        <v>248</v>
      </c>
      <c r="AQ106" t="s">
        <v>88</v>
      </c>
    </row>
    <row r="107" spans="2:54">
      <c r="B107" s="41">
        <v>1.5</v>
      </c>
      <c r="C107" s="42" t="s">
        <v>4</v>
      </c>
      <c r="D107" s="24" t="str">
        <f>CONCATENATE(ACERO1[[#This Row],[TIPO]]," ",ACERO1[[#This Row],[NUM. DE EJES]]," ",ACERO1[[#This Row],[LARGO]])</f>
        <v>DOLLY 2 3.5 FT</v>
      </c>
      <c r="E107" s="42" t="s">
        <v>207</v>
      </c>
      <c r="F107" s="43"/>
      <c r="G107" s="43">
        <f>PRODUCTOS!$B107*PRODUCTOS!$F107*COTIZACION!$I$135</f>
        <v>0</v>
      </c>
      <c r="H107" s="49">
        <v>2</v>
      </c>
      <c r="I107" s="49" t="s">
        <v>276</v>
      </c>
      <c r="J107" s="44" t="s">
        <v>87</v>
      </c>
      <c r="K107" s="45"/>
      <c r="M107">
        <v>0</v>
      </c>
      <c r="N107" t="s">
        <v>82</v>
      </c>
      <c r="O107" t="str">
        <f>CONCATENATE(extras[[#This Row],[TIPO]]," ",extras[[#This Row],[NUM. DE EJES]]," ",extras[[#This Row],[LARGO]])</f>
        <v>PLATAFORMA 2 35 FT</v>
      </c>
      <c r="P107" t="s">
        <v>159</v>
      </c>
      <c r="Q107" t="s">
        <v>91</v>
      </c>
      <c r="R107" s="6"/>
      <c r="S107" s="7">
        <f>extras[[#This Row],[PZAS]]*extras[[#This Row],[PRECIO $ C/U]]*COTIZACION!$I$135</f>
        <v>0</v>
      </c>
      <c r="T107" s="2">
        <v>2</v>
      </c>
      <c r="U107" t="s">
        <v>248</v>
      </c>
      <c r="X107">
        <v>4.2</v>
      </c>
      <c r="Y107" t="s">
        <v>82</v>
      </c>
      <c r="Z107" t="str">
        <f>CONCATENATE(otros[[#This Row],[TIPO]]," ",otros[[#This Row],[NUM. DE EJES]]," ",otros[[#This Row],[LARGO]])</f>
        <v>PLATAFORMA 2 35 FT</v>
      </c>
      <c r="AA107" t="s">
        <v>52</v>
      </c>
      <c r="AB107" s="6">
        <v>1295</v>
      </c>
      <c r="AC107" s="28">
        <f>otros[[#This Row],[PZAS]]*otros[[#This Row],[PRECIO $ C/U]]*COTIZACION!$I$135</f>
        <v>5439</v>
      </c>
      <c r="AD107" s="2">
        <v>2</v>
      </c>
      <c r="AE107" t="s">
        <v>248</v>
      </c>
      <c r="AF107" s="16" t="s">
        <v>90</v>
      </c>
      <c r="AI107">
        <v>3.5</v>
      </c>
      <c r="AJ107" t="s">
        <v>82</v>
      </c>
      <c r="AK107" t="str">
        <f>CONCATENATE(piramide[[#This Row],[TIPO]]," ",piramide[[#This Row],[NUM. DE EJES]]," ",piramide[[#This Row],[LARGO]])</f>
        <v>PLATAFORMA 2 35 FT</v>
      </c>
      <c r="AL107" t="s">
        <v>180</v>
      </c>
      <c r="AM107" s="6">
        <v>7000</v>
      </c>
      <c r="AN107" s="28">
        <f>piramide[[#This Row],[PZAS]]*piramide[[#This Row],[PRECIO $ C/U]]*COTIZACION!$I$135</f>
        <v>24500</v>
      </c>
      <c r="AO107" s="2">
        <v>2</v>
      </c>
      <c r="AP107" t="s">
        <v>248</v>
      </c>
      <c r="AQ107" t="s">
        <v>88</v>
      </c>
    </row>
    <row r="108" spans="2:54">
      <c r="B108" s="46">
        <v>0.8</v>
      </c>
      <c r="C108" s="24" t="s">
        <v>4</v>
      </c>
      <c r="D108" s="24" t="str">
        <f>CONCATENATE(ACERO1[[#This Row],[TIPO]]," ",ACERO1[[#This Row],[NUM. DE EJES]]," ",ACERO1[[#This Row],[LARGO]])</f>
        <v>DOLLY 2 3.5 FT</v>
      </c>
      <c r="E108" s="24" t="s">
        <v>208</v>
      </c>
      <c r="F108" s="29"/>
      <c r="G108" s="29">
        <f>PRODUCTOS!$B108*PRODUCTOS!$F108*COTIZACION!$I$135</f>
        <v>0</v>
      </c>
      <c r="H108" s="49">
        <v>2</v>
      </c>
      <c r="I108" s="49" t="s">
        <v>276</v>
      </c>
      <c r="J108" s="30" t="s">
        <v>87</v>
      </c>
      <c r="K108" s="47"/>
      <c r="M108">
        <v>1</v>
      </c>
      <c r="N108" t="s">
        <v>82</v>
      </c>
      <c r="O108" t="str">
        <f>CONCATENATE(extras[[#This Row],[TIPO]]," ",extras[[#This Row],[NUM. DE EJES]]," ",extras[[#This Row],[LARGO]])</f>
        <v>PLATAFORMA 3 40 FT</v>
      </c>
      <c r="P108" t="s">
        <v>338</v>
      </c>
      <c r="Q108" t="s">
        <v>91</v>
      </c>
      <c r="R108" s="6"/>
      <c r="S108" s="7">
        <f>extras[[#This Row],[PZAS]]*extras[[#This Row],[PRECIO $ C/U]]*COTIZACION!$I$135</f>
        <v>0</v>
      </c>
      <c r="T108" s="2">
        <v>3</v>
      </c>
      <c r="U108" t="s">
        <v>75</v>
      </c>
      <c r="X108">
        <v>1.05</v>
      </c>
      <c r="Y108" t="s">
        <v>82</v>
      </c>
      <c r="Z108" t="str">
        <f>CONCATENATE(otros[[#This Row],[TIPO]]," ",otros[[#This Row],[NUM. DE EJES]]," ",otros[[#This Row],[LARGO]])</f>
        <v>PLATAFORMA 2 35 FT</v>
      </c>
      <c r="AA108" t="s">
        <v>53</v>
      </c>
      <c r="AB108" s="6">
        <v>550</v>
      </c>
      <c r="AC108" s="28">
        <f>otros[[#This Row],[PZAS]]*otros[[#This Row],[PRECIO $ C/U]]*COTIZACION!$I$135</f>
        <v>577.5</v>
      </c>
      <c r="AD108" s="2">
        <v>2</v>
      </c>
      <c r="AE108" t="s">
        <v>248</v>
      </c>
      <c r="AF108" s="16" t="s">
        <v>90</v>
      </c>
      <c r="AI108">
        <v>1.75</v>
      </c>
      <c r="AJ108" t="s">
        <v>82</v>
      </c>
      <c r="AK108" t="str">
        <f>CONCATENATE(piramide[[#This Row],[TIPO]]," ",piramide[[#This Row],[NUM. DE EJES]]," ",piramide[[#This Row],[LARGO]])</f>
        <v>PLATAFORMA 2 35 FT</v>
      </c>
      <c r="AL108" t="s">
        <v>181</v>
      </c>
      <c r="AM108" s="6">
        <v>6130</v>
      </c>
      <c r="AN108" s="28">
        <f>piramide[[#This Row],[PZAS]]*piramide[[#This Row],[PRECIO $ C/U]]*COTIZACION!$I$135</f>
        <v>10727.5</v>
      </c>
      <c r="AO108" s="2">
        <v>2</v>
      </c>
      <c r="AP108" t="s">
        <v>248</v>
      </c>
      <c r="AQ108" t="s">
        <v>88</v>
      </c>
    </row>
    <row r="109" spans="2:54">
      <c r="B109" s="41">
        <v>0.28000000000000003</v>
      </c>
      <c r="C109" s="42" t="s">
        <v>4</v>
      </c>
      <c r="D109" s="24" t="str">
        <f>CONCATENATE(ACERO1[[#This Row],[TIPO]]," ",ACERO1[[#This Row],[NUM. DE EJES]]," ",ACERO1[[#This Row],[LARGO]])</f>
        <v>DOLLY 2 3.5 FT</v>
      </c>
      <c r="E109" s="42" t="s">
        <v>209</v>
      </c>
      <c r="F109" s="43"/>
      <c r="G109" s="43">
        <f>PRODUCTOS!$B109*PRODUCTOS!$F109*COTIZACION!$I$135</f>
        <v>0</v>
      </c>
      <c r="H109" s="49">
        <v>2</v>
      </c>
      <c r="I109" s="49" t="s">
        <v>276</v>
      </c>
      <c r="J109" s="44" t="s">
        <v>87</v>
      </c>
      <c r="K109" s="45"/>
      <c r="M109">
        <v>1</v>
      </c>
      <c r="N109" t="s">
        <v>82</v>
      </c>
      <c r="O109" t="str">
        <f>CONCATENATE(extras[[#This Row],[TIPO]]," ",extras[[#This Row],[NUM. DE EJES]]," ",extras[[#This Row],[LARGO]])</f>
        <v>PLATAFORMA 3 40 FT</v>
      </c>
      <c r="P109" t="s">
        <v>339</v>
      </c>
      <c r="Q109" t="s">
        <v>91</v>
      </c>
      <c r="R109" s="6"/>
      <c r="S109" s="7">
        <f>extras[[#This Row],[PZAS]]*extras[[#This Row],[PRECIO $ C/U]]*COTIZACION!$I$135</f>
        <v>0</v>
      </c>
      <c r="T109" s="2">
        <v>3</v>
      </c>
      <c r="U109" t="s">
        <v>75</v>
      </c>
      <c r="X109">
        <v>2</v>
      </c>
      <c r="Y109" t="s">
        <v>82</v>
      </c>
      <c r="Z109" t="str">
        <f>CONCATENATE(otros[[#This Row],[TIPO]]," ",otros[[#This Row],[NUM. DE EJES]]," ",otros[[#This Row],[LARGO]])</f>
        <v>PLATAFORMA 2 35 FT</v>
      </c>
      <c r="AA109" t="s">
        <v>54</v>
      </c>
      <c r="AB109" s="6">
        <v>163</v>
      </c>
      <c r="AC109" s="28">
        <f>otros[[#This Row],[PZAS]]*otros[[#This Row],[PRECIO $ C/U]]*COTIZACION!$I$135</f>
        <v>326</v>
      </c>
      <c r="AD109" s="2">
        <v>2</v>
      </c>
      <c r="AE109" t="s">
        <v>248</v>
      </c>
      <c r="AF109" s="16" t="s">
        <v>90</v>
      </c>
      <c r="AI109">
        <v>1.3125</v>
      </c>
      <c r="AJ109" t="s">
        <v>82</v>
      </c>
      <c r="AK109" t="str">
        <f>CONCATENATE(piramide[[#This Row],[TIPO]]," ",piramide[[#This Row],[NUM. DE EJES]]," ",piramide[[#This Row],[LARGO]])</f>
        <v>PLATAFORMA 2 35 FT</v>
      </c>
      <c r="AL109" t="s">
        <v>182</v>
      </c>
      <c r="AM109" s="6">
        <v>245</v>
      </c>
      <c r="AN109" s="28">
        <f>piramide[[#This Row],[PZAS]]*piramide[[#This Row],[PRECIO $ C/U]]*COTIZACION!$I$135</f>
        <v>321.5625</v>
      </c>
      <c r="AO109" s="2">
        <v>2</v>
      </c>
      <c r="AP109" t="s">
        <v>248</v>
      </c>
      <c r="AQ109" t="s">
        <v>88</v>
      </c>
    </row>
    <row r="110" spans="2:54">
      <c r="B110" s="46">
        <v>1.4</v>
      </c>
      <c r="C110" s="24" t="s">
        <v>4</v>
      </c>
      <c r="D110" s="24" t="str">
        <f>CONCATENATE(ACERO1[[#This Row],[TIPO]]," ",ACERO1[[#This Row],[NUM. DE EJES]]," ",ACERO1[[#This Row],[LARGO]])</f>
        <v>DOLLY 2 3.5 FT</v>
      </c>
      <c r="E110" s="24" t="s">
        <v>210</v>
      </c>
      <c r="F110" s="29"/>
      <c r="G110" s="29">
        <f>PRODUCTOS!$B110*PRODUCTOS!$F110*COTIZACION!$I$135</f>
        <v>0</v>
      </c>
      <c r="H110" s="49">
        <v>2</v>
      </c>
      <c r="I110" s="49" t="s">
        <v>276</v>
      </c>
      <c r="J110" s="30" t="s">
        <v>87</v>
      </c>
      <c r="K110" s="47"/>
      <c r="M110">
        <v>8</v>
      </c>
      <c r="N110" t="s">
        <v>82</v>
      </c>
      <c r="O110" t="str">
        <f>CONCATENATE(extras[[#This Row],[TIPO]]," ",extras[[#This Row],[NUM. DE EJES]]," ",extras[[#This Row],[LARGO]])</f>
        <v>PLATAFORMA 3 40 FT</v>
      </c>
      <c r="P110" t="s">
        <v>340</v>
      </c>
      <c r="Q110" t="s">
        <v>91</v>
      </c>
      <c r="R110" s="6"/>
      <c r="S110" s="7">
        <f>extras[[#This Row],[PZAS]]*extras[[#This Row],[PRECIO $ C/U]]*COTIZACION!$I$135</f>
        <v>0</v>
      </c>
      <c r="T110" s="2">
        <v>3</v>
      </c>
      <c r="U110" t="s">
        <v>75</v>
      </c>
      <c r="X110">
        <v>4.2</v>
      </c>
      <c r="Y110" t="s">
        <v>82</v>
      </c>
      <c r="Z110" t="str">
        <f>CONCATENATE(otros[[#This Row],[TIPO]]," ",otros[[#This Row],[NUM. DE EJES]]," ",otros[[#This Row],[LARGO]])</f>
        <v>PLATAFORMA 2 35 FT</v>
      </c>
      <c r="AA110" t="s">
        <v>55</v>
      </c>
      <c r="AB110" s="6">
        <v>150</v>
      </c>
      <c r="AC110" s="28">
        <f>otros[[#This Row],[PZAS]]*otros[[#This Row],[PRECIO $ C/U]]*COTIZACION!$I$135</f>
        <v>630</v>
      </c>
      <c r="AD110" s="2">
        <v>2</v>
      </c>
      <c r="AE110" t="s">
        <v>248</v>
      </c>
      <c r="AF110" s="16" t="s">
        <v>90</v>
      </c>
      <c r="AI110">
        <v>6.125</v>
      </c>
      <c r="AJ110" t="s">
        <v>82</v>
      </c>
      <c r="AK110" t="str">
        <f>CONCATENATE(piramide[[#This Row],[TIPO]]," ",piramide[[#This Row],[NUM. DE EJES]]," ",piramide[[#This Row],[LARGO]])</f>
        <v>PLATAFORMA 2 35 FT</v>
      </c>
      <c r="AL110" t="s">
        <v>183</v>
      </c>
      <c r="AM110" s="6">
        <v>953.5</v>
      </c>
      <c r="AN110" s="28">
        <f>piramide[[#This Row],[PZAS]]*piramide[[#This Row],[PRECIO $ C/U]]*COTIZACION!$I$135</f>
        <v>5840.1875</v>
      </c>
      <c r="AO110" s="2">
        <v>2</v>
      </c>
      <c r="AP110" t="s">
        <v>248</v>
      </c>
      <c r="AQ110" t="s">
        <v>88</v>
      </c>
    </row>
    <row r="111" spans="2:54">
      <c r="B111" s="41">
        <v>1</v>
      </c>
      <c r="C111" s="42" t="s">
        <v>4</v>
      </c>
      <c r="D111" s="24" t="str">
        <f>CONCATENATE(ACERO1[[#This Row],[TIPO]]," ",ACERO1[[#This Row],[NUM. DE EJES]]," ",ACERO1[[#This Row],[LARGO]])</f>
        <v>DOLLY 2 3.5 FT</v>
      </c>
      <c r="E111" s="42" t="s">
        <v>211</v>
      </c>
      <c r="F111" s="43"/>
      <c r="G111" s="43">
        <f>PRODUCTOS!$B111*PRODUCTOS!$F111*COTIZACION!$I$135</f>
        <v>0</v>
      </c>
      <c r="H111" s="49">
        <v>2</v>
      </c>
      <c r="I111" s="49" t="s">
        <v>276</v>
      </c>
      <c r="J111" s="44" t="s">
        <v>87</v>
      </c>
      <c r="K111" s="45"/>
      <c r="X111">
        <v>2.1</v>
      </c>
      <c r="Y111" t="s">
        <v>82</v>
      </c>
      <c r="Z111" t="str">
        <f>CONCATENATE(otros[[#This Row],[TIPO]]," ",otros[[#This Row],[NUM. DE EJES]]," ",otros[[#This Row],[LARGO]])</f>
        <v>PLATAFORMA 2 35 FT</v>
      </c>
      <c r="AA111" t="s">
        <v>56</v>
      </c>
      <c r="AB111" s="6">
        <v>165</v>
      </c>
      <c r="AC111" s="28">
        <f>otros[[#This Row],[PZAS]]*otros[[#This Row],[PRECIO $ C/U]]*COTIZACION!$I$135</f>
        <v>346.5</v>
      </c>
      <c r="AD111" s="2">
        <v>2</v>
      </c>
      <c r="AE111" t="s">
        <v>248</v>
      </c>
      <c r="AF111" s="16" t="s">
        <v>90</v>
      </c>
      <c r="AI111">
        <v>0.5</v>
      </c>
      <c r="AJ111" t="s">
        <v>82</v>
      </c>
      <c r="AK111" t="str">
        <f>CONCATENATE(piramide[[#This Row],[TIPO]]," ",piramide[[#This Row],[NUM. DE EJES]]," ",piramide[[#This Row],[LARGO]])</f>
        <v>PLATAFORMA 2 35 FT</v>
      </c>
      <c r="AL111" t="s">
        <v>184</v>
      </c>
      <c r="AM111" s="6">
        <v>1907</v>
      </c>
      <c r="AN111" s="28">
        <f>piramide[[#This Row],[PZAS]]*piramide[[#This Row],[PRECIO $ C/U]]*COTIZACION!$I$135</f>
        <v>953.5</v>
      </c>
      <c r="AO111" s="2">
        <v>2</v>
      </c>
      <c r="AP111" t="s">
        <v>248</v>
      </c>
      <c r="AQ111" t="s">
        <v>88</v>
      </c>
    </row>
    <row r="112" spans="2:54">
      <c r="B112" s="46">
        <v>2.2000000000000002</v>
      </c>
      <c r="C112" s="24" t="s">
        <v>4</v>
      </c>
      <c r="D112" s="24" t="str">
        <f>CONCATENATE(ACERO1[[#This Row],[TIPO]]," ",ACERO1[[#This Row],[NUM. DE EJES]]," ",ACERO1[[#This Row],[LARGO]])</f>
        <v>DOLLY 2 3.5 FT</v>
      </c>
      <c r="E112" s="24" t="s">
        <v>212</v>
      </c>
      <c r="F112" s="29"/>
      <c r="G112" s="29">
        <f>PRODUCTOS!$B112*PRODUCTOS!$F112*COTIZACION!$I$135</f>
        <v>0</v>
      </c>
      <c r="H112" s="49">
        <v>2</v>
      </c>
      <c r="I112" s="49" t="s">
        <v>276</v>
      </c>
      <c r="J112" s="30" t="s">
        <v>87</v>
      </c>
      <c r="K112" s="47"/>
      <c r="X112">
        <v>2.1</v>
      </c>
      <c r="Y112" t="s">
        <v>82</v>
      </c>
      <c r="Z112" t="str">
        <f>CONCATENATE(otros[[#This Row],[TIPO]]," ",otros[[#This Row],[NUM. DE EJES]]," ",otros[[#This Row],[LARGO]])</f>
        <v>PLATAFORMA 2 35 FT</v>
      </c>
      <c r="AA112" t="s">
        <v>57</v>
      </c>
      <c r="AB112" s="6">
        <v>165</v>
      </c>
      <c r="AC112" s="28">
        <f>otros[[#This Row],[PZAS]]*otros[[#This Row],[PRECIO $ C/U]]*COTIZACION!$I$135</f>
        <v>346.5</v>
      </c>
      <c r="AD112" s="2">
        <v>2</v>
      </c>
      <c r="AE112" t="s">
        <v>248</v>
      </c>
      <c r="AF112" s="16" t="s">
        <v>90</v>
      </c>
      <c r="AI112">
        <v>0.01</v>
      </c>
      <c r="AJ112" t="s">
        <v>82</v>
      </c>
      <c r="AK112" t="str">
        <f>CONCATENATE(piramide[[#This Row],[TIPO]]," ",piramide[[#This Row],[NUM. DE EJES]]," ",piramide[[#This Row],[LARGO]])</f>
        <v>PLATAFORMA 2 35 FT</v>
      </c>
      <c r="AL112" t="s">
        <v>185</v>
      </c>
      <c r="AM112" s="6">
        <v>999</v>
      </c>
      <c r="AN112" s="28">
        <f>piramide[[#This Row],[PZAS]]*piramide[[#This Row],[PRECIO $ C/U]]*COTIZACION!$I$135</f>
        <v>9.99</v>
      </c>
      <c r="AO112" s="2">
        <v>2</v>
      </c>
      <c r="AP112" t="s">
        <v>248</v>
      </c>
      <c r="AQ112" t="s">
        <v>88</v>
      </c>
    </row>
    <row r="113" spans="2:43">
      <c r="B113" s="41">
        <v>2</v>
      </c>
      <c r="C113" s="42" t="s">
        <v>4</v>
      </c>
      <c r="D113" s="24" t="str">
        <f>CONCATENATE(ACERO1[[#This Row],[TIPO]]," ",ACERO1[[#This Row],[NUM. DE EJES]]," ",ACERO1[[#This Row],[LARGO]])</f>
        <v>DOLLY 2 3.5 FT</v>
      </c>
      <c r="E113" s="42" t="s">
        <v>213</v>
      </c>
      <c r="F113" s="43"/>
      <c r="G113" s="43">
        <f>PRODUCTOS!$B113*PRODUCTOS!$F113*COTIZACION!$I$135</f>
        <v>0</v>
      </c>
      <c r="H113" s="49">
        <v>2</v>
      </c>
      <c r="I113" s="49" t="s">
        <v>276</v>
      </c>
      <c r="J113" s="44" t="s">
        <v>87</v>
      </c>
      <c r="K113" s="45"/>
      <c r="X113">
        <v>2.1</v>
      </c>
      <c r="Y113" t="s">
        <v>82</v>
      </c>
      <c r="Z113" t="str">
        <f>CONCATENATE(otros[[#This Row],[TIPO]]," ",otros[[#This Row],[NUM. DE EJES]]," ",otros[[#This Row],[LARGO]])</f>
        <v>PLATAFORMA 2 35 FT</v>
      </c>
      <c r="AA113" t="s">
        <v>58</v>
      </c>
      <c r="AB113" s="6">
        <v>127</v>
      </c>
      <c r="AC113" s="28">
        <f>otros[[#This Row],[PZAS]]*otros[[#This Row],[PRECIO $ C/U]]*COTIZACION!$I$135</f>
        <v>266.7</v>
      </c>
      <c r="AD113" s="2">
        <v>2</v>
      </c>
      <c r="AE113" t="s">
        <v>248</v>
      </c>
      <c r="AF113" s="16" t="s">
        <v>90</v>
      </c>
      <c r="AI113">
        <v>0.6</v>
      </c>
      <c r="AJ113" t="s">
        <v>82</v>
      </c>
      <c r="AK113" t="str">
        <f>CONCATENATE(piramide[[#This Row],[TIPO]]," ",piramide[[#This Row],[NUM. DE EJES]]," ",piramide[[#This Row],[LARGO]])</f>
        <v>PLATAFORMA 2 35 FT</v>
      </c>
      <c r="AL113" t="s">
        <v>186</v>
      </c>
      <c r="AM113" s="6">
        <v>415</v>
      </c>
      <c r="AN113" s="28">
        <f>piramide[[#This Row],[PZAS]]*piramide[[#This Row],[PRECIO $ C/U]]*COTIZACION!$I$135</f>
        <v>249</v>
      </c>
      <c r="AO113" s="2">
        <v>2</v>
      </c>
      <c r="AP113" t="s">
        <v>248</v>
      </c>
      <c r="AQ113" t="s">
        <v>88</v>
      </c>
    </row>
    <row r="114" spans="2:43">
      <c r="B114" s="46">
        <v>2</v>
      </c>
      <c r="C114" s="24" t="s">
        <v>4</v>
      </c>
      <c r="D114" s="24" t="str">
        <f>CONCATENATE(ACERO1[[#This Row],[TIPO]]," ",ACERO1[[#This Row],[NUM. DE EJES]]," ",ACERO1[[#This Row],[LARGO]])</f>
        <v>DOLLY 2 3.5 FT</v>
      </c>
      <c r="E114" s="24" t="s">
        <v>214</v>
      </c>
      <c r="F114" s="29"/>
      <c r="G114" s="29">
        <f>PRODUCTOS!$B114*PRODUCTOS!$F114*COTIZACION!$I$135</f>
        <v>0</v>
      </c>
      <c r="H114" s="49">
        <v>2</v>
      </c>
      <c r="I114" s="49" t="s">
        <v>276</v>
      </c>
      <c r="J114" s="30" t="s">
        <v>87</v>
      </c>
      <c r="K114" s="47"/>
      <c r="X114">
        <v>10.5</v>
      </c>
      <c r="Y114" t="s">
        <v>82</v>
      </c>
      <c r="Z114" t="str">
        <f>CONCATENATE(otros[[#This Row],[TIPO]]," ",otros[[#This Row],[NUM. DE EJES]]," ",otros[[#This Row],[LARGO]])</f>
        <v>PLATAFORMA 2 35 FT</v>
      </c>
      <c r="AA114" t="s">
        <v>59</v>
      </c>
      <c r="AB114" s="6">
        <v>20</v>
      </c>
      <c r="AC114" s="28">
        <f>otros[[#This Row],[PZAS]]*otros[[#This Row],[PRECIO $ C/U]]*COTIZACION!$I$135</f>
        <v>210</v>
      </c>
      <c r="AD114" s="2">
        <v>2</v>
      </c>
      <c r="AE114" t="s">
        <v>248</v>
      </c>
      <c r="AF114" s="16" t="s">
        <v>90</v>
      </c>
      <c r="AI114">
        <v>0.2</v>
      </c>
      <c r="AJ114" t="s">
        <v>82</v>
      </c>
      <c r="AK114" t="str">
        <f>CONCATENATE(piramide[[#This Row],[TIPO]]," ",piramide[[#This Row],[NUM. DE EJES]]," ",piramide[[#This Row],[LARGO]])</f>
        <v>PLATAFORMA 2 35 FT</v>
      </c>
      <c r="AL114" t="s">
        <v>187</v>
      </c>
      <c r="AM114" s="6">
        <v>360</v>
      </c>
      <c r="AN114" s="28">
        <f>piramide[[#This Row],[PZAS]]*piramide[[#This Row],[PRECIO $ C/U]]*COTIZACION!$I$135</f>
        <v>72</v>
      </c>
      <c r="AO114" s="2">
        <v>2</v>
      </c>
      <c r="AP114" t="s">
        <v>248</v>
      </c>
      <c r="AQ114" t="s">
        <v>88</v>
      </c>
    </row>
    <row r="115" spans="2:43">
      <c r="B115" s="41">
        <v>1</v>
      </c>
      <c r="C115" s="42" t="s">
        <v>82</v>
      </c>
      <c r="D115" s="24" t="str">
        <f>CONCATENATE(ACERO1[[#This Row],[TIPO]]," ",ACERO1[[#This Row],[NUM. DE EJES]]," ",ACERO1[[#This Row],[LARGO]])</f>
        <v>PLATAFORMA 2 42 FT</v>
      </c>
      <c r="E115" s="42" t="s">
        <v>8</v>
      </c>
      <c r="F115" s="43">
        <v>2064</v>
      </c>
      <c r="G115" s="43">
        <f>PRODUCTOS!$B115*PRODUCTOS!$F115*COTIZACION!$I$135</f>
        <v>2064</v>
      </c>
      <c r="H115" s="48">
        <v>2</v>
      </c>
      <c r="I115" s="48" t="s">
        <v>242</v>
      </c>
      <c r="J115" s="44" t="s">
        <v>87</v>
      </c>
      <c r="K115" s="45"/>
      <c r="X115">
        <v>1.05</v>
      </c>
      <c r="Y115" t="s">
        <v>82</v>
      </c>
      <c r="Z115" t="str">
        <f>CONCATENATE(otros[[#This Row],[TIPO]]," ",otros[[#This Row],[NUM. DE EJES]]," ",otros[[#This Row],[LARGO]])</f>
        <v>PLATAFORMA 2 35 FT</v>
      </c>
      <c r="AA115" t="s">
        <v>245</v>
      </c>
      <c r="AB115" s="6">
        <v>551</v>
      </c>
      <c r="AC115" s="28">
        <f>otros[[#This Row],[PZAS]]*otros[[#This Row],[PRECIO $ C/U]]*COTIZACION!$I$135</f>
        <v>578.55000000000007</v>
      </c>
      <c r="AD115" s="2">
        <v>2</v>
      </c>
      <c r="AE115" t="s">
        <v>248</v>
      </c>
      <c r="AF115" s="16" t="s">
        <v>90</v>
      </c>
      <c r="AI115">
        <v>0.2</v>
      </c>
      <c r="AJ115" t="s">
        <v>82</v>
      </c>
      <c r="AK115" t="str">
        <f>CONCATENATE(piramide[[#This Row],[TIPO]]," ",piramide[[#This Row],[NUM. DE EJES]]," ",piramide[[#This Row],[LARGO]])</f>
        <v>PLATAFORMA 2 35 FT</v>
      </c>
      <c r="AL115" t="s">
        <v>188</v>
      </c>
      <c r="AM115" s="6">
        <v>917</v>
      </c>
      <c r="AN115" s="28">
        <f>piramide[[#This Row],[PZAS]]*piramide[[#This Row],[PRECIO $ C/U]]*COTIZACION!$I$135</f>
        <v>183.4</v>
      </c>
      <c r="AO115" s="2">
        <v>2</v>
      </c>
      <c r="AP115" t="s">
        <v>248</v>
      </c>
      <c r="AQ115" t="s">
        <v>88</v>
      </c>
    </row>
    <row r="116" spans="2:43">
      <c r="B116" s="46">
        <v>1</v>
      </c>
      <c r="C116" s="24" t="s">
        <v>82</v>
      </c>
      <c r="D116" s="24" t="str">
        <f>CONCATENATE(ACERO1[[#This Row],[TIPO]]," ",ACERO1[[#This Row],[NUM. DE EJES]]," ",ACERO1[[#This Row],[LARGO]])</f>
        <v>PLATAFORMA 2 42 FT</v>
      </c>
      <c r="E116" s="24" t="s">
        <v>9</v>
      </c>
      <c r="F116" s="29">
        <v>2328</v>
      </c>
      <c r="G116" s="29">
        <f>PRODUCTOS!$B116*PRODUCTOS!$F116*COTIZACION!$I$135</f>
        <v>2328</v>
      </c>
      <c r="H116" s="49">
        <v>2</v>
      </c>
      <c r="I116" s="49" t="s">
        <v>242</v>
      </c>
      <c r="J116" s="30" t="s">
        <v>87</v>
      </c>
      <c r="K116" s="47"/>
      <c r="X116">
        <v>2</v>
      </c>
      <c r="Y116" t="s">
        <v>82</v>
      </c>
      <c r="Z116" t="str">
        <f>CONCATENATE(otros[[#This Row],[TIPO]]," ",otros[[#This Row],[NUM. DE EJES]]," ",otros[[#This Row],[LARGO]])</f>
        <v>PLATAFORMA 2 35 FT</v>
      </c>
      <c r="AA116" t="s">
        <v>61</v>
      </c>
      <c r="AB116" s="6">
        <v>586</v>
      </c>
      <c r="AC116" s="28">
        <f>otros[[#This Row],[PZAS]]*otros[[#This Row],[PRECIO $ C/U]]*COTIZACION!$I$135</f>
        <v>1172</v>
      </c>
      <c r="AD116" s="2">
        <v>2</v>
      </c>
      <c r="AE116" t="s">
        <v>248</v>
      </c>
      <c r="AF116" s="16" t="s">
        <v>90</v>
      </c>
    </row>
    <row r="117" spans="2:43">
      <c r="B117" s="41">
        <v>1</v>
      </c>
      <c r="C117" s="42" t="s">
        <v>82</v>
      </c>
      <c r="D117" s="24" t="str">
        <f>CONCATENATE(ACERO1[[#This Row],[TIPO]]," ",ACERO1[[#This Row],[NUM. DE EJES]]," ",ACERO1[[#This Row],[LARGO]])</f>
        <v>PLATAFORMA 2 42 FT</v>
      </c>
      <c r="E117" s="42" t="s">
        <v>10</v>
      </c>
      <c r="F117" s="43">
        <v>84</v>
      </c>
      <c r="G117" s="43">
        <f>PRODUCTOS!$B117*PRODUCTOS!$F117*COTIZACION!$I$135</f>
        <v>84</v>
      </c>
      <c r="H117" s="48">
        <v>2</v>
      </c>
      <c r="I117" s="48" t="s">
        <v>242</v>
      </c>
      <c r="J117" s="44" t="s">
        <v>87</v>
      </c>
      <c r="K117" s="45"/>
      <c r="X117">
        <v>1.05</v>
      </c>
      <c r="Y117" t="s">
        <v>82</v>
      </c>
      <c r="Z117" t="str">
        <f>CONCATENATE(otros[[#This Row],[TIPO]]," ",otros[[#This Row],[NUM. DE EJES]]," ",otros[[#This Row],[LARGO]])</f>
        <v>PLATAFORMA 2 35 FT</v>
      </c>
      <c r="AA117" t="s">
        <v>62</v>
      </c>
      <c r="AB117" s="6">
        <v>2500</v>
      </c>
      <c r="AC117" s="28">
        <f>otros[[#This Row],[PZAS]]*otros[[#This Row],[PRECIO $ C/U]]*COTIZACION!$I$135</f>
        <v>2625</v>
      </c>
      <c r="AD117" s="2">
        <v>2</v>
      </c>
      <c r="AE117" t="s">
        <v>248</v>
      </c>
      <c r="AF117" s="16" t="s">
        <v>90</v>
      </c>
    </row>
    <row r="118" spans="2:43">
      <c r="B118" s="46">
        <v>2</v>
      </c>
      <c r="C118" s="24" t="s">
        <v>82</v>
      </c>
      <c r="D118" s="24" t="str">
        <f>CONCATENATE(ACERO1[[#This Row],[TIPO]]," ",ACERO1[[#This Row],[NUM. DE EJES]]," ",ACERO1[[#This Row],[LARGO]])</f>
        <v>PLATAFORMA 2 42 FT</v>
      </c>
      <c r="E118" s="24" t="s">
        <v>147</v>
      </c>
      <c r="F118" s="29">
        <v>480</v>
      </c>
      <c r="G118" s="29">
        <f>PRODUCTOS!$B118*PRODUCTOS!$F118*COTIZACION!$I$135</f>
        <v>960</v>
      </c>
      <c r="H118" s="49">
        <v>2</v>
      </c>
      <c r="I118" s="49" t="s">
        <v>242</v>
      </c>
      <c r="J118" s="30" t="s">
        <v>87</v>
      </c>
      <c r="K118" s="47"/>
      <c r="X118">
        <v>2</v>
      </c>
      <c r="Y118" t="s">
        <v>82</v>
      </c>
      <c r="Z118" t="str">
        <f>CONCATENATE(otros[[#This Row],[TIPO]]," ",otros[[#This Row],[NUM. DE EJES]]," ",otros[[#This Row],[LARGO]])</f>
        <v>PLATAFORMA 2 35 FT</v>
      </c>
      <c r="AA118" t="s">
        <v>244</v>
      </c>
      <c r="AB118" s="6">
        <v>350</v>
      </c>
      <c r="AC118" s="28">
        <f>otros[[#This Row],[PZAS]]*otros[[#This Row],[PRECIO $ C/U]]*COTIZACION!$I$135</f>
        <v>700</v>
      </c>
      <c r="AD118" s="2">
        <v>2</v>
      </c>
      <c r="AE118" t="s">
        <v>248</v>
      </c>
      <c r="AF118" s="16" t="s">
        <v>90</v>
      </c>
    </row>
    <row r="119" spans="2:43">
      <c r="B119" s="41">
        <v>1</v>
      </c>
      <c r="C119" s="42" t="s">
        <v>82</v>
      </c>
      <c r="D119" s="24" t="str">
        <f>CONCATENATE(ACERO1[[#This Row],[TIPO]]," ",ACERO1[[#This Row],[NUM. DE EJES]]," ",ACERO1[[#This Row],[LARGO]])</f>
        <v>PLATAFORMA 2 42 FT</v>
      </c>
      <c r="E119" s="42" t="s">
        <v>240</v>
      </c>
      <c r="F119" s="43">
        <v>1845</v>
      </c>
      <c r="G119" s="43">
        <f>PRODUCTOS!$B119*PRODUCTOS!$F119*COTIZACION!$I$135</f>
        <v>1845</v>
      </c>
      <c r="H119" s="48">
        <v>2</v>
      </c>
      <c r="I119" s="48" t="s">
        <v>242</v>
      </c>
      <c r="J119" s="44" t="s">
        <v>87</v>
      </c>
      <c r="K119" s="45"/>
      <c r="X119">
        <v>1.05</v>
      </c>
      <c r="Y119" t="s">
        <v>82</v>
      </c>
      <c r="Z119" t="str">
        <f>CONCATENATE(otros[[#This Row],[TIPO]]," ",otros[[#This Row],[NUM. DE EJES]]," ",otros[[#This Row],[LARGO]])</f>
        <v>PLATAFORMA 2 35 FT</v>
      </c>
      <c r="AA119" t="s">
        <v>66</v>
      </c>
      <c r="AB119" s="6">
        <v>10000</v>
      </c>
      <c r="AC119" s="28">
        <f>otros[[#This Row],[PZAS]]*otros[[#This Row],[PRECIO $ C/U]]*COTIZACION!$I$135</f>
        <v>10500</v>
      </c>
      <c r="AD119" s="2">
        <v>2</v>
      </c>
      <c r="AE119" t="s">
        <v>248</v>
      </c>
      <c r="AF119" s="16" t="s">
        <v>90</v>
      </c>
    </row>
    <row r="120" spans="2:43">
      <c r="B120" s="46">
        <v>1</v>
      </c>
      <c r="C120" s="24" t="s">
        <v>82</v>
      </c>
      <c r="D120" s="24" t="str">
        <f>CONCATENATE(ACERO1[[#This Row],[TIPO]]," ",ACERO1[[#This Row],[NUM. DE EJES]]," ",ACERO1[[#This Row],[LARGO]])</f>
        <v>PLATAFORMA 2 42 FT</v>
      </c>
      <c r="E120" s="24" t="s">
        <v>13</v>
      </c>
      <c r="F120" s="29">
        <v>437</v>
      </c>
      <c r="G120" s="29">
        <f>PRODUCTOS!$B120*PRODUCTOS!$F120*COTIZACION!$I$135</f>
        <v>437</v>
      </c>
      <c r="H120" s="49">
        <v>2</v>
      </c>
      <c r="I120" s="49" t="s">
        <v>242</v>
      </c>
      <c r="J120" s="30" t="s">
        <v>87</v>
      </c>
      <c r="K120" s="47"/>
      <c r="X120">
        <v>1.05</v>
      </c>
      <c r="Y120" t="s">
        <v>82</v>
      </c>
      <c r="Z120" t="str">
        <f>CONCATENATE(otros[[#This Row],[TIPO]]," ",otros[[#This Row],[NUM. DE EJES]]," ",otros[[#This Row],[LARGO]])</f>
        <v>PLATAFORMA 2 35 FT</v>
      </c>
      <c r="AA120" t="s">
        <v>67</v>
      </c>
      <c r="AB120" s="6">
        <v>2000</v>
      </c>
      <c r="AC120" s="28">
        <f>otros[[#This Row],[PZAS]]*otros[[#This Row],[PRECIO $ C/U]]*COTIZACION!$I$135</f>
        <v>2100</v>
      </c>
      <c r="AD120" s="2">
        <v>2</v>
      </c>
      <c r="AE120" t="s">
        <v>248</v>
      </c>
      <c r="AF120" s="16" t="s">
        <v>90</v>
      </c>
    </row>
    <row r="121" spans="2:43">
      <c r="B121" s="41">
        <v>2</v>
      </c>
      <c r="C121" s="42" t="s">
        <v>82</v>
      </c>
      <c r="D121" s="24" t="str">
        <f>CONCATENATE(ACERO1[[#This Row],[TIPO]]," ",ACERO1[[#This Row],[NUM. DE EJES]]," ",ACERO1[[#This Row],[LARGO]])</f>
        <v>PLATAFORMA 2 42 FT</v>
      </c>
      <c r="E121" s="42" t="s">
        <v>168</v>
      </c>
      <c r="F121" s="43">
        <v>417.6</v>
      </c>
      <c r="G121" s="43">
        <f>PRODUCTOS!$B121*PRODUCTOS!$F121*COTIZACION!$I$135</f>
        <v>835.2</v>
      </c>
      <c r="H121" s="48">
        <v>2</v>
      </c>
      <c r="I121" s="48" t="s">
        <v>242</v>
      </c>
      <c r="J121" s="44" t="s">
        <v>87</v>
      </c>
      <c r="K121" s="45"/>
      <c r="X121">
        <v>1</v>
      </c>
      <c r="Y121" t="s">
        <v>82</v>
      </c>
      <c r="Z121" t="str">
        <f>CONCATENATE(otros[[#This Row],[TIPO]]," ",otros[[#This Row],[NUM. DE EJES]]," ",otros[[#This Row],[LARGO]])</f>
        <v>PLATAFORMA 2 35 FT</v>
      </c>
      <c r="AA121" t="s">
        <v>68</v>
      </c>
      <c r="AB121" s="6">
        <v>2500</v>
      </c>
      <c r="AC121" s="28">
        <f>otros[[#This Row],[PZAS]]*otros[[#This Row],[PRECIO $ C/U]]*COTIZACION!$I$135</f>
        <v>2500</v>
      </c>
      <c r="AD121" s="2">
        <v>2</v>
      </c>
      <c r="AE121" t="s">
        <v>248</v>
      </c>
      <c r="AF121" s="16" t="s">
        <v>90</v>
      </c>
    </row>
    <row r="122" spans="2:43">
      <c r="B122" s="46">
        <v>5</v>
      </c>
      <c r="C122" s="24" t="s">
        <v>82</v>
      </c>
      <c r="D122" s="24" t="str">
        <f>CONCATENATE(ACERO1[[#This Row],[TIPO]]," ",ACERO1[[#This Row],[NUM. DE EJES]]," ",ACERO1[[#This Row],[LARGO]])</f>
        <v>PLATAFORMA 2 42 FT</v>
      </c>
      <c r="E122" s="24" t="s">
        <v>16</v>
      </c>
      <c r="F122" s="29">
        <v>504</v>
      </c>
      <c r="G122" s="29">
        <f>PRODUCTOS!$B122*PRODUCTOS!$F122*COTIZACION!$I$135</f>
        <v>2520</v>
      </c>
      <c r="H122" s="49">
        <v>2</v>
      </c>
      <c r="I122" s="49" t="s">
        <v>242</v>
      </c>
      <c r="J122" s="30" t="s">
        <v>87</v>
      </c>
      <c r="K122" s="47"/>
      <c r="X122">
        <v>1</v>
      </c>
      <c r="Y122" t="s">
        <v>82</v>
      </c>
      <c r="Z122" t="str">
        <f>CONCATENATE(otros[[#This Row],[TIPO]]," ",otros[[#This Row],[NUM. DE EJES]]," ",otros[[#This Row],[LARGO]])</f>
        <v>PLATAFORMA 2 35 FT</v>
      </c>
      <c r="AA122" t="s">
        <v>0</v>
      </c>
      <c r="AB122" s="6">
        <v>15000</v>
      </c>
      <c r="AC122" s="28">
        <f>otros[[#This Row],[PZAS]]*otros[[#This Row],[PRECIO $ C/U]]*COTIZACION!$I$135</f>
        <v>15000</v>
      </c>
      <c r="AD122" s="2">
        <v>2</v>
      </c>
      <c r="AE122" t="s">
        <v>248</v>
      </c>
      <c r="AF122" s="16" t="s">
        <v>90</v>
      </c>
    </row>
    <row r="123" spans="2:43">
      <c r="B123" s="41">
        <v>1</v>
      </c>
      <c r="C123" s="42" t="s">
        <v>82</v>
      </c>
      <c r="D123" s="24" t="str">
        <f>CONCATENATE(ACERO1[[#This Row],[TIPO]]," ",ACERO1[[#This Row],[NUM. DE EJES]]," ",ACERO1[[#This Row],[LARGO]])</f>
        <v>PLATAFORMA 2 42 FT</v>
      </c>
      <c r="E123" s="42" t="s">
        <v>169</v>
      </c>
      <c r="F123" s="43">
        <v>2035</v>
      </c>
      <c r="G123" s="43">
        <f>PRODUCTOS!$B123*PRODUCTOS!$F123*COTIZACION!$I$135</f>
        <v>2035</v>
      </c>
      <c r="H123" s="48">
        <v>2</v>
      </c>
      <c r="I123" s="48" t="s">
        <v>242</v>
      </c>
      <c r="J123" s="44" t="s">
        <v>87</v>
      </c>
      <c r="K123" s="45"/>
      <c r="X123">
        <v>1</v>
      </c>
      <c r="Y123" t="s">
        <v>82</v>
      </c>
      <c r="Z123" t="str">
        <f>CONCATENATE(otros[[#This Row],[TIPO]]," ",otros[[#This Row],[NUM. DE EJES]]," ",otros[[#This Row],[LARGO]])</f>
        <v>PLATAFORMA 2 35 FT</v>
      </c>
      <c r="AA123" t="s">
        <v>161</v>
      </c>
      <c r="AB123" s="6">
        <v>3000</v>
      </c>
      <c r="AC123" s="28">
        <f>otros[[#This Row],[PZAS]]*otros[[#This Row],[PRECIO $ C/U]]*COTIZACION!$I$135</f>
        <v>3000</v>
      </c>
      <c r="AD123" s="2">
        <v>2</v>
      </c>
      <c r="AE123" t="s">
        <v>248</v>
      </c>
      <c r="AF123" s="16" t="s">
        <v>90</v>
      </c>
    </row>
    <row r="124" spans="2:43">
      <c r="B124" s="46">
        <v>6</v>
      </c>
      <c r="C124" s="24" t="s">
        <v>82</v>
      </c>
      <c r="D124" s="24" t="str">
        <f>CONCATENATE(ACERO1[[#This Row],[TIPO]]," ",ACERO1[[#This Row],[NUM. DE EJES]]," ",ACERO1[[#This Row],[LARGO]])</f>
        <v>PLATAFORMA 2 42 FT</v>
      </c>
      <c r="E124" s="24" t="s">
        <v>20</v>
      </c>
      <c r="F124" s="29">
        <v>740</v>
      </c>
      <c r="G124" s="29">
        <f>PRODUCTOS!$B124*PRODUCTOS!$F124*COTIZACION!$I$135</f>
        <v>4440</v>
      </c>
      <c r="H124" s="49">
        <v>2</v>
      </c>
      <c r="I124" s="49" t="s">
        <v>242</v>
      </c>
      <c r="J124" s="30" t="s">
        <v>87</v>
      </c>
      <c r="K124" s="47"/>
      <c r="X124">
        <v>1</v>
      </c>
      <c r="Y124" t="s">
        <v>82</v>
      </c>
      <c r="Z124" t="str">
        <f>CONCATENATE(otros[[#This Row],[TIPO]]," ",otros[[#This Row],[NUM. DE EJES]]," ",otros[[#This Row],[LARGO]])</f>
        <v>PLATAFORMA 2 35 FT</v>
      </c>
      <c r="AA124" t="s">
        <v>65</v>
      </c>
      <c r="AB124" s="6">
        <v>15000</v>
      </c>
      <c r="AC124" s="28">
        <f>otros[[#This Row],[PZAS]]*otros[[#This Row],[PRECIO $ C/U]]*COTIZACION!$I$135</f>
        <v>15000</v>
      </c>
      <c r="AD124" s="2">
        <v>2</v>
      </c>
      <c r="AE124" t="s">
        <v>248</v>
      </c>
      <c r="AF124" s="16" t="s">
        <v>90</v>
      </c>
    </row>
    <row r="125" spans="2:43">
      <c r="B125" s="41">
        <v>1</v>
      </c>
      <c r="C125" s="42" t="s">
        <v>82</v>
      </c>
      <c r="D125" s="24" t="str">
        <f>CONCATENATE(ACERO1[[#This Row],[TIPO]]," ",ACERO1[[#This Row],[NUM. DE EJES]]," ",ACERO1[[#This Row],[LARGO]])</f>
        <v>PLATAFORMA 2 42 FT</v>
      </c>
      <c r="E125" s="42" t="s">
        <v>24</v>
      </c>
      <c r="F125" s="43">
        <v>5824.5</v>
      </c>
      <c r="G125" s="43">
        <f>PRODUCTOS!$B125*PRODUCTOS!$F125*COTIZACION!$I$135</f>
        <v>5824.5</v>
      </c>
      <c r="H125" s="48">
        <v>2</v>
      </c>
      <c r="I125" s="48" t="s">
        <v>242</v>
      </c>
      <c r="J125" s="44" t="s">
        <v>87</v>
      </c>
      <c r="K125" s="45"/>
      <c r="X125">
        <v>1</v>
      </c>
      <c r="Y125" t="s">
        <v>82</v>
      </c>
      <c r="Z125" t="str">
        <f>CONCATENATE(otros[[#This Row],[TIPO]]," ",otros[[#This Row],[NUM. DE EJES]]," ",otros[[#This Row],[LARGO]])</f>
        <v>PLATAFORMA 2 35 FT</v>
      </c>
      <c r="AA125" t="s">
        <v>162</v>
      </c>
      <c r="AB125" s="6">
        <v>5000</v>
      </c>
      <c r="AC125" s="28">
        <f>otros[[#This Row],[PZAS]]*otros[[#This Row],[PRECIO $ C/U]]*COTIZACION!$I$135</f>
        <v>5000</v>
      </c>
      <c r="AD125" s="2">
        <v>2</v>
      </c>
      <c r="AE125" t="s">
        <v>248</v>
      </c>
      <c r="AF125" s="16" t="s">
        <v>90</v>
      </c>
    </row>
    <row r="126" spans="2:43">
      <c r="B126" s="46">
        <v>1</v>
      </c>
      <c r="C126" s="24" t="s">
        <v>82</v>
      </c>
      <c r="D126" s="24" t="str">
        <f>CONCATENATE(ACERO1[[#This Row],[TIPO]]," ",ACERO1[[#This Row],[NUM. DE EJES]]," ",ACERO1[[#This Row],[LARGO]])</f>
        <v>PLATAFORMA 2 42 FT</v>
      </c>
      <c r="E126" s="24" t="s">
        <v>170</v>
      </c>
      <c r="F126" s="29">
        <v>180</v>
      </c>
      <c r="G126" s="29">
        <f>PRODUCTOS!$B126*PRODUCTOS!$F126*COTIZACION!$I$135</f>
        <v>180</v>
      </c>
      <c r="H126" s="49">
        <v>2</v>
      </c>
      <c r="I126" s="49" t="s">
        <v>242</v>
      </c>
      <c r="J126" s="30" t="s">
        <v>87</v>
      </c>
      <c r="K126" s="47"/>
      <c r="X126">
        <v>1</v>
      </c>
      <c r="Y126" t="s">
        <v>82</v>
      </c>
      <c r="Z126" t="str">
        <f>CONCATENATE(otros[[#This Row],[TIPO]]," ",otros[[#This Row],[NUM. DE EJES]]," ",otros[[#This Row],[LARGO]])</f>
        <v>PLATAFORMA 2 35 FT</v>
      </c>
      <c r="AA126" t="s">
        <v>177</v>
      </c>
      <c r="AB126" s="6">
        <v>1500</v>
      </c>
      <c r="AC126" s="28">
        <f>otros[[#This Row],[PZAS]]*otros[[#This Row],[PRECIO $ C/U]]*COTIZACION!$I$135</f>
        <v>1500</v>
      </c>
      <c r="AD126" s="2">
        <v>2</v>
      </c>
      <c r="AE126" t="s">
        <v>248</v>
      </c>
      <c r="AF126" s="16" t="s">
        <v>90</v>
      </c>
    </row>
    <row r="127" spans="2:43">
      <c r="B127" s="41">
        <v>1</v>
      </c>
      <c r="C127" s="42" t="s">
        <v>82</v>
      </c>
      <c r="D127" s="24" t="str">
        <f>CONCATENATE(ACERO1[[#This Row],[TIPO]]," ",ACERO1[[#This Row],[NUM. DE EJES]]," ",ACERO1[[#This Row],[LARGO]])</f>
        <v>PLATAFORMA 2 42 FT</v>
      </c>
      <c r="E127" s="42" t="s">
        <v>171</v>
      </c>
      <c r="F127" s="43">
        <v>290</v>
      </c>
      <c r="G127" s="43">
        <f>PRODUCTOS!$B127*PRODUCTOS!$F127*COTIZACION!$I$135</f>
        <v>290</v>
      </c>
      <c r="H127" s="48">
        <v>2</v>
      </c>
      <c r="I127" s="48" t="s">
        <v>242</v>
      </c>
      <c r="J127" s="44" t="s">
        <v>87</v>
      </c>
      <c r="K127" s="45"/>
      <c r="X127">
        <v>1</v>
      </c>
      <c r="Y127" t="s">
        <v>82</v>
      </c>
      <c r="Z127" t="str">
        <f>CONCATENATE(otros[[#This Row],[TIPO]]," ",otros[[#This Row],[NUM. DE EJES]]," ",otros[[#This Row],[LARGO]])</f>
        <v>PLATAFORMA 2 35 FT</v>
      </c>
      <c r="AA127" t="s">
        <v>163</v>
      </c>
      <c r="AB127" s="6">
        <v>30000</v>
      </c>
      <c r="AC127" s="28">
        <f>otros[[#This Row],[PZAS]]*otros[[#This Row],[PRECIO $ C/U]]*COTIZACION!$I$135</f>
        <v>30000</v>
      </c>
      <c r="AD127" s="2">
        <v>2</v>
      </c>
      <c r="AE127" t="s">
        <v>248</v>
      </c>
      <c r="AF127" s="16" t="s">
        <v>90</v>
      </c>
    </row>
    <row r="128" spans="2:43">
      <c r="B128" s="46">
        <v>1</v>
      </c>
      <c r="C128" s="24" t="s">
        <v>82</v>
      </c>
      <c r="D128" s="24" t="str">
        <f>CONCATENATE(ACERO1[[#This Row],[TIPO]]," ",ACERO1[[#This Row],[NUM. DE EJES]]," ",ACERO1[[#This Row],[LARGO]])</f>
        <v>PLATAFORMA 2 42 FT</v>
      </c>
      <c r="E128" s="24" t="s">
        <v>27</v>
      </c>
      <c r="F128" s="29">
        <v>5055</v>
      </c>
      <c r="G128" s="29">
        <f>PRODUCTOS!$B128*PRODUCTOS!$F128*COTIZACION!$I$135</f>
        <v>5055</v>
      </c>
      <c r="H128" s="49">
        <v>2</v>
      </c>
      <c r="I128" s="49" t="s">
        <v>242</v>
      </c>
      <c r="J128" s="30" t="s">
        <v>87</v>
      </c>
      <c r="K128" s="47"/>
      <c r="X128">
        <v>0</v>
      </c>
      <c r="Y128" t="s">
        <v>82</v>
      </c>
      <c r="Z128" t="str">
        <f>CONCATENATE(otros[[#This Row],[TIPO]]," ",otros[[#This Row],[NUM. DE EJES]]," ",otros[[#This Row],[LARGO]])</f>
        <v>PLATAFORMA 2 35 FT</v>
      </c>
      <c r="AA128" t="s">
        <v>164</v>
      </c>
      <c r="AB128" s="6">
        <v>50</v>
      </c>
      <c r="AC128" s="28">
        <f>otros[[#This Row],[PZAS]]*otros[[#This Row],[PRECIO $ C/U]]*COTIZACION!$I$135</f>
        <v>0</v>
      </c>
      <c r="AD128" s="2">
        <v>2</v>
      </c>
      <c r="AE128" t="s">
        <v>248</v>
      </c>
      <c r="AF128" s="16" t="s">
        <v>90</v>
      </c>
    </row>
    <row r="129" spans="2:32">
      <c r="B129" s="41">
        <v>1</v>
      </c>
      <c r="C129" s="42" t="s">
        <v>82</v>
      </c>
      <c r="D129" s="24" t="str">
        <f>CONCATENATE(ACERO1[[#This Row],[TIPO]]," ",ACERO1[[#This Row],[NUM. DE EJES]]," ",ACERO1[[#This Row],[LARGO]])</f>
        <v>PLATAFORMA 2 42 FT</v>
      </c>
      <c r="E129" s="42" t="s">
        <v>146</v>
      </c>
      <c r="F129" s="43">
        <v>274</v>
      </c>
      <c r="G129" s="43">
        <f>PRODUCTOS!$B129*PRODUCTOS!$F129*COTIZACION!$I$135</f>
        <v>274</v>
      </c>
      <c r="H129" s="48">
        <v>2</v>
      </c>
      <c r="I129" s="48" t="s">
        <v>242</v>
      </c>
      <c r="J129" s="44" t="s">
        <v>87</v>
      </c>
      <c r="K129" s="45"/>
      <c r="X129">
        <v>2.1</v>
      </c>
      <c r="Y129" t="s">
        <v>82</v>
      </c>
      <c r="Z129" t="str">
        <f>CONCATENATE(otros[[#This Row],[TIPO]]," ",otros[[#This Row],[NUM. DE EJES]]," ",otros[[#This Row],[LARGO]])</f>
        <v>PLATAFORMA 2 48 FT</v>
      </c>
      <c r="AA129" t="s">
        <v>51</v>
      </c>
      <c r="AB129" s="6">
        <v>820</v>
      </c>
      <c r="AC129" s="28">
        <f>otros[[#This Row],[PZAS]]*otros[[#This Row],[PRECIO $ C/U]]*COTIZACION!$I$135</f>
        <v>1722</v>
      </c>
      <c r="AD129" s="2">
        <v>2</v>
      </c>
      <c r="AE129" t="s">
        <v>176</v>
      </c>
      <c r="AF129" s="16" t="s">
        <v>90</v>
      </c>
    </row>
    <row r="130" spans="2:32">
      <c r="B130" s="46">
        <v>1</v>
      </c>
      <c r="C130" s="24" t="s">
        <v>82</v>
      </c>
      <c r="D130" s="24" t="str">
        <f>CONCATENATE(ACERO1[[#This Row],[TIPO]]," ",ACERO1[[#This Row],[NUM. DE EJES]]," ",ACERO1[[#This Row],[LARGO]])</f>
        <v>PLATAFORMA 2 42 FT</v>
      </c>
      <c r="E130" s="24" t="s">
        <v>149</v>
      </c>
      <c r="F130" s="29">
        <v>1331</v>
      </c>
      <c r="G130" s="29">
        <f>PRODUCTOS!$B130*PRODUCTOS!$F130*COTIZACION!$I$135</f>
        <v>1331</v>
      </c>
      <c r="H130" s="49">
        <v>2</v>
      </c>
      <c r="I130" s="49" t="s">
        <v>242</v>
      </c>
      <c r="J130" s="30" t="s">
        <v>87</v>
      </c>
      <c r="K130" s="47"/>
      <c r="X130">
        <v>4.2</v>
      </c>
      <c r="Y130" t="s">
        <v>82</v>
      </c>
      <c r="Z130" t="str">
        <f>CONCATENATE(otros[[#This Row],[TIPO]]," ",otros[[#This Row],[NUM. DE EJES]]," ",otros[[#This Row],[LARGO]])</f>
        <v>PLATAFORMA 2 48 FT</v>
      </c>
      <c r="AA130" t="s">
        <v>52</v>
      </c>
      <c r="AB130" s="6">
        <v>1295</v>
      </c>
      <c r="AC130" s="28">
        <f>otros[[#This Row],[PZAS]]*otros[[#This Row],[PRECIO $ C/U]]*COTIZACION!$I$135</f>
        <v>5439</v>
      </c>
      <c r="AD130" s="2">
        <v>2</v>
      </c>
      <c r="AE130" t="s">
        <v>176</v>
      </c>
      <c r="AF130" s="16" t="s">
        <v>90</v>
      </c>
    </row>
    <row r="131" spans="2:32">
      <c r="B131" s="41">
        <v>6</v>
      </c>
      <c r="C131" s="42" t="s">
        <v>82</v>
      </c>
      <c r="D131" s="24" t="str">
        <f>CONCATENATE(ACERO1[[#This Row],[TIPO]]," ",ACERO1[[#This Row],[NUM. DE EJES]]," ",ACERO1[[#This Row],[LARGO]])</f>
        <v>PLATAFORMA 2 42 FT</v>
      </c>
      <c r="E131" s="42" t="s">
        <v>172</v>
      </c>
      <c r="F131" s="43">
        <v>1000.8</v>
      </c>
      <c r="G131" s="43">
        <f>PRODUCTOS!$B131*PRODUCTOS!$F131*COTIZACION!$I$135</f>
        <v>6004.7999999999993</v>
      </c>
      <c r="H131" s="48">
        <v>2</v>
      </c>
      <c r="I131" s="48" t="s">
        <v>242</v>
      </c>
      <c r="J131" s="44" t="s">
        <v>87</v>
      </c>
      <c r="K131" s="45"/>
      <c r="X131">
        <v>1.05</v>
      </c>
      <c r="Y131" t="s">
        <v>82</v>
      </c>
      <c r="Z131" t="str">
        <f>CONCATENATE(otros[[#This Row],[TIPO]]," ",otros[[#This Row],[NUM. DE EJES]]," ",otros[[#This Row],[LARGO]])</f>
        <v>PLATAFORMA 2 48 FT</v>
      </c>
      <c r="AA131" t="s">
        <v>53</v>
      </c>
      <c r="AB131" s="6">
        <v>550</v>
      </c>
      <c r="AC131" s="28">
        <f>otros[[#This Row],[PZAS]]*otros[[#This Row],[PRECIO $ C/U]]*COTIZACION!$I$135</f>
        <v>577.5</v>
      </c>
      <c r="AD131" s="2">
        <v>2</v>
      </c>
      <c r="AE131" t="s">
        <v>176</v>
      </c>
      <c r="AF131" s="16" t="s">
        <v>90</v>
      </c>
    </row>
    <row r="132" spans="2:32">
      <c r="B132" s="46">
        <v>51</v>
      </c>
      <c r="C132" s="24" t="s">
        <v>82</v>
      </c>
      <c r="D132" s="24" t="str">
        <f>CONCATENATE(ACERO1[[#This Row],[TIPO]]," ",ACERO1[[#This Row],[NUM. DE EJES]]," ",ACERO1[[#This Row],[LARGO]])</f>
        <v>PLATAFORMA 2 42 FT</v>
      </c>
      <c r="E132" s="24" t="s">
        <v>173</v>
      </c>
      <c r="F132" s="29">
        <v>83.9</v>
      </c>
      <c r="G132" s="29">
        <f>PRODUCTOS!$B132*PRODUCTOS!$F132*COTIZACION!$I$135</f>
        <v>4278.9000000000005</v>
      </c>
      <c r="H132" s="49">
        <v>2</v>
      </c>
      <c r="I132" s="49" t="s">
        <v>242</v>
      </c>
      <c r="J132" s="30" t="s">
        <v>87</v>
      </c>
      <c r="K132" s="47"/>
      <c r="X132">
        <v>2</v>
      </c>
      <c r="Y132" t="s">
        <v>82</v>
      </c>
      <c r="Z132" t="str">
        <f>CONCATENATE(otros[[#This Row],[TIPO]]," ",otros[[#This Row],[NUM. DE EJES]]," ",otros[[#This Row],[LARGO]])</f>
        <v>PLATAFORMA 2 48 FT</v>
      </c>
      <c r="AA132" t="s">
        <v>54</v>
      </c>
      <c r="AB132" s="6">
        <v>163</v>
      </c>
      <c r="AC132" s="28">
        <f>otros[[#This Row],[PZAS]]*otros[[#This Row],[PRECIO $ C/U]]*COTIZACION!$I$135</f>
        <v>326</v>
      </c>
      <c r="AD132" s="2">
        <v>2</v>
      </c>
      <c r="AE132" t="s">
        <v>176</v>
      </c>
      <c r="AF132" s="16" t="s">
        <v>90</v>
      </c>
    </row>
    <row r="133" spans="2:32">
      <c r="B133" s="41">
        <v>1</v>
      </c>
      <c r="C133" s="42" t="s">
        <v>82</v>
      </c>
      <c r="D133" s="24" t="str">
        <f>CONCATENATE(ACERO1[[#This Row],[TIPO]]," ",ACERO1[[#This Row],[NUM. DE EJES]]," ",ACERO1[[#This Row],[LARGO]])</f>
        <v>PLATAFORMA 2 42 FT</v>
      </c>
      <c r="E133" s="42" t="s">
        <v>45</v>
      </c>
      <c r="F133" s="43">
        <v>768</v>
      </c>
      <c r="G133" s="43">
        <f>PRODUCTOS!$B133*PRODUCTOS!$F133*COTIZACION!$I$135</f>
        <v>768</v>
      </c>
      <c r="H133" s="48">
        <v>2</v>
      </c>
      <c r="I133" s="48" t="s">
        <v>242</v>
      </c>
      <c r="J133" s="44" t="s">
        <v>87</v>
      </c>
      <c r="K133" s="45"/>
      <c r="X133">
        <v>4.2</v>
      </c>
      <c r="Y133" t="s">
        <v>82</v>
      </c>
      <c r="Z133" t="str">
        <f>CONCATENATE(otros[[#This Row],[TIPO]]," ",otros[[#This Row],[NUM. DE EJES]]," ",otros[[#This Row],[LARGO]])</f>
        <v>PLATAFORMA 2 48 FT</v>
      </c>
      <c r="AA133" t="s">
        <v>55</v>
      </c>
      <c r="AB133" s="6">
        <v>150</v>
      </c>
      <c r="AC133" s="28">
        <f>otros[[#This Row],[PZAS]]*otros[[#This Row],[PRECIO $ C/U]]*COTIZACION!$I$135</f>
        <v>630</v>
      </c>
      <c r="AD133" s="2">
        <v>2</v>
      </c>
      <c r="AE133" t="s">
        <v>176</v>
      </c>
      <c r="AF133" s="16" t="s">
        <v>90</v>
      </c>
    </row>
    <row r="134" spans="2:32">
      <c r="B134" s="46">
        <v>1</v>
      </c>
      <c r="C134" s="24" t="s">
        <v>82</v>
      </c>
      <c r="D134" s="24" t="str">
        <f>CONCATENATE(ACERO1[[#This Row],[TIPO]]," ",ACERO1[[#This Row],[NUM. DE EJES]]," ",ACERO1[[#This Row],[LARGO]])</f>
        <v>PLATAFORMA 2 42 FT</v>
      </c>
      <c r="E134" s="24" t="s">
        <v>241</v>
      </c>
      <c r="F134" s="29">
        <v>3276</v>
      </c>
      <c r="G134" s="29">
        <f>PRODUCTOS!$B134*PRODUCTOS!$F134*COTIZACION!$I$135</f>
        <v>3276</v>
      </c>
      <c r="H134" s="49">
        <v>2</v>
      </c>
      <c r="I134" s="49" t="s">
        <v>242</v>
      </c>
      <c r="J134" s="30" t="s">
        <v>87</v>
      </c>
      <c r="K134" s="47"/>
      <c r="X134">
        <v>2.1</v>
      </c>
      <c r="Y134" t="s">
        <v>82</v>
      </c>
      <c r="Z134" t="str">
        <f>CONCATENATE(otros[[#This Row],[TIPO]]," ",otros[[#This Row],[NUM. DE EJES]]," ",otros[[#This Row],[LARGO]])</f>
        <v>PLATAFORMA 2 48 FT</v>
      </c>
      <c r="AA134" t="s">
        <v>56</v>
      </c>
      <c r="AB134" s="6">
        <v>165</v>
      </c>
      <c r="AC134" s="28">
        <f>otros[[#This Row],[PZAS]]*otros[[#This Row],[PRECIO $ C/U]]*COTIZACION!$I$135</f>
        <v>346.5</v>
      </c>
      <c r="AD134" s="2">
        <v>2</v>
      </c>
      <c r="AE134" t="s">
        <v>176</v>
      </c>
      <c r="AF134" s="16" t="s">
        <v>90</v>
      </c>
    </row>
    <row r="135" spans="2:32">
      <c r="B135" s="41">
        <v>2</v>
      </c>
      <c r="C135" s="42" t="s">
        <v>82</v>
      </c>
      <c r="D135" s="24" t="str">
        <f>CONCATENATE(ACERO1[[#This Row],[TIPO]]," ",ACERO1[[#This Row],[NUM. DE EJES]]," ",ACERO1[[#This Row],[LARGO]])</f>
        <v>PLATAFORMA 2 42 FT</v>
      </c>
      <c r="E135" s="42" t="s">
        <v>174</v>
      </c>
      <c r="F135" s="43">
        <v>150</v>
      </c>
      <c r="G135" s="43">
        <f>PRODUCTOS!$B135*PRODUCTOS!$F135*COTIZACION!$I$135</f>
        <v>300</v>
      </c>
      <c r="H135" s="48">
        <v>2</v>
      </c>
      <c r="I135" s="48" t="s">
        <v>242</v>
      </c>
      <c r="J135" s="44" t="s">
        <v>87</v>
      </c>
      <c r="K135" s="45"/>
      <c r="X135">
        <v>2.1</v>
      </c>
      <c r="Y135" t="s">
        <v>82</v>
      </c>
      <c r="Z135" t="str">
        <f>CONCATENATE(otros[[#This Row],[TIPO]]," ",otros[[#This Row],[NUM. DE EJES]]," ",otros[[#This Row],[LARGO]])</f>
        <v>PLATAFORMA 2 48 FT</v>
      </c>
      <c r="AA135" t="s">
        <v>57</v>
      </c>
      <c r="AB135" s="6">
        <v>165</v>
      </c>
      <c r="AC135" s="28">
        <f>otros[[#This Row],[PZAS]]*otros[[#This Row],[PRECIO $ C/U]]*COTIZACION!$I$135</f>
        <v>346.5</v>
      </c>
      <c r="AD135" s="2">
        <v>2</v>
      </c>
      <c r="AE135" t="s">
        <v>176</v>
      </c>
      <c r="AF135" s="16" t="s">
        <v>90</v>
      </c>
    </row>
    <row r="136" spans="2:32">
      <c r="B136" s="46">
        <v>1</v>
      </c>
      <c r="C136" s="24" t="s">
        <v>82</v>
      </c>
      <c r="D136" s="24" t="str">
        <f>CONCATENATE(ACERO1[[#This Row],[TIPO]]," ",ACERO1[[#This Row],[NUM. DE EJES]]," ",ACERO1[[#This Row],[LARGO]])</f>
        <v>PLATAFORMA 2 42 FT</v>
      </c>
      <c r="E136" s="24" t="s">
        <v>175</v>
      </c>
      <c r="F136" s="29">
        <v>3768</v>
      </c>
      <c r="G136" s="29">
        <f>PRODUCTOS!$B136*PRODUCTOS!$F136*COTIZACION!$I$135</f>
        <v>3768</v>
      </c>
      <c r="H136" s="49">
        <v>2</v>
      </c>
      <c r="I136" s="49" t="s">
        <v>242</v>
      </c>
      <c r="J136" s="30" t="s">
        <v>87</v>
      </c>
      <c r="K136" s="47"/>
      <c r="X136">
        <v>2.1</v>
      </c>
      <c r="Y136" t="s">
        <v>82</v>
      </c>
      <c r="Z136" t="str">
        <f>CONCATENATE(otros[[#This Row],[TIPO]]," ",otros[[#This Row],[NUM. DE EJES]]," ",otros[[#This Row],[LARGO]])</f>
        <v>PLATAFORMA 2 48 FT</v>
      </c>
      <c r="AA136" t="s">
        <v>58</v>
      </c>
      <c r="AB136" s="6">
        <v>127</v>
      </c>
      <c r="AC136" s="28">
        <f>otros[[#This Row],[PZAS]]*otros[[#This Row],[PRECIO $ C/U]]*COTIZACION!$I$135</f>
        <v>266.7</v>
      </c>
      <c r="AD136" s="2">
        <v>2</v>
      </c>
      <c r="AE136" t="s">
        <v>176</v>
      </c>
      <c r="AF136" s="16" t="s">
        <v>90</v>
      </c>
    </row>
    <row r="137" spans="2:32">
      <c r="B137" s="41">
        <v>1</v>
      </c>
      <c r="C137" s="24" t="s">
        <v>82</v>
      </c>
      <c r="D137" s="24" t="str">
        <f>CONCATENATE(ACERO1[[#This Row],[TIPO]]," ",ACERO1[[#This Row],[NUM. DE EJES]]," ",ACERO1[[#This Row],[LARGO]])</f>
        <v>PLATAFORMA 3 42 FT</v>
      </c>
      <c r="E137" s="42" t="s">
        <v>8</v>
      </c>
      <c r="F137" s="43">
        <v>2064</v>
      </c>
      <c r="G137" s="43">
        <f>PRODUCTOS!$B137*PRODUCTOS!$F137*COTIZACION!$I$135</f>
        <v>2064</v>
      </c>
      <c r="H137" s="49">
        <v>3</v>
      </c>
      <c r="I137" s="49" t="s">
        <v>242</v>
      </c>
      <c r="J137" s="30" t="s">
        <v>87</v>
      </c>
      <c r="K137" s="45"/>
      <c r="X137">
        <v>10.5</v>
      </c>
      <c r="Y137" t="s">
        <v>82</v>
      </c>
      <c r="Z137" t="str">
        <f>CONCATENATE(otros[[#This Row],[TIPO]]," ",otros[[#This Row],[NUM. DE EJES]]," ",otros[[#This Row],[LARGO]])</f>
        <v>PLATAFORMA 2 48 FT</v>
      </c>
      <c r="AA137" t="s">
        <v>59</v>
      </c>
      <c r="AB137" s="6">
        <v>20</v>
      </c>
      <c r="AC137" s="28">
        <f>otros[[#This Row],[PZAS]]*otros[[#This Row],[PRECIO $ C/U]]*COTIZACION!$I$135</f>
        <v>210</v>
      </c>
      <c r="AD137" s="2">
        <v>2</v>
      </c>
      <c r="AE137" t="s">
        <v>176</v>
      </c>
      <c r="AF137" s="16" t="s">
        <v>90</v>
      </c>
    </row>
    <row r="138" spans="2:32">
      <c r="B138" s="46">
        <v>1</v>
      </c>
      <c r="C138" s="24" t="s">
        <v>82</v>
      </c>
      <c r="D138" s="24" t="str">
        <f>CONCATENATE(ACERO1[[#This Row],[TIPO]]," ",ACERO1[[#This Row],[NUM. DE EJES]]," ",ACERO1[[#This Row],[LARGO]])</f>
        <v>PLATAFORMA 3 42 FT</v>
      </c>
      <c r="E138" s="24" t="s">
        <v>9</v>
      </c>
      <c r="F138" s="29">
        <v>2328</v>
      </c>
      <c r="G138" s="29">
        <f>PRODUCTOS!$B138*PRODUCTOS!$F138*COTIZACION!$I$135</f>
        <v>2328</v>
      </c>
      <c r="H138" s="49">
        <v>3</v>
      </c>
      <c r="I138" s="49" t="s">
        <v>242</v>
      </c>
      <c r="J138" s="30" t="s">
        <v>87</v>
      </c>
      <c r="K138" s="47"/>
      <c r="X138">
        <v>1.05</v>
      </c>
      <c r="Y138" t="s">
        <v>82</v>
      </c>
      <c r="Z138" t="str">
        <f>CONCATENATE(otros[[#This Row],[TIPO]]," ",otros[[#This Row],[NUM. DE EJES]]," ",otros[[#This Row],[LARGO]])</f>
        <v>PLATAFORMA 2 48 FT</v>
      </c>
      <c r="AA138" t="s">
        <v>245</v>
      </c>
      <c r="AB138" s="6">
        <v>551</v>
      </c>
      <c r="AC138" s="28">
        <f>otros[[#This Row],[PZAS]]*otros[[#This Row],[PRECIO $ C/U]]*COTIZACION!$I$135</f>
        <v>578.55000000000007</v>
      </c>
      <c r="AD138" s="2">
        <v>2</v>
      </c>
      <c r="AE138" t="s">
        <v>176</v>
      </c>
      <c r="AF138" s="16" t="s">
        <v>90</v>
      </c>
    </row>
    <row r="139" spans="2:32">
      <c r="B139" s="41">
        <v>1</v>
      </c>
      <c r="C139" s="24" t="s">
        <v>82</v>
      </c>
      <c r="D139" s="24" t="str">
        <f>CONCATENATE(ACERO1[[#This Row],[TIPO]]," ",ACERO1[[#This Row],[NUM. DE EJES]]," ",ACERO1[[#This Row],[LARGO]])</f>
        <v>PLATAFORMA 3 42 FT</v>
      </c>
      <c r="E139" s="42" t="s">
        <v>10</v>
      </c>
      <c r="F139" s="43">
        <v>84</v>
      </c>
      <c r="G139" s="43">
        <f>PRODUCTOS!$B139*PRODUCTOS!$F139*COTIZACION!$I$135</f>
        <v>84</v>
      </c>
      <c r="H139" s="49">
        <v>3</v>
      </c>
      <c r="I139" s="49" t="s">
        <v>242</v>
      </c>
      <c r="J139" s="30" t="s">
        <v>87</v>
      </c>
      <c r="K139" s="45"/>
      <c r="X139">
        <v>2</v>
      </c>
      <c r="Y139" t="s">
        <v>82</v>
      </c>
      <c r="Z139" t="str">
        <f>CONCATENATE(otros[[#This Row],[TIPO]]," ",otros[[#This Row],[NUM. DE EJES]]," ",otros[[#This Row],[LARGO]])</f>
        <v>PLATAFORMA 2 48 FT</v>
      </c>
      <c r="AA139" t="s">
        <v>61</v>
      </c>
      <c r="AB139" s="6">
        <v>586</v>
      </c>
      <c r="AC139" s="28">
        <f>otros[[#This Row],[PZAS]]*otros[[#This Row],[PRECIO $ C/U]]*COTIZACION!$I$135</f>
        <v>1172</v>
      </c>
      <c r="AD139" s="2">
        <v>2</v>
      </c>
      <c r="AE139" t="s">
        <v>176</v>
      </c>
      <c r="AF139" s="16" t="s">
        <v>90</v>
      </c>
    </row>
    <row r="140" spans="2:32">
      <c r="B140" s="46">
        <v>2</v>
      </c>
      <c r="C140" s="24" t="s">
        <v>82</v>
      </c>
      <c r="D140" s="24" t="str">
        <f>CONCATENATE(ACERO1[[#This Row],[TIPO]]," ",ACERO1[[#This Row],[NUM. DE EJES]]," ",ACERO1[[#This Row],[LARGO]])</f>
        <v>PLATAFORMA 3 42 FT</v>
      </c>
      <c r="E140" s="24" t="s">
        <v>147</v>
      </c>
      <c r="F140" s="29">
        <v>480</v>
      </c>
      <c r="G140" s="29">
        <f>PRODUCTOS!$B140*PRODUCTOS!$F140*COTIZACION!$I$135</f>
        <v>960</v>
      </c>
      <c r="H140" s="49">
        <v>3</v>
      </c>
      <c r="I140" s="49" t="s">
        <v>242</v>
      </c>
      <c r="J140" s="30" t="s">
        <v>87</v>
      </c>
      <c r="K140" s="47"/>
      <c r="X140">
        <v>1.05</v>
      </c>
      <c r="Y140" t="s">
        <v>82</v>
      </c>
      <c r="Z140" t="str">
        <f>CONCATENATE(otros[[#This Row],[TIPO]]," ",otros[[#This Row],[NUM. DE EJES]]," ",otros[[#This Row],[LARGO]])</f>
        <v>PLATAFORMA 2 48 FT</v>
      </c>
      <c r="AA140" t="s">
        <v>62</v>
      </c>
      <c r="AB140" s="6">
        <v>2500</v>
      </c>
      <c r="AC140" s="28">
        <f>otros[[#This Row],[PZAS]]*otros[[#This Row],[PRECIO $ C/U]]*COTIZACION!$I$135</f>
        <v>2625</v>
      </c>
      <c r="AD140" s="2">
        <v>2</v>
      </c>
      <c r="AE140" t="s">
        <v>176</v>
      </c>
      <c r="AF140" s="16" t="s">
        <v>90</v>
      </c>
    </row>
    <row r="141" spans="2:32">
      <c r="B141" s="41">
        <v>1</v>
      </c>
      <c r="C141" s="24" t="s">
        <v>82</v>
      </c>
      <c r="D141" s="24" t="str">
        <f>CONCATENATE(ACERO1[[#This Row],[TIPO]]," ",ACERO1[[#This Row],[NUM. DE EJES]]," ",ACERO1[[#This Row],[LARGO]])</f>
        <v>PLATAFORMA 3 42 FT</v>
      </c>
      <c r="E141" s="42" t="s">
        <v>240</v>
      </c>
      <c r="F141" s="43">
        <v>1845</v>
      </c>
      <c r="G141" s="43">
        <f>PRODUCTOS!$B141*PRODUCTOS!$F141*COTIZACION!$I$135</f>
        <v>1845</v>
      </c>
      <c r="H141" s="49">
        <v>3</v>
      </c>
      <c r="I141" s="49" t="s">
        <v>242</v>
      </c>
      <c r="J141" s="30" t="s">
        <v>87</v>
      </c>
      <c r="K141" s="45"/>
      <c r="X141">
        <v>2</v>
      </c>
      <c r="Y141" t="s">
        <v>82</v>
      </c>
      <c r="Z141" t="str">
        <f>CONCATENATE(otros[[#This Row],[TIPO]]," ",otros[[#This Row],[NUM. DE EJES]]," ",otros[[#This Row],[LARGO]])</f>
        <v>PLATAFORMA 2 48 FT</v>
      </c>
      <c r="AA141" t="s">
        <v>244</v>
      </c>
      <c r="AB141" s="6">
        <v>350</v>
      </c>
      <c r="AC141" s="28">
        <f>otros[[#This Row],[PZAS]]*otros[[#This Row],[PRECIO $ C/U]]*COTIZACION!$I$135</f>
        <v>700</v>
      </c>
      <c r="AD141" s="2">
        <v>2</v>
      </c>
      <c r="AE141" t="s">
        <v>176</v>
      </c>
      <c r="AF141" s="16" t="s">
        <v>90</v>
      </c>
    </row>
    <row r="142" spans="2:32">
      <c r="B142" s="46">
        <v>1</v>
      </c>
      <c r="C142" s="24" t="s">
        <v>82</v>
      </c>
      <c r="D142" s="24" t="str">
        <f>CONCATENATE(ACERO1[[#This Row],[TIPO]]," ",ACERO1[[#This Row],[NUM. DE EJES]]," ",ACERO1[[#This Row],[LARGO]])</f>
        <v>PLATAFORMA 3 42 FT</v>
      </c>
      <c r="E142" s="24" t="s">
        <v>13</v>
      </c>
      <c r="F142" s="29">
        <v>437</v>
      </c>
      <c r="G142" s="29">
        <f>PRODUCTOS!$B142*PRODUCTOS!$F142*COTIZACION!$I$135</f>
        <v>437</v>
      </c>
      <c r="H142" s="49">
        <v>3</v>
      </c>
      <c r="I142" s="49" t="s">
        <v>242</v>
      </c>
      <c r="J142" s="30" t="s">
        <v>87</v>
      </c>
      <c r="K142" s="47"/>
      <c r="X142">
        <v>1.05</v>
      </c>
      <c r="Y142" t="s">
        <v>82</v>
      </c>
      <c r="Z142" t="str">
        <f>CONCATENATE(otros[[#This Row],[TIPO]]," ",otros[[#This Row],[NUM. DE EJES]]," ",otros[[#This Row],[LARGO]])</f>
        <v>PLATAFORMA 2 48 FT</v>
      </c>
      <c r="AA142" t="s">
        <v>66</v>
      </c>
      <c r="AB142" s="6">
        <v>10000</v>
      </c>
      <c r="AC142" s="28">
        <f>otros[[#This Row],[PZAS]]*otros[[#This Row],[PRECIO $ C/U]]*COTIZACION!$I$135</f>
        <v>10500</v>
      </c>
      <c r="AD142" s="2">
        <v>2</v>
      </c>
      <c r="AE142" t="s">
        <v>176</v>
      </c>
      <c r="AF142" s="16" t="s">
        <v>90</v>
      </c>
    </row>
    <row r="143" spans="2:32">
      <c r="B143" s="41">
        <v>2</v>
      </c>
      <c r="C143" s="24" t="s">
        <v>82</v>
      </c>
      <c r="D143" s="24" t="str">
        <f>CONCATENATE(ACERO1[[#This Row],[TIPO]]," ",ACERO1[[#This Row],[NUM. DE EJES]]," ",ACERO1[[#This Row],[LARGO]])</f>
        <v>PLATAFORMA 3 42 FT</v>
      </c>
      <c r="E143" s="42" t="s">
        <v>168</v>
      </c>
      <c r="F143" s="43">
        <v>417.6</v>
      </c>
      <c r="G143" s="43">
        <f>PRODUCTOS!$B143*PRODUCTOS!$F143*COTIZACION!$I$135</f>
        <v>835.2</v>
      </c>
      <c r="H143" s="49">
        <v>3</v>
      </c>
      <c r="I143" s="49" t="s">
        <v>242</v>
      </c>
      <c r="J143" s="30" t="s">
        <v>87</v>
      </c>
      <c r="K143" s="45"/>
      <c r="X143">
        <v>1.05</v>
      </c>
      <c r="Y143" t="s">
        <v>82</v>
      </c>
      <c r="Z143" t="str">
        <f>CONCATENATE(otros[[#This Row],[TIPO]]," ",otros[[#This Row],[NUM. DE EJES]]," ",otros[[#This Row],[LARGO]])</f>
        <v>PLATAFORMA 2 48 FT</v>
      </c>
      <c r="AA143" t="s">
        <v>67</v>
      </c>
      <c r="AB143" s="6">
        <v>2000</v>
      </c>
      <c r="AC143" s="28">
        <f>otros[[#This Row],[PZAS]]*otros[[#This Row],[PRECIO $ C/U]]*COTIZACION!$I$135</f>
        <v>2100</v>
      </c>
      <c r="AD143" s="2">
        <v>2</v>
      </c>
      <c r="AE143" t="s">
        <v>176</v>
      </c>
      <c r="AF143" s="16" t="s">
        <v>90</v>
      </c>
    </row>
    <row r="144" spans="2:32">
      <c r="B144" s="37">
        <v>5</v>
      </c>
      <c r="C144" s="24" t="s">
        <v>82</v>
      </c>
      <c r="D144" s="24" t="str">
        <f>CONCATENATE(ACERO1[[#This Row],[TIPO]]," ",ACERO1[[#This Row],[NUM. DE EJES]]," ",ACERO1[[#This Row],[LARGO]])</f>
        <v>PLATAFORMA 3 42 FT</v>
      </c>
      <c r="E144" s="16" t="s">
        <v>16</v>
      </c>
      <c r="F144" s="19">
        <v>504</v>
      </c>
      <c r="G144" s="19">
        <f>PRODUCTOS!$B144*PRODUCTOS!$F144*COTIZACION!$I$135</f>
        <v>2520</v>
      </c>
      <c r="H144" s="49">
        <v>3</v>
      </c>
      <c r="I144" s="49" t="s">
        <v>242</v>
      </c>
      <c r="J144" s="30" t="s">
        <v>87</v>
      </c>
      <c r="K144" s="38"/>
      <c r="X144">
        <v>1</v>
      </c>
      <c r="Y144" t="s">
        <v>82</v>
      </c>
      <c r="Z144" t="str">
        <f>CONCATENATE(otros[[#This Row],[TIPO]]," ",otros[[#This Row],[NUM. DE EJES]]," ",otros[[#This Row],[LARGO]])</f>
        <v>PLATAFORMA 2 48 FT</v>
      </c>
      <c r="AA144" t="s">
        <v>68</v>
      </c>
      <c r="AB144" s="6">
        <v>2500</v>
      </c>
      <c r="AC144" s="28">
        <f>otros[[#This Row],[PZAS]]*otros[[#This Row],[PRECIO $ C/U]]*COTIZACION!$I$135</f>
        <v>2500</v>
      </c>
      <c r="AD144" s="2">
        <v>2</v>
      </c>
      <c r="AE144" t="s">
        <v>176</v>
      </c>
      <c r="AF144" s="16" t="s">
        <v>90</v>
      </c>
    </row>
    <row r="145" spans="2:32">
      <c r="B145">
        <v>1</v>
      </c>
      <c r="C145" s="24" t="s">
        <v>82</v>
      </c>
      <c r="D145" s="24" t="str">
        <f>CONCATENATE(ACERO1[[#This Row],[TIPO]]," ",ACERO1[[#This Row],[NUM. DE EJES]]," ",ACERO1[[#This Row],[LARGO]])</f>
        <v>PLATAFORMA 3 42 FT</v>
      </c>
      <c r="E145" t="s">
        <v>169</v>
      </c>
      <c r="F145" s="6">
        <v>2035</v>
      </c>
      <c r="G145" s="19">
        <f>PRODUCTOS!$B145*PRODUCTOS!$F145*COTIZACION!$I$135</f>
        <v>2035</v>
      </c>
      <c r="H145" s="49">
        <v>3</v>
      </c>
      <c r="I145" s="49" t="s">
        <v>242</v>
      </c>
      <c r="J145" s="30" t="s">
        <v>87</v>
      </c>
      <c r="X145">
        <v>1</v>
      </c>
      <c r="Y145" t="s">
        <v>82</v>
      </c>
      <c r="Z145" t="str">
        <f>CONCATENATE(otros[[#This Row],[TIPO]]," ",otros[[#This Row],[NUM. DE EJES]]," ",otros[[#This Row],[LARGO]])</f>
        <v>PLATAFORMA 2 48 FT</v>
      </c>
      <c r="AA145" t="s">
        <v>0</v>
      </c>
      <c r="AB145" s="6">
        <v>15000</v>
      </c>
      <c r="AC145" s="28">
        <f>otros[[#This Row],[PZAS]]*otros[[#This Row],[PRECIO $ C/U]]*COTIZACION!$I$135</f>
        <v>15000</v>
      </c>
      <c r="AD145" s="2">
        <v>2</v>
      </c>
      <c r="AE145" t="s">
        <v>176</v>
      </c>
      <c r="AF145" s="16" t="s">
        <v>90</v>
      </c>
    </row>
    <row r="146" spans="2:32">
      <c r="B146">
        <v>6</v>
      </c>
      <c r="C146" s="24" t="s">
        <v>82</v>
      </c>
      <c r="D146" s="24" t="str">
        <f>CONCATENATE(ACERO1[[#This Row],[TIPO]]," ",ACERO1[[#This Row],[NUM. DE EJES]]," ",ACERO1[[#This Row],[LARGO]])</f>
        <v>PLATAFORMA 3 42 FT</v>
      </c>
      <c r="E146" t="s">
        <v>20</v>
      </c>
      <c r="F146" s="6">
        <v>740</v>
      </c>
      <c r="G146" s="19">
        <f>PRODUCTOS!$B146*PRODUCTOS!$F146*COTIZACION!$I$135</f>
        <v>4440</v>
      </c>
      <c r="H146" s="49">
        <v>3</v>
      </c>
      <c r="I146" s="49" t="s">
        <v>242</v>
      </c>
      <c r="J146" s="30" t="s">
        <v>87</v>
      </c>
      <c r="X146">
        <v>1</v>
      </c>
      <c r="Y146" t="s">
        <v>82</v>
      </c>
      <c r="Z146" t="str">
        <f>CONCATENATE(otros[[#This Row],[TIPO]]," ",otros[[#This Row],[NUM. DE EJES]]," ",otros[[#This Row],[LARGO]])</f>
        <v>PLATAFORMA 2 48 FT</v>
      </c>
      <c r="AA146" t="s">
        <v>161</v>
      </c>
      <c r="AB146" s="6">
        <v>3000</v>
      </c>
      <c r="AC146" s="28">
        <f>otros[[#This Row],[PZAS]]*otros[[#This Row],[PRECIO $ C/U]]*COTIZACION!$I$135</f>
        <v>3000</v>
      </c>
      <c r="AD146" s="2">
        <v>2</v>
      </c>
      <c r="AE146" t="s">
        <v>176</v>
      </c>
      <c r="AF146" s="16" t="s">
        <v>90</v>
      </c>
    </row>
    <row r="147" spans="2:32">
      <c r="B147">
        <v>1</v>
      </c>
      <c r="C147" s="24" t="s">
        <v>82</v>
      </c>
      <c r="D147" s="24" t="str">
        <f>CONCATENATE(ACERO1[[#This Row],[TIPO]]," ",ACERO1[[#This Row],[NUM. DE EJES]]," ",ACERO1[[#This Row],[LARGO]])</f>
        <v>PLATAFORMA 3 42 FT</v>
      </c>
      <c r="E147" t="s">
        <v>24</v>
      </c>
      <c r="F147" s="6">
        <v>5824.5</v>
      </c>
      <c r="G147" s="19">
        <f>PRODUCTOS!$B147*PRODUCTOS!$F147*COTIZACION!$I$135</f>
        <v>5824.5</v>
      </c>
      <c r="H147" s="49">
        <v>3</v>
      </c>
      <c r="I147" s="49" t="s">
        <v>242</v>
      </c>
      <c r="J147" s="30" t="s">
        <v>87</v>
      </c>
      <c r="X147">
        <v>1</v>
      </c>
      <c r="Y147" t="s">
        <v>82</v>
      </c>
      <c r="Z147" t="str">
        <f>CONCATENATE(otros[[#This Row],[TIPO]]," ",otros[[#This Row],[NUM. DE EJES]]," ",otros[[#This Row],[LARGO]])</f>
        <v>PLATAFORMA 2 48 FT</v>
      </c>
      <c r="AA147" t="s">
        <v>65</v>
      </c>
      <c r="AB147" s="6">
        <v>15000</v>
      </c>
      <c r="AC147" s="28">
        <f>otros[[#This Row],[PZAS]]*otros[[#This Row],[PRECIO $ C/U]]*COTIZACION!$I$135</f>
        <v>15000</v>
      </c>
      <c r="AD147" s="2">
        <v>2</v>
      </c>
      <c r="AE147" t="s">
        <v>176</v>
      </c>
      <c r="AF147" s="16" t="s">
        <v>90</v>
      </c>
    </row>
    <row r="148" spans="2:32">
      <c r="B148">
        <v>1</v>
      </c>
      <c r="C148" s="24" t="s">
        <v>82</v>
      </c>
      <c r="D148" s="24" t="str">
        <f>CONCATENATE(ACERO1[[#This Row],[TIPO]]," ",ACERO1[[#This Row],[NUM. DE EJES]]," ",ACERO1[[#This Row],[LARGO]])</f>
        <v>PLATAFORMA 3 42 FT</v>
      </c>
      <c r="E148" t="s">
        <v>170</v>
      </c>
      <c r="F148" s="6">
        <v>180</v>
      </c>
      <c r="G148" s="19">
        <f>PRODUCTOS!$B148*PRODUCTOS!$F148*COTIZACION!$I$135</f>
        <v>180</v>
      </c>
      <c r="H148" s="49">
        <v>3</v>
      </c>
      <c r="I148" s="49" t="s">
        <v>242</v>
      </c>
      <c r="J148" s="30" t="s">
        <v>87</v>
      </c>
      <c r="X148">
        <v>1</v>
      </c>
      <c r="Y148" t="s">
        <v>82</v>
      </c>
      <c r="Z148" t="str">
        <f>CONCATENATE(otros[[#This Row],[TIPO]]," ",otros[[#This Row],[NUM. DE EJES]]," ",otros[[#This Row],[LARGO]])</f>
        <v>PLATAFORMA 2 48 FT</v>
      </c>
      <c r="AA148" t="s">
        <v>162</v>
      </c>
      <c r="AB148" s="6">
        <v>5000</v>
      </c>
      <c r="AC148" s="28">
        <f>otros[[#This Row],[PZAS]]*otros[[#This Row],[PRECIO $ C/U]]*COTIZACION!$I$135</f>
        <v>5000</v>
      </c>
      <c r="AD148" s="2">
        <v>2</v>
      </c>
      <c r="AE148" t="s">
        <v>176</v>
      </c>
      <c r="AF148" s="16" t="s">
        <v>90</v>
      </c>
    </row>
    <row r="149" spans="2:32">
      <c r="B149">
        <v>1</v>
      </c>
      <c r="C149" s="24" t="s">
        <v>82</v>
      </c>
      <c r="D149" s="24" t="str">
        <f>CONCATENATE(ACERO1[[#This Row],[TIPO]]," ",ACERO1[[#This Row],[NUM. DE EJES]]," ",ACERO1[[#This Row],[LARGO]])</f>
        <v>PLATAFORMA 3 42 FT</v>
      </c>
      <c r="E149" t="s">
        <v>171</v>
      </c>
      <c r="F149" s="6">
        <v>290</v>
      </c>
      <c r="G149" s="19">
        <f>PRODUCTOS!$B149*PRODUCTOS!$F149*COTIZACION!$I$135</f>
        <v>290</v>
      </c>
      <c r="H149" s="49">
        <v>3</v>
      </c>
      <c r="I149" s="49" t="s">
        <v>242</v>
      </c>
      <c r="J149" s="30" t="s">
        <v>87</v>
      </c>
      <c r="X149">
        <v>1</v>
      </c>
      <c r="Y149" t="s">
        <v>82</v>
      </c>
      <c r="Z149" t="str">
        <f>CONCATENATE(otros[[#This Row],[TIPO]]," ",otros[[#This Row],[NUM. DE EJES]]," ",otros[[#This Row],[LARGO]])</f>
        <v>PLATAFORMA 2 48 FT</v>
      </c>
      <c r="AA149" t="s">
        <v>177</v>
      </c>
      <c r="AB149" s="6">
        <v>1500</v>
      </c>
      <c r="AC149" s="28">
        <f>otros[[#This Row],[PZAS]]*otros[[#This Row],[PRECIO $ C/U]]*COTIZACION!$I$135</f>
        <v>1500</v>
      </c>
      <c r="AD149" s="2">
        <v>2</v>
      </c>
      <c r="AE149" t="s">
        <v>176</v>
      </c>
      <c r="AF149" s="16" t="s">
        <v>90</v>
      </c>
    </row>
    <row r="150" spans="2:32">
      <c r="B150">
        <v>1</v>
      </c>
      <c r="C150" s="24" t="s">
        <v>82</v>
      </c>
      <c r="D150" s="24" t="str">
        <f>CONCATENATE(ACERO1[[#This Row],[TIPO]]," ",ACERO1[[#This Row],[NUM. DE EJES]]," ",ACERO1[[#This Row],[LARGO]])</f>
        <v>PLATAFORMA 3 42 FT</v>
      </c>
      <c r="E150" t="s">
        <v>27</v>
      </c>
      <c r="F150" s="6">
        <v>5055</v>
      </c>
      <c r="G150" s="19">
        <f>PRODUCTOS!$B150*PRODUCTOS!$F150*COTIZACION!$I$135</f>
        <v>5055</v>
      </c>
      <c r="H150" s="49">
        <v>3</v>
      </c>
      <c r="I150" s="49" t="s">
        <v>242</v>
      </c>
      <c r="J150" s="30" t="s">
        <v>87</v>
      </c>
      <c r="X150">
        <v>1</v>
      </c>
      <c r="Y150" t="s">
        <v>82</v>
      </c>
      <c r="Z150" t="str">
        <f>CONCATENATE(otros[[#This Row],[TIPO]]," ",otros[[#This Row],[NUM. DE EJES]]," ",otros[[#This Row],[LARGO]])</f>
        <v>PLATAFORMA 2 48 FT</v>
      </c>
      <c r="AA150" t="s">
        <v>163</v>
      </c>
      <c r="AB150" s="6">
        <v>30000</v>
      </c>
      <c r="AC150" s="28">
        <f>otros[[#This Row],[PZAS]]*otros[[#This Row],[PRECIO $ C/U]]*COTIZACION!$I$135</f>
        <v>30000</v>
      </c>
      <c r="AD150" s="2">
        <v>2</v>
      </c>
      <c r="AE150" t="s">
        <v>176</v>
      </c>
      <c r="AF150" s="16" t="s">
        <v>90</v>
      </c>
    </row>
    <row r="151" spans="2:32">
      <c r="B151">
        <v>1</v>
      </c>
      <c r="C151" s="24" t="s">
        <v>82</v>
      </c>
      <c r="D151" s="24" t="str">
        <f>CONCATENATE(ACERO1[[#This Row],[TIPO]]," ",ACERO1[[#This Row],[NUM. DE EJES]]," ",ACERO1[[#This Row],[LARGO]])</f>
        <v>PLATAFORMA 3 42 FT</v>
      </c>
      <c r="E151" t="s">
        <v>146</v>
      </c>
      <c r="F151" s="6">
        <v>274</v>
      </c>
      <c r="G151" s="19">
        <f>PRODUCTOS!$B151*PRODUCTOS!$F151*COTIZACION!$I$135</f>
        <v>274</v>
      </c>
      <c r="H151" s="49">
        <v>3</v>
      </c>
      <c r="I151" s="49" t="s">
        <v>242</v>
      </c>
      <c r="J151" s="30" t="s">
        <v>87</v>
      </c>
      <c r="X151">
        <v>0</v>
      </c>
      <c r="Y151" t="s">
        <v>82</v>
      </c>
      <c r="Z151" t="str">
        <f>CONCATENATE(otros[[#This Row],[TIPO]]," ",otros[[#This Row],[NUM. DE EJES]]," ",otros[[#This Row],[LARGO]])</f>
        <v>PLATAFORMA 2 48 FT</v>
      </c>
      <c r="AA151" t="s">
        <v>164</v>
      </c>
      <c r="AB151" s="6">
        <v>50</v>
      </c>
      <c r="AC151" s="28">
        <f>otros[[#This Row],[PZAS]]*otros[[#This Row],[PRECIO $ C/U]]*COTIZACION!$I$135</f>
        <v>0</v>
      </c>
      <c r="AD151" s="2">
        <v>2</v>
      </c>
      <c r="AE151" t="s">
        <v>176</v>
      </c>
      <c r="AF151" s="16" t="s">
        <v>90</v>
      </c>
    </row>
    <row r="152" spans="2:32">
      <c r="B152">
        <v>1</v>
      </c>
      <c r="C152" s="24" t="s">
        <v>82</v>
      </c>
      <c r="D152" s="24" t="str">
        <f>CONCATENATE(ACERO1[[#This Row],[TIPO]]," ",ACERO1[[#This Row],[NUM. DE EJES]]," ",ACERO1[[#This Row],[LARGO]])</f>
        <v>PLATAFORMA 3 42 FT</v>
      </c>
      <c r="E152" t="s">
        <v>149</v>
      </c>
      <c r="F152" s="6">
        <v>1331</v>
      </c>
      <c r="G152" s="19">
        <f>PRODUCTOS!$B152*PRODUCTOS!$F152*COTIZACION!$I$135</f>
        <v>1331</v>
      </c>
      <c r="H152" s="49">
        <v>3</v>
      </c>
      <c r="I152" s="49" t="s">
        <v>242</v>
      </c>
      <c r="J152" s="30" t="s">
        <v>87</v>
      </c>
      <c r="X152">
        <v>2.835</v>
      </c>
      <c r="Y152" t="s">
        <v>82</v>
      </c>
      <c r="Z152" t="str">
        <f>CONCATENATE(otros[[#This Row],[TIPO]]," ",otros[[#This Row],[NUM. DE EJES]]," ",otros[[#This Row],[LARGO]])</f>
        <v>PLATAFORMA 2 42 FT</v>
      </c>
      <c r="AA152" t="s">
        <v>51</v>
      </c>
      <c r="AB152" s="6">
        <v>820</v>
      </c>
      <c r="AC152" s="28">
        <f>otros[[#This Row],[PZAS]]*otros[[#This Row],[PRECIO $ C/U]]*COTIZACION!$I$135</f>
        <v>2324.6999999999998</v>
      </c>
      <c r="AD152" s="2">
        <v>2</v>
      </c>
      <c r="AE152" t="s">
        <v>242</v>
      </c>
      <c r="AF152" s="16" t="s">
        <v>90</v>
      </c>
    </row>
    <row r="153" spans="2:32">
      <c r="B153">
        <v>9</v>
      </c>
      <c r="C153" s="24" t="s">
        <v>82</v>
      </c>
      <c r="D153" s="24" t="str">
        <f>CONCATENATE(ACERO1[[#This Row],[TIPO]]," ",ACERO1[[#This Row],[NUM. DE EJES]]," ",ACERO1[[#This Row],[LARGO]])</f>
        <v>PLATAFORMA 3 42 FT</v>
      </c>
      <c r="E153" t="s">
        <v>172</v>
      </c>
      <c r="F153" s="6">
        <v>1000.8</v>
      </c>
      <c r="G153" s="19">
        <f>PRODUCTOS!$B153*PRODUCTOS!$F153*COTIZACION!$I$135</f>
        <v>9007.1999999999989</v>
      </c>
      <c r="H153" s="49">
        <v>3</v>
      </c>
      <c r="I153" s="49" t="s">
        <v>242</v>
      </c>
      <c r="J153" s="30" t="s">
        <v>87</v>
      </c>
      <c r="X153">
        <v>4.8</v>
      </c>
      <c r="Y153" t="s">
        <v>82</v>
      </c>
      <c r="Z153" t="str">
        <f>CONCATENATE(otros[[#This Row],[TIPO]]," ",otros[[#This Row],[NUM. DE EJES]]," ",otros[[#This Row],[LARGO]])</f>
        <v>PLATAFORMA 2 42 FT</v>
      </c>
      <c r="AA153" t="s">
        <v>52</v>
      </c>
      <c r="AB153" s="6">
        <v>1295</v>
      </c>
      <c r="AC153" s="28">
        <f>otros[[#This Row],[PZAS]]*otros[[#This Row],[PRECIO $ C/U]]*COTIZACION!$I$135</f>
        <v>6216</v>
      </c>
      <c r="AD153" s="2">
        <v>2</v>
      </c>
      <c r="AE153" t="s">
        <v>242</v>
      </c>
      <c r="AF153" s="16" t="s">
        <v>90</v>
      </c>
    </row>
    <row r="154" spans="2:32">
      <c r="B154">
        <v>51</v>
      </c>
      <c r="C154" s="24" t="s">
        <v>82</v>
      </c>
      <c r="D154" s="24" t="str">
        <f>CONCATENATE(ACERO1[[#This Row],[TIPO]]," ",ACERO1[[#This Row],[NUM. DE EJES]]," ",ACERO1[[#This Row],[LARGO]])</f>
        <v>PLATAFORMA 3 42 FT</v>
      </c>
      <c r="E154" t="s">
        <v>173</v>
      </c>
      <c r="F154" s="6">
        <v>83.9</v>
      </c>
      <c r="G154" s="19">
        <f>PRODUCTOS!$B154*PRODUCTOS!$F154*COTIZACION!$I$135</f>
        <v>4278.9000000000005</v>
      </c>
      <c r="H154" s="49">
        <v>3</v>
      </c>
      <c r="I154" s="49" t="s">
        <v>242</v>
      </c>
      <c r="J154" s="30" t="s">
        <v>87</v>
      </c>
      <c r="X154">
        <v>1.2</v>
      </c>
      <c r="Y154" t="s">
        <v>82</v>
      </c>
      <c r="Z154" t="str">
        <f>CONCATENATE(otros[[#This Row],[TIPO]]," ",otros[[#This Row],[NUM. DE EJES]]," ",otros[[#This Row],[LARGO]])</f>
        <v>PLATAFORMA 2 42 FT</v>
      </c>
      <c r="AA154" t="s">
        <v>53</v>
      </c>
      <c r="AB154" s="6">
        <v>550</v>
      </c>
      <c r="AC154" s="28">
        <f>otros[[#This Row],[PZAS]]*otros[[#This Row],[PRECIO $ C/U]]*COTIZACION!$I$135</f>
        <v>660</v>
      </c>
      <c r="AD154" s="2">
        <v>2</v>
      </c>
      <c r="AE154" t="s">
        <v>242</v>
      </c>
      <c r="AF154" s="16" t="s">
        <v>90</v>
      </c>
    </row>
    <row r="155" spans="2:32">
      <c r="B155">
        <v>1</v>
      </c>
      <c r="C155" s="24" t="s">
        <v>82</v>
      </c>
      <c r="D155" s="24" t="str">
        <f>CONCATENATE(ACERO1[[#This Row],[TIPO]]," ",ACERO1[[#This Row],[NUM. DE EJES]]," ",ACERO1[[#This Row],[LARGO]])</f>
        <v>PLATAFORMA 3 42 FT</v>
      </c>
      <c r="E155" t="s">
        <v>45</v>
      </c>
      <c r="F155" s="6">
        <v>768</v>
      </c>
      <c r="G155" s="19">
        <f>PRODUCTOS!$B155*PRODUCTOS!$F155*COTIZACION!$I$135</f>
        <v>768</v>
      </c>
      <c r="H155" s="49">
        <v>3</v>
      </c>
      <c r="I155" s="49" t="s">
        <v>242</v>
      </c>
      <c r="J155" s="30" t="s">
        <v>87</v>
      </c>
      <c r="X155">
        <v>2</v>
      </c>
      <c r="Y155" t="s">
        <v>82</v>
      </c>
      <c r="Z155" t="str">
        <f>CONCATENATE(otros[[#This Row],[TIPO]]," ",otros[[#This Row],[NUM. DE EJES]]," ",otros[[#This Row],[LARGO]])</f>
        <v>PLATAFORMA 2 42 FT</v>
      </c>
      <c r="AA155" t="s">
        <v>54</v>
      </c>
      <c r="AB155" s="6">
        <v>163</v>
      </c>
      <c r="AC155" s="28">
        <f>otros[[#This Row],[PZAS]]*otros[[#This Row],[PRECIO $ C/U]]*COTIZACION!$I$135</f>
        <v>326</v>
      </c>
      <c r="AD155" s="2">
        <v>2</v>
      </c>
      <c r="AE155" t="s">
        <v>242</v>
      </c>
      <c r="AF155" s="16" t="s">
        <v>90</v>
      </c>
    </row>
    <row r="156" spans="2:32">
      <c r="B156">
        <v>1</v>
      </c>
      <c r="C156" s="24" t="s">
        <v>82</v>
      </c>
      <c r="D156" s="24" t="str">
        <f>CONCATENATE(ACERO1[[#This Row],[TIPO]]," ",ACERO1[[#This Row],[NUM. DE EJES]]," ",ACERO1[[#This Row],[LARGO]])</f>
        <v>PLATAFORMA 3 42 FT</v>
      </c>
      <c r="E156" t="s">
        <v>150</v>
      </c>
      <c r="F156" s="6">
        <v>3276</v>
      </c>
      <c r="G156" s="19">
        <f>PRODUCTOS!$B156*PRODUCTOS!$F156*COTIZACION!$I$135</f>
        <v>3276</v>
      </c>
      <c r="H156" s="49">
        <v>3</v>
      </c>
      <c r="I156" s="49" t="s">
        <v>242</v>
      </c>
      <c r="J156" s="30" t="s">
        <v>87</v>
      </c>
      <c r="X156">
        <v>4.8</v>
      </c>
      <c r="Y156" t="s">
        <v>82</v>
      </c>
      <c r="Z156" t="str">
        <f>CONCATENATE(otros[[#This Row],[TIPO]]," ",otros[[#This Row],[NUM. DE EJES]]," ",otros[[#This Row],[LARGO]])</f>
        <v>PLATAFORMA 2 42 FT</v>
      </c>
      <c r="AA156" t="s">
        <v>55</v>
      </c>
      <c r="AB156" s="6">
        <v>150</v>
      </c>
      <c r="AC156" s="28">
        <f>otros[[#This Row],[PZAS]]*otros[[#This Row],[PRECIO $ C/U]]*COTIZACION!$I$135</f>
        <v>720</v>
      </c>
      <c r="AD156" s="2">
        <v>2</v>
      </c>
      <c r="AE156" t="s">
        <v>242</v>
      </c>
      <c r="AF156" s="16" t="s">
        <v>90</v>
      </c>
    </row>
    <row r="157" spans="2:32">
      <c r="B157">
        <v>2</v>
      </c>
      <c r="C157" s="24" t="s">
        <v>82</v>
      </c>
      <c r="D157" s="24" t="str">
        <f>CONCATENATE(ACERO1[[#This Row],[TIPO]]," ",ACERO1[[#This Row],[NUM. DE EJES]]," ",ACERO1[[#This Row],[LARGO]])</f>
        <v>PLATAFORMA 3 42 FT</v>
      </c>
      <c r="E157" t="s">
        <v>174</v>
      </c>
      <c r="F157" s="6">
        <v>150</v>
      </c>
      <c r="G157" s="19">
        <v>150</v>
      </c>
      <c r="H157" s="49">
        <v>3</v>
      </c>
      <c r="I157" s="49" t="s">
        <v>242</v>
      </c>
      <c r="J157" s="30" t="s">
        <v>87</v>
      </c>
      <c r="X157">
        <v>2.4</v>
      </c>
      <c r="Y157" t="s">
        <v>82</v>
      </c>
      <c r="Z157" t="str">
        <f>CONCATENATE(otros[[#This Row],[TIPO]]," ",otros[[#This Row],[NUM. DE EJES]]," ",otros[[#This Row],[LARGO]])</f>
        <v>PLATAFORMA 2 42 FT</v>
      </c>
      <c r="AA157" t="s">
        <v>56</v>
      </c>
      <c r="AB157" s="6">
        <v>165</v>
      </c>
      <c r="AC157" s="28">
        <f>otros[[#This Row],[PZAS]]*otros[[#This Row],[PRECIO $ C/U]]*COTIZACION!$I$135</f>
        <v>396</v>
      </c>
      <c r="AD157" s="2">
        <v>2</v>
      </c>
      <c r="AE157" t="s">
        <v>242</v>
      </c>
      <c r="AF157" s="16" t="s">
        <v>90</v>
      </c>
    </row>
    <row r="158" spans="2:32">
      <c r="B158">
        <v>1</v>
      </c>
      <c r="C158" s="24" t="s">
        <v>82</v>
      </c>
      <c r="D158" s="24" t="str">
        <f>CONCATENATE(ACERO1[[#This Row],[TIPO]]," ",ACERO1[[#This Row],[NUM. DE EJES]]," ",ACERO1[[#This Row],[LARGO]])</f>
        <v>PLATAFORMA 3 42 FT</v>
      </c>
      <c r="E158" t="s">
        <v>175</v>
      </c>
      <c r="F158" s="6">
        <v>3768</v>
      </c>
      <c r="G158" s="19">
        <f>PRODUCTOS!$B158*PRODUCTOS!$F158*COTIZACION!$I$135</f>
        <v>3768</v>
      </c>
      <c r="H158" s="49">
        <v>3</v>
      </c>
      <c r="I158" s="49" t="s">
        <v>242</v>
      </c>
      <c r="J158" s="30" t="s">
        <v>87</v>
      </c>
      <c r="X158">
        <v>2.4</v>
      </c>
      <c r="Y158" t="s">
        <v>82</v>
      </c>
      <c r="Z158" t="str">
        <f>CONCATENATE(otros[[#This Row],[TIPO]]," ",otros[[#This Row],[NUM. DE EJES]]," ",otros[[#This Row],[LARGO]])</f>
        <v>PLATAFORMA 2 42 FT</v>
      </c>
      <c r="AA158" t="s">
        <v>57</v>
      </c>
      <c r="AB158" s="6">
        <v>165</v>
      </c>
      <c r="AC158" s="28">
        <f>otros[[#This Row],[PZAS]]*otros[[#This Row],[PRECIO $ C/U]]*COTIZACION!$I$135</f>
        <v>396</v>
      </c>
      <c r="AD158" s="2">
        <v>2</v>
      </c>
      <c r="AE158" t="s">
        <v>242</v>
      </c>
      <c r="AF158" s="16" t="s">
        <v>90</v>
      </c>
    </row>
    <row r="159" spans="2:32">
      <c r="B159">
        <v>1</v>
      </c>
      <c r="C159" s="24" t="s">
        <v>82</v>
      </c>
      <c r="D159" t="str">
        <f>CONCATENATE(ACERO1[[#This Row],[TIPO]]," ",ACERO1[[#This Row],[NUM. DE EJES]]," ",ACERO1[[#This Row],[LARGO]])</f>
        <v>PLATAFORMA 2 48 FT</v>
      </c>
      <c r="E159" t="s">
        <v>8</v>
      </c>
      <c r="F159" s="6">
        <v>2064</v>
      </c>
      <c r="G159" s="19">
        <f>PRODUCTOS!$B159*PRODUCTOS!$F159*COTIZACION!$I$135</f>
        <v>2064</v>
      </c>
      <c r="H159">
        <v>2</v>
      </c>
      <c r="I159" s="2" t="s">
        <v>176</v>
      </c>
      <c r="J159" s="30" t="s">
        <v>87</v>
      </c>
      <c r="X159">
        <v>2.4</v>
      </c>
      <c r="Y159" t="s">
        <v>82</v>
      </c>
      <c r="Z159" t="str">
        <f>CONCATENATE(otros[[#This Row],[TIPO]]," ",otros[[#This Row],[NUM. DE EJES]]," ",otros[[#This Row],[LARGO]])</f>
        <v>PLATAFORMA 2 42 FT</v>
      </c>
      <c r="AA159" t="s">
        <v>58</v>
      </c>
      <c r="AB159" s="6">
        <v>127</v>
      </c>
      <c r="AC159" s="28">
        <f>otros[[#This Row],[PZAS]]*otros[[#This Row],[PRECIO $ C/U]]*COTIZACION!$I$135</f>
        <v>304.8</v>
      </c>
      <c r="AD159" s="2">
        <v>2</v>
      </c>
      <c r="AE159" t="s">
        <v>242</v>
      </c>
      <c r="AF159" s="16" t="s">
        <v>90</v>
      </c>
    </row>
    <row r="160" spans="2:32">
      <c r="B160">
        <v>1</v>
      </c>
      <c r="C160" s="24" t="s">
        <v>82</v>
      </c>
      <c r="D160" t="str">
        <f>CONCATENATE(ACERO1[[#This Row],[TIPO]]," ",ACERO1[[#This Row],[NUM. DE EJES]]," ",ACERO1[[#This Row],[LARGO]])</f>
        <v>PLATAFORMA 2 48 FT</v>
      </c>
      <c r="E160" t="s">
        <v>9</v>
      </c>
      <c r="F160" s="6">
        <v>2328</v>
      </c>
      <c r="G160" s="19">
        <f>PRODUCTOS!$B160*PRODUCTOS!$F160*COTIZACION!$I$135</f>
        <v>2328</v>
      </c>
      <c r="H160">
        <v>2</v>
      </c>
      <c r="I160" s="2" t="s">
        <v>176</v>
      </c>
      <c r="J160" s="30" t="s">
        <v>87</v>
      </c>
      <c r="X160">
        <v>12</v>
      </c>
      <c r="Y160" t="s">
        <v>82</v>
      </c>
      <c r="Z160" t="str">
        <f>CONCATENATE(otros[[#This Row],[TIPO]]," ",otros[[#This Row],[NUM. DE EJES]]," ",otros[[#This Row],[LARGO]])</f>
        <v>PLATAFORMA 2 42 FT</v>
      </c>
      <c r="AA160" t="s">
        <v>59</v>
      </c>
      <c r="AB160" s="6">
        <v>20</v>
      </c>
      <c r="AC160" s="28">
        <f>otros[[#This Row],[PZAS]]*otros[[#This Row],[PRECIO $ C/U]]*COTIZACION!$I$135</f>
        <v>240</v>
      </c>
      <c r="AD160" s="2">
        <v>2</v>
      </c>
      <c r="AE160" t="s">
        <v>242</v>
      </c>
      <c r="AF160" s="16" t="s">
        <v>90</v>
      </c>
    </row>
    <row r="161" spans="2:32">
      <c r="B161">
        <v>1</v>
      </c>
      <c r="C161" s="24" t="s">
        <v>82</v>
      </c>
      <c r="D161" t="str">
        <f>CONCATENATE(ACERO1[[#This Row],[TIPO]]," ",ACERO1[[#This Row],[NUM. DE EJES]]," ",ACERO1[[#This Row],[LARGO]])</f>
        <v>PLATAFORMA 2 48 FT</v>
      </c>
      <c r="E161" t="s">
        <v>10</v>
      </c>
      <c r="F161" s="6">
        <v>84</v>
      </c>
      <c r="G161" s="19">
        <f>PRODUCTOS!$B161*PRODUCTOS!$F161*COTIZACION!$I$135</f>
        <v>84</v>
      </c>
      <c r="H161">
        <v>2</v>
      </c>
      <c r="I161" s="2" t="s">
        <v>176</v>
      </c>
      <c r="J161" s="30" t="s">
        <v>87</v>
      </c>
      <c r="X161">
        <v>1.2</v>
      </c>
      <c r="Y161" t="s">
        <v>82</v>
      </c>
      <c r="Z161" t="str">
        <f>CONCATENATE(otros[[#This Row],[TIPO]]," ",otros[[#This Row],[NUM. DE EJES]]," ",otros[[#This Row],[LARGO]])</f>
        <v>PLATAFORMA 2 42 FT</v>
      </c>
      <c r="AA161" t="s">
        <v>245</v>
      </c>
      <c r="AB161" s="6">
        <v>551</v>
      </c>
      <c r="AC161" s="28">
        <f>otros[[#This Row],[PZAS]]*otros[[#This Row],[PRECIO $ C/U]]*COTIZACION!$I$135</f>
        <v>661.19999999999993</v>
      </c>
      <c r="AD161" s="2">
        <v>2</v>
      </c>
      <c r="AE161" t="s">
        <v>242</v>
      </c>
      <c r="AF161" s="16" t="s">
        <v>90</v>
      </c>
    </row>
    <row r="162" spans="2:32">
      <c r="B162">
        <v>2</v>
      </c>
      <c r="C162" s="24" t="s">
        <v>82</v>
      </c>
      <c r="D162" t="str">
        <f>CONCATENATE(ACERO1[[#This Row],[TIPO]]," ",ACERO1[[#This Row],[NUM. DE EJES]]," ",ACERO1[[#This Row],[LARGO]])</f>
        <v>PLATAFORMA 2 48 FT</v>
      </c>
      <c r="E162" t="s">
        <v>147</v>
      </c>
      <c r="F162" s="6">
        <v>480</v>
      </c>
      <c r="G162" s="19">
        <f>PRODUCTOS!$B162*PRODUCTOS!$F162*COTIZACION!$I$135</f>
        <v>960</v>
      </c>
      <c r="H162">
        <v>2</v>
      </c>
      <c r="I162" s="2" t="s">
        <v>176</v>
      </c>
      <c r="J162" s="30" t="s">
        <v>87</v>
      </c>
      <c r="X162">
        <v>2</v>
      </c>
      <c r="Y162" t="s">
        <v>82</v>
      </c>
      <c r="Z162" t="str">
        <f>CONCATENATE(otros[[#This Row],[TIPO]]," ",otros[[#This Row],[NUM. DE EJES]]," ",otros[[#This Row],[LARGO]])</f>
        <v>PLATAFORMA 2 42 FT</v>
      </c>
      <c r="AA162" t="s">
        <v>61</v>
      </c>
      <c r="AB162" s="6">
        <v>586</v>
      </c>
      <c r="AC162" s="28">
        <f>otros[[#This Row],[PZAS]]*otros[[#This Row],[PRECIO $ C/U]]*COTIZACION!$I$135</f>
        <v>1172</v>
      </c>
      <c r="AD162" s="2">
        <v>2</v>
      </c>
      <c r="AE162" t="s">
        <v>242</v>
      </c>
      <c r="AF162" s="16" t="s">
        <v>90</v>
      </c>
    </row>
    <row r="163" spans="2:32">
      <c r="B163">
        <v>1</v>
      </c>
      <c r="C163" s="24" t="s">
        <v>82</v>
      </c>
      <c r="D163" t="str">
        <f>CONCATENATE(ACERO1[[#This Row],[TIPO]]," ",ACERO1[[#This Row],[NUM. DE EJES]]," ",ACERO1[[#This Row],[LARGO]])</f>
        <v>PLATAFORMA 2 48 FT</v>
      </c>
      <c r="E163" t="s">
        <v>240</v>
      </c>
      <c r="F163" s="6">
        <v>1845</v>
      </c>
      <c r="G163" s="19">
        <f>PRODUCTOS!$B163*PRODUCTOS!$F163*COTIZACION!$I$135</f>
        <v>1845</v>
      </c>
      <c r="H163">
        <v>2</v>
      </c>
      <c r="I163" s="2" t="s">
        <v>176</v>
      </c>
      <c r="J163" s="30" t="s">
        <v>87</v>
      </c>
      <c r="X163">
        <v>1.2</v>
      </c>
      <c r="Y163" t="s">
        <v>82</v>
      </c>
      <c r="Z163" t="str">
        <f>CONCATENATE(otros[[#This Row],[TIPO]]," ",otros[[#This Row],[NUM. DE EJES]]," ",otros[[#This Row],[LARGO]])</f>
        <v>PLATAFORMA 2 42 FT</v>
      </c>
      <c r="AA163" t="s">
        <v>62</v>
      </c>
      <c r="AB163" s="6">
        <v>2500</v>
      </c>
      <c r="AC163" s="28">
        <f>otros[[#This Row],[PZAS]]*otros[[#This Row],[PRECIO $ C/U]]*COTIZACION!$I$135</f>
        <v>3000</v>
      </c>
      <c r="AD163" s="2">
        <v>2</v>
      </c>
      <c r="AE163" t="s">
        <v>242</v>
      </c>
      <c r="AF163" s="16" t="s">
        <v>90</v>
      </c>
    </row>
    <row r="164" spans="2:32">
      <c r="B164">
        <v>1</v>
      </c>
      <c r="C164" s="24" t="s">
        <v>82</v>
      </c>
      <c r="D164" t="str">
        <f>CONCATENATE(ACERO1[[#This Row],[TIPO]]," ",ACERO1[[#This Row],[NUM. DE EJES]]," ",ACERO1[[#This Row],[LARGO]])</f>
        <v>PLATAFORMA 2 48 FT</v>
      </c>
      <c r="E164" t="s">
        <v>13</v>
      </c>
      <c r="F164" s="6">
        <v>437</v>
      </c>
      <c r="G164" s="19">
        <f>PRODUCTOS!$B164*PRODUCTOS!$F164*COTIZACION!$I$135</f>
        <v>437</v>
      </c>
      <c r="H164">
        <v>2</v>
      </c>
      <c r="I164" s="2" t="s">
        <v>176</v>
      </c>
      <c r="J164" s="30" t="s">
        <v>87</v>
      </c>
      <c r="X164">
        <v>2</v>
      </c>
      <c r="Y164" t="s">
        <v>82</v>
      </c>
      <c r="Z164" t="str">
        <f>CONCATENATE(otros[[#This Row],[TIPO]]," ",otros[[#This Row],[NUM. DE EJES]]," ",otros[[#This Row],[LARGO]])</f>
        <v>PLATAFORMA 2 42 FT</v>
      </c>
      <c r="AA164" t="s">
        <v>244</v>
      </c>
      <c r="AB164" s="6">
        <v>350</v>
      </c>
      <c r="AC164" s="28">
        <f>otros[[#This Row],[PZAS]]*otros[[#This Row],[PRECIO $ C/U]]*COTIZACION!$I$135</f>
        <v>700</v>
      </c>
      <c r="AD164" s="2">
        <v>2</v>
      </c>
      <c r="AE164" t="s">
        <v>242</v>
      </c>
      <c r="AF164" s="16" t="s">
        <v>90</v>
      </c>
    </row>
    <row r="165" spans="2:32">
      <c r="B165">
        <v>2</v>
      </c>
      <c r="C165" s="24" t="s">
        <v>82</v>
      </c>
      <c r="D165" t="str">
        <f>CONCATENATE(ACERO1[[#This Row],[TIPO]]," ",ACERO1[[#This Row],[NUM. DE EJES]]," ",ACERO1[[#This Row],[LARGO]])</f>
        <v>PLATAFORMA 2 48 FT</v>
      </c>
      <c r="E165" t="s">
        <v>168</v>
      </c>
      <c r="F165" s="6">
        <v>417.6</v>
      </c>
      <c r="G165" s="19">
        <f>PRODUCTOS!$B165*PRODUCTOS!$F165*COTIZACION!$I$135</f>
        <v>835.2</v>
      </c>
      <c r="H165">
        <v>2</v>
      </c>
      <c r="I165" s="2" t="s">
        <v>176</v>
      </c>
      <c r="J165" s="30" t="s">
        <v>87</v>
      </c>
      <c r="X165">
        <v>1.2</v>
      </c>
      <c r="Y165" t="s">
        <v>82</v>
      </c>
      <c r="Z165" t="str">
        <f>CONCATENATE(otros[[#This Row],[TIPO]]," ",otros[[#This Row],[NUM. DE EJES]]," ",otros[[#This Row],[LARGO]])</f>
        <v>PLATAFORMA 2 42 FT</v>
      </c>
      <c r="AA165" t="s">
        <v>66</v>
      </c>
      <c r="AB165" s="6">
        <v>10000</v>
      </c>
      <c r="AC165" s="28">
        <f>otros[[#This Row],[PZAS]]*otros[[#This Row],[PRECIO $ C/U]]*COTIZACION!$I$135</f>
        <v>12000</v>
      </c>
      <c r="AD165" s="2">
        <v>2</v>
      </c>
      <c r="AE165" t="s">
        <v>242</v>
      </c>
      <c r="AF165" s="16" t="s">
        <v>90</v>
      </c>
    </row>
    <row r="166" spans="2:32">
      <c r="B166">
        <v>5</v>
      </c>
      <c r="C166" s="24" t="s">
        <v>82</v>
      </c>
      <c r="D166" t="str">
        <f>CONCATENATE(ACERO1[[#This Row],[TIPO]]," ",ACERO1[[#This Row],[NUM. DE EJES]]," ",ACERO1[[#This Row],[LARGO]])</f>
        <v>PLATAFORMA 2 48 FT</v>
      </c>
      <c r="E166" t="s">
        <v>16</v>
      </c>
      <c r="F166" s="6">
        <v>504</v>
      </c>
      <c r="G166" s="19">
        <f>PRODUCTOS!$B166*PRODUCTOS!$F166*COTIZACION!$I$135</f>
        <v>2520</v>
      </c>
      <c r="H166">
        <v>2</v>
      </c>
      <c r="I166" s="2" t="s">
        <v>176</v>
      </c>
      <c r="J166" s="30" t="s">
        <v>87</v>
      </c>
      <c r="X166">
        <v>1.2</v>
      </c>
      <c r="Y166" t="s">
        <v>82</v>
      </c>
      <c r="Z166" t="str">
        <f>CONCATENATE(otros[[#This Row],[TIPO]]," ",otros[[#This Row],[NUM. DE EJES]]," ",otros[[#This Row],[LARGO]])</f>
        <v>PLATAFORMA 2 42 FT</v>
      </c>
      <c r="AA166" t="s">
        <v>67</v>
      </c>
      <c r="AB166" s="6">
        <v>2000</v>
      </c>
      <c r="AC166" s="28">
        <f>otros[[#This Row],[PZAS]]*otros[[#This Row],[PRECIO $ C/U]]*COTIZACION!$I$135</f>
        <v>2400</v>
      </c>
      <c r="AD166" s="2">
        <v>2</v>
      </c>
      <c r="AE166" t="s">
        <v>242</v>
      </c>
      <c r="AF166" s="16" t="s">
        <v>90</v>
      </c>
    </row>
    <row r="167" spans="2:32">
      <c r="B167">
        <v>1</v>
      </c>
      <c r="C167" s="24" t="s">
        <v>82</v>
      </c>
      <c r="D167" t="str">
        <f>CONCATENATE(ACERO1[[#This Row],[TIPO]]," ",ACERO1[[#This Row],[NUM. DE EJES]]," ",ACERO1[[#This Row],[LARGO]])</f>
        <v>PLATAFORMA 2 48 FT</v>
      </c>
      <c r="E167" t="s">
        <v>169</v>
      </c>
      <c r="F167" s="6">
        <v>2035</v>
      </c>
      <c r="G167" s="19">
        <f>PRODUCTOS!$B167*PRODUCTOS!$F167*COTIZACION!$I$135</f>
        <v>2035</v>
      </c>
      <c r="H167">
        <v>2</v>
      </c>
      <c r="I167" s="2" t="s">
        <v>176</v>
      </c>
      <c r="J167" s="30" t="s">
        <v>87</v>
      </c>
      <c r="X167">
        <v>1</v>
      </c>
      <c r="Y167" t="s">
        <v>82</v>
      </c>
      <c r="Z167" t="str">
        <f>CONCATENATE(otros[[#This Row],[TIPO]]," ",otros[[#This Row],[NUM. DE EJES]]," ",otros[[#This Row],[LARGO]])</f>
        <v>PLATAFORMA 2 42 FT</v>
      </c>
      <c r="AA167" t="s">
        <v>68</v>
      </c>
      <c r="AB167" s="6">
        <v>2500</v>
      </c>
      <c r="AC167" s="28">
        <f>otros[[#This Row],[PZAS]]*otros[[#This Row],[PRECIO $ C/U]]*COTIZACION!$I$135</f>
        <v>2500</v>
      </c>
      <c r="AD167" s="2">
        <v>2</v>
      </c>
      <c r="AE167" t="s">
        <v>242</v>
      </c>
      <c r="AF167" s="16" t="s">
        <v>90</v>
      </c>
    </row>
    <row r="168" spans="2:32">
      <c r="B168">
        <v>6</v>
      </c>
      <c r="C168" s="24" t="s">
        <v>82</v>
      </c>
      <c r="D168" t="str">
        <f>CONCATENATE(ACERO1[[#This Row],[TIPO]]," ",ACERO1[[#This Row],[NUM. DE EJES]]," ",ACERO1[[#This Row],[LARGO]])</f>
        <v>PLATAFORMA 2 48 FT</v>
      </c>
      <c r="E168" t="s">
        <v>20</v>
      </c>
      <c r="F168" s="6">
        <v>740</v>
      </c>
      <c r="G168" s="19">
        <f>PRODUCTOS!$B168*PRODUCTOS!$F168*COTIZACION!$I$135</f>
        <v>4440</v>
      </c>
      <c r="H168">
        <v>2</v>
      </c>
      <c r="I168" s="2" t="s">
        <v>176</v>
      </c>
      <c r="J168" s="30" t="s">
        <v>87</v>
      </c>
      <c r="X168">
        <v>1</v>
      </c>
      <c r="Y168" t="s">
        <v>82</v>
      </c>
      <c r="Z168" t="str">
        <f>CONCATENATE(otros[[#This Row],[TIPO]]," ",otros[[#This Row],[NUM. DE EJES]]," ",otros[[#This Row],[LARGO]])</f>
        <v>PLATAFORMA 2 42 FT</v>
      </c>
      <c r="AA168" t="s">
        <v>0</v>
      </c>
      <c r="AB168" s="6">
        <v>15000</v>
      </c>
      <c r="AC168" s="28">
        <f>otros[[#This Row],[PZAS]]*otros[[#This Row],[PRECIO $ C/U]]*COTIZACION!$I$135</f>
        <v>15000</v>
      </c>
      <c r="AD168" s="2">
        <v>2</v>
      </c>
      <c r="AE168" t="s">
        <v>242</v>
      </c>
      <c r="AF168" s="16" t="s">
        <v>90</v>
      </c>
    </row>
    <row r="169" spans="2:32">
      <c r="B169">
        <v>1</v>
      </c>
      <c r="C169" s="24" t="s">
        <v>82</v>
      </c>
      <c r="D169" t="str">
        <f>CONCATENATE(ACERO1[[#This Row],[TIPO]]," ",ACERO1[[#This Row],[NUM. DE EJES]]," ",ACERO1[[#This Row],[LARGO]])</f>
        <v>PLATAFORMA 2 48 FT</v>
      </c>
      <c r="E169" t="s">
        <v>24</v>
      </c>
      <c r="F169" s="6">
        <v>5824.5</v>
      </c>
      <c r="G169" s="19">
        <f>PRODUCTOS!$B169*PRODUCTOS!$F169*COTIZACION!$I$135</f>
        <v>5824.5</v>
      </c>
      <c r="H169">
        <v>2</v>
      </c>
      <c r="I169" s="2" t="s">
        <v>176</v>
      </c>
      <c r="J169" s="30" t="s">
        <v>87</v>
      </c>
      <c r="X169">
        <v>1</v>
      </c>
      <c r="Y169" t="s">
        <v>82</v>
      </c>
      <c r="Z169" t="str">
        <f>CONCATENATE(otros[[#This Row],[TIPO]]," ",otros[[#This Row],[NUM. DE EJES]]," ",otros[[#This Row],[LARGO]])</f>
        <v>PLATAFORMA 2 42 FT</v>
      </c>
      <c r="AA169" t="s">
        <v>161</v>
      </c>
      <c r="AB169" s="6">
        <v>3000</v>
      </c>
      <c r="AC169" s="28">
        <f>otros[[#This Row],[PZAS]]*otros[[#This Row],[PRECIO $ C/U]]*COTIZACION!$I$135</f>
        <v>3000</v>
      </c>
      <c r="AD169" s="2">
        <v>2</v>
      </c>
      <c r="AE169" t="s">
        <v>242</v>
      </c>
      <c r="AF169" s="16" t="s">
        <v>90</v>
      </c>
    </row>
    <row r="170" spans="2:32">
      <c r="B170">
        <v>1</v>
      </c>
      <c r="C170" s="24" t="s">
        <v>82</v>
      </c>
      <c r="D170" t="str">
        <f>CONCATENATE(ACERO1[[#This Row],[TIPO]]," ",ACERO1[[#This Row],[NUM. DE EJES]]," ",ACERO1[[#This Row],[LARGO]])</f>
        <v>PLATAFORMA 2 48 FT</v>
      </c>
      <c r="E170" t="s">
        <v>170</v>
      </c>
      <c r="F170" s="6">
        <v>180</v>
      </c>
      <c r="G170" s="19">
        <f>PRODUCTOS!$B170*PRODUCTOS!$F170*COTIZACION!$I$135</f>
        <v>180</v>
      </c>
      <c r="H170">
        <v>2</v>
      </c>
      <c r="I170" s="2" t="s">
        <v>176</v>
      </c>
      <c r="J170" s="30" t="s">
        <v>87</v>
      </c>
      <c r="X170">
        <v>1</v>
      </c>
      <c r="Y170" t="s">
        <v>82</v>
      </c>
      <c r="Z170" t="str">
        <f>CONCATENATE(otros[[#This Row],[TIPO]]," ",otros[[#This Row],[NUM. DE EJES]]," ",otros[[#This Row],[LARGO]])</f>
        <v>PLATAFORMA 2 42 FT</v>
      </c>
      <c r="AA170" t="s">
        <v>65</v>
      </c>
      <c r="AB170" s="6">
        <v>15000</v>
      </c>
      <c r="AC170" s="28">
        <f>otros[[#This Row],[PZAS]]*otros[[#This Row],[PRECIO $ C/U]]*COTIZACION!$I$135</f>
        <v>15000</v>
      </c>
      <c r="AD170" s="2">
        <v>2</v>
      </c>
      <c r="AE170" t="s">
        <v>242</v>
      </c>
      <c r="AF170" s="16" t="s">
        <v>90</v>
      </c>
    </row>
    <row r="171" spans="2:32">
      <c r="B171">
        <v>1</v>
      </c>
      <c r="C171" s="24" t="s">
        <v>82</v>
      </c>
      <c r="D171" t="str">
        <f>CONCATENATE(ACERO1[[#This Row],[TIPO]]," ",ACERO1[[#This Row],[NUM. DE EJES]]," ",ACERO1[[#This Row],[LARGO]])</f>
        <v>PLATAFORMA 2 48 FT</v>
      </c>
      <c r="E171" t="s">
        <v>171</v>
      </c>
      <c r="F171" s="6">
        <v>290</v>
      </c>
      <c r="G171" s="19">
        <f>PRODUCTOS!$B171*PRODUCTOS!$F171*COTIZACION!$I$135</f>
        <v>290</v>
      </c>
      <c r="H171">
        <v>2</v>
      </c>
      <c r="I171" s="2" t="s">
        <v>176</v>
      </c>
      <c r="J171" s="30" t="s">
        <v>87</v>
      </c>
      <c r="X171">
        <v>1</v>
      </c>
      <c r="Y171" t="s">
        <v>82</v>
      </c>
      <c r="Z171" t="str">
        <f>CONCATENATE(otros[[#This Row],[TIPO]]," ",otros[[#This Row],[NUM. DE EJES]]," ",otros[[#This Row],[LARGO]])</f>
        <v>PLATAFORMA 2 42 FT</v>
      </c>
      <c r="AA171" t="s">
        <v>162</v>
      </c>
      <c r="AB171" s="6">
        <v>5000</v>
      </c>
      <c r="AC171" s="28">
        <f>otros[[#This Row],[PZAS]]*otros[[#This Row],[PRECIO $ C/U]]*COTIZACION!$I$135</f>
        <v>5000</v>
      </c>
      <c r="AD171" s="2">
        <v>2</v>
      </c>
      <c r="AE171" t="s">
        <v>242</v>
      </c>
      <c r="AF171" s="16" t="s">
        <v>90</v>
      </c>
    </row>
    <row r="172" spans="2:32">
      <c r="B172">
        <v>1</v>
      </c>
      <c r="C172" s="24" t="s">
        <v>82</v>
      </c>
      <c r="D172" t="str">
        <f>CONCATENATE(ACERO1[[#This Row],[TIPO]]," ",ACERO1[[#This Row],[NUM. DE EJES]]," ",ACERO1[[#This Row],[LARGO]])</f>
        <v>PLATAFORMA 2 48 FT</v>
      </c>
      <c r="E172" t="s">
        <v>27</v>
      </c>
      <c r="F172" s="6">
        <v>5055</v>
      </c>
      <c r="G172" s="19">
        <f>PRODUCTOS!$B172*PRODUCTOS!$F172*COTIZACION!$I$135</f>
        <v>5055</v>
      </c>
      <c r="H172">
        <v>2</v>
      </c>
      <c r="I172" s="2" t="s">
        <v>176</v>
      </c>
      <c r="J172" s="30" t="s">
        <v>87</v>
      </c>
      <c r="X172">
        <v>1</v>
      </c>
      <c r="Y172" t="s">
        <v>82</v>
      </c>
      <c r="Z172" t="str">
        <f>CONCATENATE(otros[[#This Row],[TIPO]]," ",otros[[#This Row],[NUM. DE EJES]]," ",otros[[#This Row],[LARGO]])</f>
        <v>PLATAFORMA 2 42 FT</v>
      </c>
      <c r="AA172" t="s">
        <v>177</v>
      </c>
      <c r="AB172" s="6">
        <v>1500</v>
      </c>
      <c r="AC172" s="28">
        <f>otros[[#This Row],[PZAS]]*otros[[#This Row],[PRECIO $ C/U]]*COTIZACION!$I$135</f>
        <v>1500</v>
      </c>
      <c r="AD172" s="2">
        <v>2</v>
      </c>
      <c r="AE172" t="s">
        <v>242</v>
      </c>
      <c r="AF172" s="16" t="s">
        <v>90</v>
      </c>
    </row>
    <row r="173" spans="2:32">
      <c r="B173">
        <v>1</v>
      </c>
      <c r="C173" s="24" t="s">
        <v>82</v>
      </c>
      <c r="D173" t="str">
        <f>CONCATENATE(ACERO1[[#This Row],[TIPO]]," ",ACERO1[[#This Row],[NUM. DE EJES]]," ",ACERO1[[#This Row],[LARGO]])</f>
        <v>PLATAFORMA 2 48 FT</v>
      </c>
      <c r="E173" t="s">
        <v>146</v>
      </c>
      <c r="F173" s="6">
        <v>274</v>
      </c>
      <c r="G173" s="19">
        <f>PRODUCTOS!$B173*PRODUCTOS!$F173*COTIZACION!$I$135</f>
        <v>274</v>
      </c>
      <c r="H173">
        <v>2</v>
      </c>
      <c r="I173" s="2" t="s">
        <v>176</v>
      </c>
      <c r="J173" s="30" t="s">
        <v>87</v>
      </c>
      <c r="X173">
        <v>1</v>
      </c>
      <c r="Y173" t="s">
        <v>82</v>
      </c>
      <c r="Z173" t="str">
        <f>CONCATENATE(otros[[#This Row],[TIPO]]," ",otros[[#This Row],[NUM. DE EJES]]," ",otros[[#This Row],[LARGO]])</f>
        <v>PLATAFORMA 2 42 FT</v>
      </c>
      <c r="AA173" t="s">
        <v>163</v>
      </c>
      <c r="AB173" s="6">
        <v>30000</v>
      </c>
      <c r="AC173" s="28">
        <f>otros[[#This Row],[PZAS]]*otros[[#This Row],[PRECIO $ C/U]]*COTIZACION!$I$135</f>
        <v>30000</v>
      </c>
      <c r="AD173" s="2">
        <v>2</v>
      </c>
      <c r="AE173" t="s">
        <v>242</v>
      </c>
      <c r="AF173" s="16" t="s">
        <v>90</v>
      </c>
    </row>
    <row r="174" spans="2:32">
      <c r="B174">
        <v>1</v>
      </c>
      <c r="C174" s="24" t="s">
        <v>82</v>
      </c>
      <c r="D174" t="str">
        <f>CONCATENATE(ACERO1[[#This Row],[TIPO]]," ",ACERO1[[#This Row],[NUM. DE EJES]]," ",ACERO1[[#This Row],[LARGO]])</f>
        <v>PLATAFORMA 2 48 FT</v>
      </c>
      <c r="E174" t="s">
        <v>149</v>
      </c>
      <c r="F174" s="6">
        <v>1331</v>
      </c>
      <c r="G174" s="19">
        <f>PRODUCTOS!$B174*PRODUCTOS!$F174*COTIZACION!$I$135</f>
        <v>1331</v>
      </c>
      <c r="H174">
        <v>2</v>
      </c>
      <c r="I174" s="2" t="s">
        <v>176</v>
      </c>
      <c r="J174" s="30" t="s">
        <v>87</v>
      </c>
      <c r="X174">
        <v>0</v>
      </c>
      <c r="Y174" t="s">
        <v>82</v>
      </c>
      <c r="Z174" t="str">
        <f>CONCATENATE(otros[[#This Row],[TIPO]]," ",otros[[#This Row],[NUM. DE EJES]]," ",otros[[#This Row],[LARGO]])</f>
        <v>PLATAFORMA 2 42 FT</v>
      </c>
      <c r="AA174" t="s">
        <v>164</v>
      </c>
      <c r="AB174" s="6">
        <v>50</v>
      </c>
      <c r="AC174" s="28">
        <f>otros[[#This Row],[PZAS]]*otros[[#This Row],[PRECIO $ C/U]]*COTIZACION!$I$135</f>
        <v>0</v>
      </c>
      <c r="AD174" s="2">
        <v>2</v>
      </c>
      <c r="AE174" t="s">
        <v>242</v>
      </c>
      <c r="AF174" s="16" t="s">
        <v>90</v>
      </c>
    </row>
    <row r="175" spans="2:32">
      <c r="B175">
        <v>6</v>
      </c>
      <c r="C175" s="24" t="s">
        <v>82</v>
      </c>
      <c r="D175" t="str">
        <f>CONCATENATE(ACERO1[[#This Row],[TIPO]]," ",ACERO1[[#This Row],[NUM. DE EJES]]," ",ACERO1[[#This Row],[LARGO]])</f>
        <v>PLATAFORMA 2 48 FT</v>
      </c>
      <c r="E175" t="s">
        <v>172</v>
      </c>
      <c r="F175" s="6">
        <v>1000.8</v>
      </c>
      <c r="G175" s="19">
        <f>PRODUCTOS!$B175*PRODUCTOS!$F175*COTIZACION!$I$135</f>
        <v>6004.7999999999993</v>
      </c>
      <c r="H175">
        <v>2</v>
      </c>
      <c r="I175" s="2" t="s">
        <v>176</v>
      </c>
      <c r="J175" s="30" t="s">
        <v>87</v>
      </c>
      <c r="X175">
        <v>2.4806249999999999</v>
      </c>
      <c r="Y175" t="s">
        <v>82</v>
      </c>
      <c r="Z175" t="str">
        <f>CONCATENATE(otros[[#This Row],[TIPO]]," ",otros[[#This Row],[NUM. DE EJES]]," ",otros[[#This Row],[LARGO]])</f>
        <v>PLATAFORMA 3 42 FT</v>
      </c>
      <c r="AA175" t="s">
        <v>51</v>
      </c>
      <c r="AB175" s="6">
        <v>820</v>
      </c>
      <c r="AC175" s="28">
        <f>otros[[#This Row],[PZAS]]*otros[[#This Row],[PRECIO $ C/U]]*COTIZACION!$I$135</f>
        <v>2034.1125</v>
      </c>
      <c r="AD175" s="2">
        <v>3</v>
      </c>
      <c r="AE175" t="s">
        <v>242</v>
      </c>
      <c r="AF175" s="16" t="s">
        <v>90</v>
      </c>
    </row>
    <row r="176" spans="2:32">
      <c r="B176">
        <v>58</v>
      </c>
      <c r="C176" s="24" t="s">
        <v>82</v>
      </c>
      <c r="D176" t="str">
        <f>CONCATENATE(ACERO1[[#This Row],[TIPO]]," ",ACERO1[[#This Row],[NUM. DE EJES]]," ",ACERO1[[#This Row],[LARGO]])</f>
        <v>PLATAFORMA 2 48 FT</v>
      </c>
      <c r="E176" t="s">
        <v>173</v>
      </c>
      <c r="F176" s="6">
        <v>83.9</v>
      </c>
      <c r="G176" s="19">
        <f>PRODUCTOS!$B176*PRODUCTOS!$F176*COTIZACION!$I$135</f>
        <v>4866.2000000000007</v>
      </c>
      <c r="H176">
        <v>2</v>
      </c>
      <c r="I176" s="2" t="s">
        <v>176</v>
      </c>
      <c r="J176" s="30" t="s">
        <v>87</v>
      </c>
      <c r="X176">
        <v>3.5</v>
      </c>
      <c r="Y176" t="s">
        <v>82</v>
      </c>
      <c r="Z176" t="str">
        <f>CONCATENATE(otros[[#This Row],[TIPO]]," ",otros[[#This Row],[NUM. DE EJES]]," ",otros[[#This Row],[LARGO]])</f>
        <v>PLATAFORMA 3 42 FT</v>
      </c>
      <c r="AA176" t="s">
        <v>52</v>
      </c>
      <c r="AB176" s="6">
        <v>1295</v>
      </c>
      <c r="AC176" s="28">
        <f>otros[[#This Row],[PZAS]]*otros[[#This Row],[PRECIO $ C/U]]*COTIZACION!$I$135</f>
        <v>4532.5</v>
      </c>
      <c r="AD176" s="2">
        <v>3</v>
      </c>
      <c r="AE176" t="s">
        <v>242</v>
      </c>
      <c r="AF176" s="16" t="s">
        <v>90</v>
      </c>
    </row>
    <row r="177" spans="2:32">
      <c r="B177">
        <v>1</v>
      </c>
      <c r="C177" s="24" t="s">
        <v>82</v>
      </c>
      <c r="D177" t="str">
        <f>CONCATENATE(ACERO1[[#This Row],[TIPO]]," ",ACERO1[[#This Row],[NUM. DE EJES]]," ",ACERO1[[#This Row],[LARGO]])</f>
        <v>PLATAFORMA 2 48 FT</v>
      </c>
      <c r="E177" t="s">
        <v>45</v>
      </c>
      <c r="F177" s="6">
        <v>768</v>
      </c>
      <c r="G177" s="19">
        <f>PRODUCTOS!$B177*PRODUCTOS!$F177*COTIZACION!$I$135</f>
        <v>768</v>
      </c>
      <c r="H177">
        <v>2</v>
      </c>
      <c r="I177" s="2" t="s">
        <v>176</v>
      </c>
      <c r="J177" s="30" t="s">
        <v>87</v>
      </c>
      <c r="X177">
        <v>0.875</v>
      </c>
      <c r="Y177" t="s">
        <v>82</v>
      </c>
      <c r="Z177" t="str">
        <f>CONCATENATE(otros[[#This Row],[TIPO]]," ",otros[[#This Row],[NUM. DE EJES]]," ",otros[[#This Row],[LARGO]])</f>
        <v>PLATAFORMA 3 42 FT</v>
      </c>
      <c r="AA177" t="s">
        <v>53</v>
      </c>
      <c r="AB177" s="6">
        <v>550</v>
      </c>
      <c r="AC177" s="28">
        <f>otros[[#This Row],[PZAS]]*otros[[#This Row],[PRECIO $ C/U]]*COTIZACION!$I$135</f>
        <v>481.25</v>
      </c>
      <c r="AD177" s="2">
        <v>3</v>
      </c>
      <c r="AE177" t="s">
        <v>242</v>
      </c>
      <c r="AF177" s="16" t="s">
        <v>90</v>
      </c>
    </row>
    <row r="178" spans="2:32">
      <c r="B178">
        <v>1</v>
      </c>
      <c r="C178" s="24" t="s">
        <v>82</v>
      </c>
      <c r="D178" t="str">
        <f>CONCATENATE(ACERO1[[#This Row],[TIPO]]," ",ACERO1[[#This Row],[NUM. DE EJES]]," ",ACERO1[[#This Row],[LARGO]])</f>
        <v>PLATAFORMA 2 48 FT</v>
      </c>
      <c r="E178" t="s">
        <v>150</v>
      </c>
      <c r="F178" s="6">
        <v>3276</v>
      </c>
      <c r="G178" s="19">
        <f>PRODUCTOS!$B178*PRODUCTOS!$F178*COTIZACION!$I$135</f>
        <v>3276</v>
      </c>
      <c r="H178">
        <v>2</v>
      </c>
      <c r="I178" s="2" t="s">
        <v>176</v>
      </c>
      <c r="J178" s="30" t="s">
        <v>87</v>
      </c>
      <c r="X178">
        <v>2</v>
      </c>
      <c r="Y178" t="s">
        <v>82</v>
      </c>
      <c r="Z178" t="str">
        <f>CONCATENATE(otros[[#This Row],[TIPO]]," ",otros[[#This Row],[NUM. DE EJES]]," ",otros[[#This Row],[LARGO]])</f>
        <v>PLATAFORMA 3 42 FT</v>
      </c>
      <c r="AA178" t="s">
        <v>54</v>
      </c>
      <c r="AB178" s="6">
        <v>163</v>
      </c>
      <c r="AC178" s="28">
        <f>otros[[#This Row],[PZAS]]*otros[[#This Row],[PRECIO $ C/U]]*COTIZACION!$I$135</f>
        <v>326</v>
      </c>
      <c r="AD178" s="2">
        <v>3</v>
      </c>
      <c r="AE178" t="s">
        <v>242</v>
      </c>
      <c r="AF178" s="16" t="s">
        <v>90</v>
      </c>
    </row>
    <row r="179" spans="2:32">
      <c r="B179">
        <v>2</v>
      </c>
      <c r="C179" s="24" t="s">
        <v>82</v>
      </c>
      <c r="D179" t="str">
        <f>CONCATENATE(ACERO1[[#This Row],[TIPO]]," ",ACERO1[[#This Row],[NUM. DE EJES]]," ",ACERO1[[#This Row],[LARGO]])</f>
        <v>PLATAFORMA 2 48 FT</v>
      </c>
      <c r="E179" t="s">
        <v>174</v>
      </c>
      <c r="F179" s="6">
        <v>150</v>
      </c>
      <c r="G179" s="19">
        <f>PRODUCTOS!$B179*PRODUCTOS!$F179*COTIZACION!$I$135</f>
        <v>300</v>
      </c>
      <c r="H179">
        <v>2</v>
      </c>
      <c r="I179" s="2" t="s">
        <v>176</v>
      </c>
      <c r="J179" s="30" t="s">
        <v>87</v>
      </c>
      <c r="X179">
        <v>3.5</v>
      </c>
      <c r="Y179" t="s">
        <v>82</v>
      </c>
      <c r="Z179" t="str">
        <f>CONCATENATE(otros[[#This Row],[TIPO]]," ",otros[[#This Row],[NUM. DE EJES]]," ",otros[[#This Row],[LARGO]])</f>
        <v>PLATAFORMA 3 42 FT</v>
      </c>
      <c r="AA179" t="s">
        <v>55</v>
      </c>
      <c r="AB179" s="6">
        <v>150</v>
      </c>
      <c r="AC179" s="28">
        <f>otros[[#This Row],[PZAS]]*otros[[#This Row],[PRECIO $ C/U]]*COTIZACION!$I$135</f>
        <v>525</v>
      </c>
      <c r="AD179" s="2">
        <v>3</v>
      </c>
      <c r="AE179" t="s">
        <v>242</v>
      </c>
      <c r="AF179" s="16" t="s">
        <v>90</v>
      </c>
    </row>
    <row r="180" spans="2:32">
      <c r="B180">
        <v>1</v>
      </c>
      <c r="C180" s="24" t="s">
        <v>82</v>
      </c>
      <c r="D180" t="str">
        <f>CONCATENATE(ACERO1[[#This Row],[TIPO]]," ",ACERO1[[#This Row],[NUM. DE EJES]]," ",ACERO1[[#This Row],[LARGO]])</f>
        <v>PLATAFORMA 2 48 FT</v>
      </c>
      <c r="E180" t="s">
        <v>175</v>
      </c>
      <c r="F180" s="6">
        <v>3768</v>
      </c>
      <c r="G180" s="19">
        <f>PRODUCTOS!$B180*PRODUCTOS!$F180*COTIZACION!$I$135</f>
        <v>3768</v>
      </c>
      <c r="H180">
        <v>2</v>
      </c>
      <c r="I180" s="2" t="s">
        <v>176</v>
      </c>
      <c r="J180" s="30" t="s">
        <v>87</v>
      </c>
      <c r="X180">
        <v>1.75</v>
      </c>
      <c r="Y180" t="s">
        <v>82</v>
      </c>
      <c r="Z180" t="str">
        <f>CONCATENATE(otros[[#This Row],[TIPO]]," ",otros[[#This Row],[NUM. DE EJES]]," ",otros[[#This Row],[LARGO]])</f>
        <v>PLATAFORMA 3 42 FT</v>
      </c>
      <c r="AA180" t="s">
        <v>56</v>
      </c>
      <c r="AB180" s="6">
        <v>165</v>
      </c>
      <c r="AC180" s="28">
        <f>otros[[#This Row],[PZAS]]*otros[[#This Row],[PRECIO $ C/U]]*COTIZACION!$I$135</f>
        <v>288.75</v>
      </c>
      <c r="AD180" s="2">
        <v>3</v>
      </c>
      <c r="AE180" t="s">
        <v>242</v>
      </c>
      <c r="AF180" s="16" t="s">
        <v>90</v>
      </c>
    </row>
    <row r="181" spans="2:32">
      <c r="B181">
        <v>1</v>
      </c>
      <c r="C181" s="24" t="s">
        <v>82</v>
      </c>
      <c r="D181" t="str">
        <f>CONCATENATE(ACERO1[[#This Row],[TIPO]]," ",ACERO1[[#This Row],[NUM. DE EJES]]," ",ACERO1[[#This Row],[LARGO]])</f>
        <v>PLATAFORMA 2 35 FT</v>
      </c>
      <c r="E181" t="s">
        <v>8</v>
      </c>
      <c r="F181" s="6">
        <v>2064</v>
      </c>
      <c r="G181" s="19">
        <f>PRODUCTOS!$B181*PRODUCTOS!$F181*COTIZACION!$I$135</f>
        <v>2064</v>
      </c>
      <c r="H181">
        <v>2</v>
      </c>
      <c r="I181" s="2" t="s">
        <v>248</v>
      </c>
      <c r="J181" s="30" t="s">
        <v>87</v>
      </c>
      <c r="X181">
        <v>1.75</v>
      </c>
      <c r="Y181" t="s">
        <v>82</v>
      </c>
      <c r="Z181" t="str">
        <f>CONCATENATE(otros[[#This Row],[TIPO]]," ",otros[[#This Row],[NUM. DE EJES]]," ",otros[[#This Row],[LARGO]])</f>
        <v>PLATAFORMA 3 42 FT</v>
      </c>
      <c r="AA181" t="s">
        <v>57</v>
      </c>
      <c r="AB181" s="6">
        <v>165</v>
      </c>
      <c r="AC181" s="28">
        <f>otros[[#This Row],[PZAS]]*otros[[#This Row],[PRECIO $ C/U]]*COTIZACION!$I$135</f>
        <v>288.75</v>
      </c>
      <c r="AD181" s="2">
        <v>3</v>
      </c>
      <c r="AE181" t="s">
        <v>242</v>
      </c>
      <c r="AF181" s="16" t="s">
        <v>90</v>
      </c>
    </row>
    <row r="182" spans="2:32">
      <c r="B182">
        <v>1</v>
      </c>
      <c r="C182" s="24" t="s">
        <v>82</v>
      </c>
      <c r="D182" t="str">
        <f>CONCATENATE(ACERO1[[#This Row],[TIPO]]," ",ACERO1[[#This Row],[NUM. DE EJES]]," ",ACERO1[[#This Row],[LARGO]])</f>
        <v>PLATAFORMA 2 35 FT</v>
      </c>
      <c r="E182" t="s">
        <v>9</v>
      </c>
      <c r="F182" s="6">
        <v>2328</v>
      </c>
      <c r="G182" s="19">
        <f>PRODUCTOS!$B182*PRODUCTOS!$F182*COTIZACION!$I$135</f>
        <v>2328</v>
      </c>
      <c r="H182">
        <v>2</v>
      </c>
      <c r="I182" s="2" t="s">
        <v>248</v>
      </c>
      <c r="J182" s="30" t="s">
        <v>87</v>
      </c>
      <c r="X182">
        <v>1.75</v>
      </c>
      <c r="Y182" t="s">
        <v>82</v>
      </c>
      <c r="Z182" t="str">
        <f>CONCATENATE(otros[[#This Row],[TIPO]]," ",otros[[#This Row],[NUM. DE EJES]]," ",otros[[#This Row],[LARGO]])</f>
        <v>PLATAFORMA 3 42 FT</v>
      </c>
      <c r="AA182" t="s">
        <v>58</v>
      </c>
      <c r="AB182" s="6">
        <v>127</v>
      </c>
      <c r="AC182" s="28">
        <f>otros[[#This Row],[PZAS]]*otros[[#This Row],[PRECIO $ C/U]]*COTIZACION!$I$135</f>
        <v>222.25</v>
      </c>
      <c r="AD182" s="2">
        <v>3</v>
      </c>
      <c r="AE182" t="s">
        <v>242</v>
      </c>
      <c r="AF182" s="16" t="s">
        <v>90</v>
      </c>
    </row>
    <row r="183" spans="2:32">
      <c r="B183">
        <v>1</v>
      </c>
      <c r="C183" s="24" t="s">
        <v>82</v>
      </c>
      <c r="D183" t="str">
        <f>CONCATENATE(ACERO1[[#This Row],[TIPO]]," ",ACERO1[[#This Row],[NUM. DE EJES]]," ",ACERO1[[#This Row],[LARGO]])</f>
        <v>PLATAFORMA 2 35 FT</v>
      </c>
      <c r="E183" t="s">
        <v>10</v>
      </c>
      <c r="F183" s="6">
        <v>84</v>
      </c>
      <c r="G183" s="19">
        <f>PRODUCTOS!$B183*PRODUCTOS!$F183*COTIZACION!$I$135</f>
        <v>84</v>
      </c>
      <c r="H183">
        <v>2</v>
      </c>
      <c r="I183" s="2" t="s">
        <v>248</v>
      </c>
      <c r="J183" s="30" t="s">
        <v>87</v>
      </c>
      <c r="X183">
        <v>8.75</v>
      </c>
      <c r="Y183" t="s">
        <v>82</v>
      </c>
      <c r="Z183" t="str">
        <f>CONCATENATE(otros[[#This Row],[TIPO]]," ",otros[[#This Row],[NUM. DE EJES]]," ",otros[[#This Row],[LARGO]])</f>
        <v>PLATAFORMA 3 42 FT</v>
      </c>
      <c r="AA183" t="s">
        <v>59</v>
      </c>
      <c r="AB183" s="6">
        <v>20</v>
      </c>
      <c r="AC183" s="28">
        <f>otros[[#This Row],[PZAS]]*otros[[#This Row],[PRECIO $ C/U]]*COTIZACION!$I$135</f>
        <v>175</v>
      </c>
      <c r="AD183" s="2">
        <v>3</v>
      </c>
      <c r="AE183" t="s">
        <v>242</v>
      </c>
      <c r="AF183" s="16" t="s">
        <v>90</v>
      </c>
    </row>
    <row r="184" spans="2:32">
      <c r="B184">
        <v>2</v>
      </c>
      <c r="C184" s="24" t="s">
        <v>82</v>
      </c>
      <c r="D184" t="str">
        <f>CONCATENATE(ACERO1[[#This Row],[TIPO]]," ",ACERO1[[#This Row],[NUM. DE EJES]]," ",ACERO1[[#This Row],[LARGO]])</f>
        <v>PLATAFORMA 2 35 FT</v>
      </c>
      <c r="E184" t="s">
        <v>147</v>
      </c>
      <c r="F184" s="6">
        <v>480</v>
      </c>
      <c r="G184" s="19">
        <f>PRODUCTOS!$B184*PRODUCTOS!$F184*COTIZACION!$I$135</f>
        <v>960</v>
      </c>
      <c r="H184">
        <v>2</v>
      </c>
      <c r="I184" s="2" t="s">
        <v>248</v>
      </c>
      <c r="J184" s="30" t="s">
        <v>87</v>
      </c>
      <c r="X184">
        <v>0.875</v>
      </c>
      <c r="Y184" t="s">
        <v>82</v>
      </c>
      <c r="Z184" t="str">
        <f>CONCATENATE(otros[[#This Row],[TIPO]]," ",otros[[#This Row],[NUM. DE EJES]]," ",otros[[#This Row],[LARGO]])</f>
        <v>PLATAFORMA 3 42 FT</v>
      </c>
      <c r="AA184" t="s">
        <v>245</v>
      </c>
      <c r="AB184" s="6">
        <v>551</v>
      </c>
      <c r="AC184" s="28">
        <f>otros[[#This Row],[PZAS]]*otros[[#This Row],[PRECIO $ C/U]]*COTIZACION!$I$135</f>
        <v>482.125</v>
      </c>
      <c r="AD184" s="2">
        <v>3</v>
      </c>
      <c r="AE184" t="s">
        <v>242</v>
      </c>
      <c r="AF184" s="16" t="s">
        <v>90</v>
      </c>
    </row>
    <row r="185" spans="2:32">
      <c r="B185">
        <v>1</v>
      </c>
      <c r="C185" s="24" t="s">
        <v>82</v>
      </c>
      <c r="D185" t="str">
        <f>CONCATENATE(ACERO1[[#This Row],[TIPO]]," ",ACERO1[[#This Row],[NUM. DE EJES]]," ",ACERO1[[#This Row],[LARGO]])</f>
        <v>PLATAFORMA 2 35 FT</v>
      </c>
      <c r="E185" t="s">
        <v>240</v>
      </c>
      <c r="F185" s="6">
        <v>1845</v>
      </c>
      <c r="G185" s="19">
        <f>PRODUCTOS!$B185*PRODUCTOS!$F185*COTIZACION!$I$135</f>
        <v>1845</v>
      </c>
      <c r="H185">
        <v>2</v>
      </c>
      <c r="I185" s="2" t="s">
        <v>248</v>
      </c>
      <c r="J185" s="30" t="s">
        <v>87</v>
      </c>
      <c r="X185">
        <v>2</v>
      </c>
      <c r="Y185" t="s">
        <v>82</v>
      </c>
      <c r="Z185" t="str">
        <f>CONCATENATE(otros[[#This Row],[TIPO]]," ",otros[[#This Row],[NUM. DE EJES]]," ",otros[[#This Row],[LARGO]])</f>
        <v>PLATAFORMA 3 42 FT</v>
      </c>
      <c r="AA185" t="s">
        <v>61</v>
      </c>
      <c r="AB185" s="6">
        <v>586</v>
      </c>
      <c r="AC185" s="28">
        <f>otros[[#This Row],[PZAS]]*otros[[#This Row],[PRECIO $ C/U]]*COTIZACION!$I$135</f>
        <v>1172</v>
      </c>
      <c r="AD185" s="2">
        <v>3</v>
      </c>
      <c r="AE185" t="s">
        <v>242</v>
      </c>
      <c r="AF185" s="16" t="s">
        <v>90</v>
      </c>
    </row>
    <row r="186" spans="2:32">
      <c r="B186">
        <v>1</v>
      </c>
      <c r="C186" s="24" t="s">
        <v>82</v>
      </c>
      <c r="D186" t="str">
        <f>CONCATENATE(ACERO1[[#This Row],[TIPO]]," ",ACERO1[[#This Row],[NUM. DE EJES]]," ",ACERO1[[#This Row],[LARGO]])</f>
        <v>PLATAFORMA 2 35 FT</v>
      </c>
      <c r="E186" t="s">
        <v>13</v>
      </c>
      <c r="F186" s="6">
        <v>437</v>
      </c>
      <c r="G186" s="19">
        <f>PRODUCTOS!$B186*PRODUCTOS!$F186*COTIZACION!$I$135</f>
        <v>437</v>
      </c>
      <c r="H186">
        <v>2</v>
      </c>
      <c r="I186" s="2" t="s">
        <v>248</v>
      </c>
      <c r="J186" s="30" t="s">
        <v>87</v>
      </c>
      <c r="X186">
        <v>0.875</v>
      </c>
      <c r="Y186" t="s">
        <v>82</v>
      </c>
      <c r="Z186" t="str">
        <f>CONCATENATE(otros[[#This Row],[TIPO]]," ",otros[[#This Row],[NUM. DE EJES]]," ",otros[[#This Row],[LARGO]])</f>
        <v>PLATAFORMA 3 42 FT</v>
      </c>
      <c r="AA186" t="s">
        <v>62</v>
      </c>
      <c r="AB186" s="6">
        <v>2500</v>
      </c>
      <c r="AC186" s="28">
        <f>otros[[#This Row],[PZAS]]*otros[[#This Row],[PRECIO $ C/U]]*COTIZACION!$I$135</f>
        <v>2187.5</v>
      </c>
      <c r="AD186" s="2">
        <v>3</v>
      </c>
      <c r="AE186" t="s">
        <v>242</v>
      </c>
      <c r="AF186" s="16" t="s">
        <v>90</v>
      </c>
    </row>
    <row r="187" spans="2:32">
      <c r="B187">
        <v>2</v>
      </c>
      <c r="C187" s="24" t="s">
        <v>82</v>
      </c>
      <c r="D187" t="str">
        <f>CONCATENATE(ACERO1[[#This Row],[TIPO]]," ",ACERO1[[#This Row],[NUM. DE EJES]]," ",ACERO1[[#This Row],[LARGO]])</f>
        <v>PLATAFORMA 2 35 FT</v>
      </c>
      <c r="E187" t="s">
        <v>168</v>
      </c>
      <c r="F187" s="6">
        <v>417.6</v>
      </c>
      <c r="G187" s="19">
        <f>PRODUCTOS!$B187*PRODUCTOS!$F187*COTIZACION!$I$135</f>
        <v>835.2</v>
      </c>
      <c r="H187">
        <v>2</v>
      </c>
      <c r="I187" s="2" t="s">
        <v>248</v>
      </c>
      <c r="J187" s="30" t="s">
        <v>87</v>
      </c>
      <c r="X187">
        <v>2</v>
      </c>
      <c r="Y187" t="s">
        <v>82</v>
      </c>
      <c r="Z187" t="str">
        <f>CONCATENATE(otros[[#This Row],[TIPO]]," ",otros[[#This Row],[NUM. DE EJES]]," ",otros[[#This Row],[LARGO]])</f>
        <v>PLATAFORMA 3 42 FT</v>
      </c>
      <c r="AA187" t="s">
        <v>244</v>
      </c>
      <c r="AB187" s="6">
        <v>350</v>
      </c>
      <c r="AC187" s="28">
        <f>otros[[#This Row],[PZAS]]*otros[[#This Row],[PRECIO $ C/U]]*COTIZACION!$I$135</f>
        <v>700</v>
      </c>
      <c r="AD187" s="2">
        <v>3</v>
      </c>
      <c r="AE187" t="s">
        <v>242</v>
      </c>
      <c r="AF187" s="16" t="s">
        <v>90</v>
      </c>
    </row>
    <row r="188" spans="2:32">
      <c r="B188">
        <v>5</v>
      </c>
      <c r="C188" s="24" t="s">
        <v>82</v>
      </c>
      <c r="D188" t="str">
        <f>CONCATENATE(ACERO1[[#This Row],[TIPO]]," ",ACERO1[[#This Row],[NUM. DE EJES]]," ",ACERO1[[#This Row],[LARGO]])</f>
        <v>PLATAFORMA 2 35 FT</v>
      </c>
      <c r="E188" t="s">
        <v>16</v>
      </c>
      <c r="F188" s="6">
        <v>504</v>
      </c>
      <c r="G188" s="19">
        <f>PRODUCTOS!$B188*PRODUCTOS!$F188*COTIZACION!$I$135</f>
        <v>2520</v>
      </c>
      <c r="H188">
        <v>2</v>
      </c>
      <c r="I188" s="2" t="s">
        <v>248</v>
      </c>
      <c r="J188" s="30" t="s">
        <v>87</v>
      </c>
      <c r="X188">
        <v>0.875</v>
      </c>
      <c r="Y188" t="s">
        <v>82</v>
      </c>
      <c r="Z188" t="str">
        <f>CONCATENATE(otros[[#This Row],[TIPO]]," ",otros[[#This Row],[NUM. DE EJES]]," ",otros[[#This Row],[LARGO]])</f>
        <v>PLATAFORMA 3 42 FT</v>
      </c>
      <c r="AA188" t="s">
        <v>66</v>
      </c>
      <c r="AB188" s="6">
        <v>10000</v>
      </c>
      <c r="AC188" s="28">
        <f>otros[[#This Row],[PZAS]]*otros[[#This Row],[PRECIO $ C/U]]*COTIZACION!$I$135</f>
        <v>8750</v>
      </c>
      <c r="AD188" s="2">
        <v>3</v>
      </c>
      <c r="AE188" t="s">
        <v>242</v>
      </c>
      <c r="AF188" s="16" t="s">
        <v>90</v>
      </c>
    </row>
    <row r="189" spans="2:32">
      <c r="B189">
        <v>1</v>
      </c>
      <c r="C189" s="24" t="s">
        <v>82</v>
      </c>
      <c r="D189" t="str">
        <f>CONCATENATE(ACERO1[[#This Row],[TIPO]]," ",ACERO1[[#This Row],[NUM. DE EJES]]," ",ACERO1[[#This Row],[LARGO]])</f>
        <v>PLATAFORMA 2 35 FT</v>
      </c>
      <c r="E189" t="s">
        <v>169</v>
      </c>
      <c r="F189" s="6">
        <v>2035</v>
      </c>
      <c r="G189" s="19">
        <f>PRODUCTOS!$B189*PRODUCTOS!$F189*COTIZACION!$I$135</f>
        <v>2035</v>
      </c>
      <c r="H189">
        <v>2</v>
      </c>
      <c r="I189" s="2" t="s">
        <v>248</v>
      </c>
      <c r="J189" s="30" t="s">
        <v>87</v>
      </c>
      <c r="X189">
        <v>0.875</v>
      </c>
      <c r="Y189" t="s">
        <v>82</v>
      </c>
      <c r="Z189" t="str">
        <f>CONCATENATE(otros[[#This Row],[TIPO]]," ",otros[[#This Row],[NUM. DE EJES]]," ",otros[[#This Row],[LARGO]])</f>
        <v>PLATAFORMA 3 42 FT</v>
      </c>
      <c r="AA189" t="s">
        <v>67</v>
      </c>
      <c r="AB189" s="6">
        <v>2000</v>
      </c>
      <c r="AC189" s="28">
        <f>otros[[#This Row],[PZAS]]*otros[[#This Row],[PRECIO $ C/U]]*COTIZACION!$I$135</f>
        <v>1750</v>
      </c>
      <c r="AD189" s="2">
        <v>3</v>
      </c>
      <c r="AE189" t="s">
        <v>242</v>
      </c>
      <c r="AF189" s="16" t="s">
        <v>90</v>
      </c>
    </row>
    <row r="190" spans="2:32">
      <c r="B190">
        <v>6</v>
      </c>
      <c r="C190" s="24" t="s">
        <v>82</v>
      </c>
      <c r="D190" t="str">
        <f>CONCATENATE(ACERO1[[#This Row],[TIPO]]," ",ACERO1[[#This Row],[NUM. DE EJES]]," ",ACERO1[[#This Row],[LARGO]])</f>
        <v>PLATAFORMA 2 35 FT</v>
      </c>
      <c r="E190" t="s">
        <v>20</v>
      </c>
      <c r="F190" s="6">
        <v>740</v>
      </c>
      <c r="G190" s="19">
        <f>PRODUCTOS!$B190*PRODUCTOS!$F190*COTIZACION!$I$135</f>
        <v>4440</v>
      </c>
      <c r="H190">
        <v>2</v>
      </c>
      <c r="I190" s="2" t="s">
        <v>248</v>
      </c>
      <c r="J190" s="30" t="s">
        <v>87</v>
      </c>
      <c r="X190">
        <v>1</v>
      </c>
      <c r="Y190" t="s">
        <v>82</v>
      </c>
      <c r="Z190" t="str">
        <f>CONCATENATE(otros[[#This Row],[TIPO]]," ",otros[[#This Row],[NUM. DE EJES]]," ",otros[[#This Row],[LARGO]])</f>
        <v>PLATAFORMA 3 42 FT</v>
      </c>
      <c r="AA190" t="s">
        <v>68</v>
      </c>
      <c r="AB190" s="6">
        <v>2500</v>
      </c>
      <c r="AC190" s="28">
        <f>otros[[#This Row],[PZAS]]*otros[[#This Row],[PRECIO $ C/U]]*COTIZACION!$I$135</f>
        <v>2500</v>
      </c>
      <c r="AD190" s="2">
        <v>3</v>
      </c>
      <c r="AE190" t="s">
        <v>242</v>
      </c>
      <c r="AF190" s="16" t="s">
        <v>90</v>
      </c>
    </row>
    <row r="191" spans="2:32">
      <c r="B191">
        <v>1</v>
      </c>
      <c r="C191" s="24" t="s">
        <v>82</v>
      </c>
      <c r="D191" t="str">
        <f>CONCATENATE(ACERO1[[#This Row],[TIPO]]," ",ACERO1[[#This Row],[NUM. DE EJES]]," ",ACERO1[[#This Row],[LARGO]])</f>
        <v>PLATAFORMA 2 35 FT</v>
      </c>
      <c r="E191" t="s">
        <v>24</v>
      </c>
      <c r="F191" s="6">
        <v>5824.5</v>
      </c>
      <c r="G191" s="19">
        <f>PRODUCTOS!$B191*PRODUCTOS!$F191*COTIZACION!$I$135</f>
        <v>5824.5</v>
      </c>
      <c r="H191">
        <v>2</v>
      </c>
      <c r="I191" s="2" t="s">
        <v>248</v>
      </c>
      <c r="J191" s="30" t="s">
        <v>87</v>
      </c>
      <c r="X191">
        <v>1</v>
      </c>
      <c r="Y191" t="s">
        <v>82</v>
      </c>
      <c r="Z191" t="str">
        <f>CONCATENATE(otros[[#This Row],[TIPO]]," ",otros[[#This Row],[NUM. DE EJES]]," ",otros[[#This Row],[LARGO]])</f>
        <v>PLATAFORMA 3 42 FT</v>
      </c>
      <c r="AA191" t="s">
        <v>0</v>
      </c>
      <c r="AB191" s="6">
        <v>15000</v>
      </c>
      <c r="AC191" s="28">
        <f>otros[[#This Row],[PZAS]]*otros[[#This Row],[PRECIO $ C/U]]*COTIZACION!$I$135</f>
        <v>15000</v>
      </c>
      <c r="AD191" s="2">
        <v>3</v>
      </c>
      <c r="AE191" t="s">
        <v>242</v>
      </c>
      <c r="AF191" s="16" t="s">
        <v>90</v>
      </c>
    </row>
    <row r="192" spans="2:32">
      <c r="B192">
        <v>1</v>
      </c>
      <c r="C192" s="24" t="s">
        <v>82</v>
      </c>
      <c r="D192" t="str">
        <f>CONCATENATE(ACERO1[[#This Row],[TIPO]]," ",ACERO1[[#This Row],[NUM. DE EJES]]," ",ACERO1[[#This Row],[LARGO]])</f>
        <v>PLATAFORMA 2 35 FT</v>
      </c>
      <c r="E192" t="s">
        <v>170</v>
      </c>
      <c r="F192" s="6">
        <v>180</v>
      </c>
      <c r="G192" s="19">
        <f>PRODUCTOS!$B192*PRODUCTOS!$F192*COTIZACION!$I$135</f>
        <v>180</v>
      </c>
      <c r="H192">
        <v>2</v>
      </c>
      <c r="I192" s="2" t="s">
        <v>248</v>
      </c>
      <c r="J192" s="30" t="s">
        <v>87</v>
      </c>
      <c r="X192">
        <v>1</v>
      </c>
      <c r="Y192" t="s">
        <v>82</v>
      </c>
      <c r="Z192" t="str">
        <f>CONCATENATE(otros[[#This Row],[TIPO]]," ",otros[[#This Row],[NUM. DE EJES]]," ",otros[[#This Row],[LARGO]])</f>
        <v>PLATAFORMA 3 42 FT</v>
      </c>
      <c r="AA192" t="s">
        <v>161</v>
      </c>
      <c r="AB192" s="6">
        <v>3000</v>
      </c>
      <c r="AC192" s="28">
        <f>otros[[#This Row],[PZAS]]*otros[[#This Row],[PRECIO $ C/U]]*COTIZACION!$I$135</f>
        <v>3000</v>
      </c>
      <c r="AD192" s="2">
        <v>3</v>
      </c>
      <c r="AE192" t="s">
        <v>242</v>
      </c>
      <c r="AF192" s="16" t="s">
        <v>90</v>
      </c>
    </row>
    <row r="193" spans="2:32">
      <c r="B193">
        <v>1</v>
      </c>
      <c r="C193" s="24" t="s">
        <v>82</v>
      </c>
      <c r="D193" t="str">
        <f>CONCATENATE(ACERO1[[#This Row],[TIPO]]," ",ACERO1[[#This Row],[NUM. DE EJES]]," ",ACERO1[[#This Row],[LARGO]])</f>
        <v>PLATAFORMA 2 35 FT</v>
      </c>
      <c r="E193" t="s">
        <v>171</v>
      </c>
      <c r="F193" s="6">
        <v>290</v>
      </c>
      <c r="G193" s="19">
        <f>PRODUCTOS!$B193*PRODUCTOS!$F193*COTIZACION!$I$135</f>
        <v>290</v>
      </c>
      <c r="H193">
        <v>2</v>
      </c>
      <c r="I193" s="2" t="s">
        <v>248</v>
      </c>
      <c r="J193" s="30" t="s">
        <v>87</v>
      </c>
      <c r="X193">
        <v>1</v>
      </c>
      <c r="Y193" t="s">
        <v>82</v>
      </c>
      <c r="Z193" t="str">
        <f>CONCATENATE(otros[[#This Row],[TIPO]]," ",otros[[#This Row],[NUM. DE EJES]]," ",otros[[#This Row],[LARGO]])</f>
        <v>PLATAFORMA 3 42 FT</v>
      </c>
      <c r="AA193" t="s">
        <v>65</v>
      </c>
      <c r="AB193" s="6">
        <v>15000</v>
      </c>
      <c r="AC193" s="28">
        <f>otros[[#This Row],[PZAS]]*otros[[#This Row],[PRECIO $ C/U]]*COTIZACION!$I$135</f>
        <v>15000</v>
      </c>
      <c r="AD193" s="2">
        <v>3</v>
      </c>
      <c r="AE193" t="s">
        <v>242</v>
      </c>
      <c r="AF193" s="16" t="s">
        <v>90</v>
      </c>
    </row>
    <row r="194" spans="2:32">
      <c r="B194">
        <v>1</v>
      </c>
      <c r="C194" s="24" t="s">
        <v>82</v>
      </c>
      <c r="D194" t="str">
        <f>CONCATENATE(ACERO1[[#This Row],[TIPO]]," ",ACERO1[[#This Row],[NUM. DE EJES]]," ",ACERO1[[#This Row],[LARGO]])</f>
        <v>PLATAFORMA 2 35 FT</v>
      </c>
      <c r="E194" t="s">
        <v>27</v>
      </c>
      <c r="F194" s="6">
        <v>5055</v>
      </c>
      <c r="G194" s="19">
        <f>PRODUCTOS!$B194*PRODUCTOS!$F194*COTIZACION!$I$135</f>
        <v>5055</v>
      </c>
      <c r="H194">
        <v>2</v>
      </c>
      <c r="I194" s="2" t="s">
        <v>248</v>
      </c>
      <c r="J194" s="30" t="s">
        <v>87</v>
      </c>
      <c r="X194">
        <v>1</v>
      </c>
      <c r="Y194" t="s">
        <v>82</v>
      </c>
      <c r="Z194" t="str">
        <f>CONCATENATE(otros[[#This Row],[TIPO]]," ",otros[[#This Row],[NUM. DE EJES]]," ",otros[[#This Row],[LARGO]])</f>
        <v>PLATAFORMA 3 42 FT</v>
      </c>
      <c r="AA194" t="s">
        <v>162</v>
      </c>
      <c r="AB194" s="6">
        <v>5000</v>
      </c>
      <c r="AC194" s="28">
        <f>otros[[#This Row],[PZAS]]*otros[[#This Row],[PRECIO $ C/U]]*COTIZACION!$I$135</f>
        <v>5000</v>
      </c>
      <c r="AD194" s="2">
        <v>3</v>
      </c>
      <c r="AE194" t="s">
        <v>242</v>
      </c>
      <c r="AF194" s="16" t="s">
        <v>90</v>
      </c>
    </row>
    <row r="195" spans="2:32">
      <c r="B195">
        <v>1</v>
      </c>
      <c r="C195" s="24" t="s">
        <v>82</v>
      </c>
      <c r="D195" t="str">
        <f>CONCATENATE(ACERO1[[#This Row],[TIPO]]," ",ACERO1[[#This Row],[NUM. DE EJES]]," ",ACERO1[[#This Row],[LARGO]])</f>
        <v>PLATAFORMA 2 35 FT</v>
      </c>
      <c r="E195" t="s">
        <v>146</v>
      </c>
      <c r="F195" s="6">
        <v>274</v>
      </c>
      <c r="G195" s="19">
        <f>PRODUCTOS!$B195*PRODUCTOS!$F195*COTIZACION!$I$135</f>
        <v>274</v>
      </c>
      <c r="H195">
        <v>2</v>
      </c>
      <c r="I195" s="2" t="s">
        <v>248</v>
      </c>
      <c r="J195" s="30" t="s">
        <v>87</v>
      </c>
      <c r="X195">
        <v>1</v>
      </c>
      <c r="Y195" t="s">
        <v>82</v>
      </c>
      <c r="Z195" t="str">
        <f>CONCATENATE(otros[[#This Row],[TIPO]]," ",otros[[#This Row],[NUM. DE EJES]]," ",otros[[#This Row],[LARGO]])</f>
        <v>PLATAFORMA 3 42 FT</v>
      </c>
      <c r="AA195" t="s">
        <v>177</v>
      </c>
      <c r="AB195" s="6">
        <v>1500</v>
      </c>
      <c r="AC195" s="28">
        <f>otros[[#This Row],[PZAS]]*otros[[#This Row],[PRECIO $ C/U]]*COTIZACION!$I$135</f>
        <v>1500</v>
      </c>
      <c r="AD195" s="2">
        <v>3</v>
      </c>
      <c r="AE195" t="s">
        <v>242</v>
      </c>
      <c r="AF195" s="16" t="s">
        <v>90</v>
      </c>
    </row>
    <row r="196" spans="2:32">
      <c r="B196">
        <v>1</v>
      </c>
      <c r="C196" s="24" t="s">
        <v>82</v>
      </c>
      <c r="D196" t="str">
        <f>CONCATENATE(ACERO1[[#This Row],[TIPO]]," ",ACERO1[[#This Row],[NUM. DE EJES]]," ",ACERO1[[#This Row],[LARGO]])</f>
        <v>PLATAFORMA 2 35 FT</v>
      </c>
      <c r="E196" t="s">
        <v>149</v>
      </c>
      <c r="F196" s="6">
        <v>1331</v>
      </c>
      <c r="G196" s="19">
        <f>PRODUCTOS!$B196*PRODUCTOS!$F196*COTIZACION!$I$135</f>
        <v>1331</v>
      </c>
      <c r="H196">
        <v>2</v>
      </c>
      <c r="I196" s="2" t="s">
        <v>248</v>
      </c>
      <c r="J196" s="30" t="s">
        <v>87</v>
      </c>
      <c r="X196">
        <v>1</v>
      </c>
      <c r="Y196" t="s">
        <v>82</v>
      </c>
      <c r="Z196" t="str">
        <f>CONCATENATE(otros[[#This Row],[TIPO]]," ",otros[[#This Row],[NUM. DE EJES]]," ",otros[[#This Row],[LARGO]])</f>
        <v>PLATAFORMA 3 42 FT</v>
      </c>
      <c r="AA196" t="s">
        <v>163</v>
      </c>
      <c r="AB196" s="6">
        <v>30000</v>
      </c>
      <c r="AC196" s="28">
        <f>otros[[#This Row],[PZAS]]*otros[[#This Row],[PRECIO $ C/U]]*COTIZACION!$I$135</f>
        <v>30000</v>
      </c>
      <c r="AD196" s="2">
        <v>3</v>
      </c>
      <c r="AE196" t="s">
        <v>242</v>
      </c>
      <c r="AF196" s="16" t="s">
        <v>90</v>
      </c>
    </row>
    <row r="197" spans="2:32">
      <c r="B197">
        <v>6</v>
      </c>
      <c r="C197" s="24" t="s">
        <v>82</v>
      </c>
      <c r="D197" t="str">
        <f>CONCATENATE(ACERO1[[#This Row],[TIPO]]," ",ACERO1[[#This Row],[NUM. DE EJES]]," ",ACERO1[[#This Row],[LARGO]])</f>
        <v>PLATAFORMA 2 35 FT</v>
      </c>
      <c r="E197" t="s">
        <v>172</v>
      </c>
      <c r="F197" s="6">
        <v>1000.8</v>
      </c>
      <c r="G197" s="19">
        <f>PRODUCTOS!$B197*PRODUCTOS!$F197*COTIZACION!$I$135</f>
        <v>6004.7999999999993</v>
      </c>
      <c r="H197">
        <v>2</v>
      </c>
      <c r="I197" s="2" t="s">
        <v>248</v>
      </c>
      <c r="J197" s="30" t="s">
        <v>87</v>
      </c>
      <c r="X197">
        <v>0</v>
      </c>
      <c r="Y197" t="s">
        <v>82</v>
      </c>
      <c r="Z197" t="str">
        <f>CONCATENATE(otros[[#This Row],[TIPO]]," ",otros[[#This Row],[NUM. DE EJES]]," ",otros[[#This Row],[LARGO]])</f>
        <v>PLATAFORMA 3 42 FT</v>
      </c>
      <c r="AA197" t="s">
        <v>164</v>
      </c>
      <c r="AB197" s="6">
        <v>50</v>
      </c>
      <c r="AC197" s="28">
        <f>otros[[#This Row],[PZAS]]*otros[[#This Row],[PRECIO $ C/U]]*COTIZACION!$I$135</f>
        <v>0</v>
      </c>
      <c r="AD197" s="2">
        <v>3</v>
      </c>
      <c r="AE197" t="s">
        <v>242</v>
      </c>
      <c r="AF197" s="16" t="s">
        <v>90</v>
      </c>
    </row>
    <row r="198" spans="2:32">
      <c r="B198">
        <v>40</v>
      </c>
      <c r="C198" s="24" t="s">
        <v>82</v>
      </c>
      <c r="D198" t="str">
        <f>CONCATENATE(ACERO1[[#This Row],[TIPO]]," ",ACERO1[[#This Row],[NUM. DE EJES]]," ",ACERO1[[#This Row],[LARGO]])</f>
        <v>PLATAFORMA 2 35 FT</v>
      </c>
      <c r="E198" t="s">
        <v>173</v>
      </c>
      <c r="F198" s="6">
        <v>83.9</v>
      </c>
      <c r="G198" s="19">
        <f>PRODUCTOS!$B198*PRODUCTOS!$F198*COTIZACION!$I$135</f>
        <v>3356</v>
      </c>
      <c r="H198">
        <v>2</v>
      </c>
      <c r="I198" s="2" t="s">
        <v>248</v>
      </c>
      <c r="J198" s="30" t="s">
        <v>87</v>
      </c>
    </row>
    <row r="199" spans="2:32">
      <c r="B199">
        <v>1</v>
      </c>
      <c r="C199" s="24" t="s">
        <v>82</v>
      </c>
      <c r="D199" t="str">
        <f>CONCATENATE(ACERO1[[#This Row],[TIPO]]," ",ACERO1[[#This Row],[NUM. DE EJES]]," ",ACERO1[[#This Row],[LARGO]])</f>
        <v>PLATAFORMA 2 35 FT</v>
      </c>
      <c r="E199" t="s">
        <v>45</v>
      </c>
      <c r="F199" s="6">
        <v>768</v>
      </c>
      <c r="G199" s="19">
        <f>PRODUCTOS!$B199*PRODUCTOS!$F199*COTIZACION!$I$135</f>
        <v>768</v>
      </c>
      <c r="H199">
        <v>2</v>
      </c>
      <c r="I199" s="2" t="s">
        <v>248</v>
      </c>
      <c r="J199" s="30" t="s">
        <v>87</v>
      </c>
    </row>
    <row r="200" spans="2:32">
      <c r="B200">
        <v>1</v>
      </c>
      <c r="C200" s="24" t="s">
        <v>82</v>
      </c>
      <c r="D200" t="str">
        <f>CONCATENATE(ACERO1[[#This Row],[TIPO]]," ",ACERO1[[#This Row],[NUM. DE EJES]]," ",ACERO1[[#This Row],[LARGO]])</f>
        <v>PLATAFORMA 2 35 FT</v>
      </c>
      <c r="E200" t="s">
        <v>150</v>
      </c>
      <c r="F200" s="6">
        <v>3276</v>
      </c>
      <c r="G200" s="19">
        <f>PRODUCTOS!$B200*PRODUCTOS!$F200*COTIZACION!$I$135</f>
        <v>3276</v>
      </c>
      <c r="H200">
        <v>2</v>
      </c>
      <c r="I200" s="2" t="s">
        <v>248</v>
      </c>
      <c r="J200" s="30" t="s">
        <v>87</v>
      </c>
    </row>
    <row r="201" spans="2:32">
      <c r="B201">
        <v>2</v>
      </c>
      <c r="C201" s="24" t="s">
        <v>82</v>
      </c>
      <c r="D201" t="str">
        <f>CONCATENATE(ACERO1[[#This Row],[TIPO]]," ",ACERO1[[#This Row],[NUM. DE EJES]]," ",ACERO1[[#This Row],[LARGO]])</f>
        <v>PLATAFORMA 2 35 FT</v>
      </c>
      <c r="E201" t="s">
        <v>174</v>
      </c>
      <c r="F201" s="6">
        <v>150</v>
      </c>
      <c r="G201" s="19">
        <f>PRODUCTOS!$B201*PRODUCTOS!$F201*COTIZACION!$I$135</f>
        <v>300</v>
      </c>
      <c r="H201">
        <v>2</v>
      </c>
      <c r="I201" s="2" t="s">
        <v>248</v>
      </c>
      <c r="J201" s="30" t="s">
        <v>87</v>
      </c>
    </row>
    <row r="202" spans="2:32">
      <c r="B202">
        <v>1</v>
      </c>
      <c r="C202" s="24" t="s">
        <v>82</v>
      </c>
      <c r="D202" t="str">
        <f>CONCATENATE(ACERO1[[#This Row],[TIPO]]," ",ACERO1[[#This Row],[NUM. DE EJES]]," ",ACERO1[[#This Row],[LARGO]])</f>
        <v>PLATAFORMA 2 35 FT</v>
      </c>
      <c r="E202" t="s">
        <v>175</v>
      </c>
      <c r="F202" s="6">
        <v>3768</v>
      </c>
      <c r="G202" s="19">
        <f>PRODUCTOS!$B202*PRODUCTOS!$F202*COTIZACION!$I$135</f>
        <v>3768</v>
      </c>
      <c r="H202">
        <v>2</v>
      </c>
      <c r="I202" s="2" t="s">
        <v>248</v>
      </c>
      <c r="J202" s="30" t="s">
        <v>87</v>
      </c>
    </row>
  </sheetData>
  <phoneticPr fontId="3"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56321" r:id="rId4" name="PRODUCTBTON">
          <controlPr defaultSize="0" autoLine="0" r:id="rId5">
            <anchor moveWithCells="1">
              <from>
                <xdr:col>66</xdr:col>
                <xdr:colOff>525780</xdr:colOff>
                <xdr:row>0</xdr:row>
                <xdr:rowOff>175260</xdr:rowOff>
              </from>
              <to>
                <xdr:col>68</xdr:col>
                <xdr:colOff>144780</xdr:colOff>
                <xdr:row>3</xdr:row>
                <xdr:rowOff>53340</xdr:rowOff>
              </to>
            </anchor>
          </controlPr>
        </control>
      </mc:Choice>
      <mc:Fallback>
        <control shapeId="56321" r:id="rId4" name="PRODUCTBTON"/>
      </mc:Fallback>
    </mc:AlternateContent>
  </controls>
  <tableParts count="10">
    <tablePart r:id="rId6"/>
    <tablePart r:id="rId7"/>
    <tablePart r:id="rId8"/>
    <tablePart r:id="rId9"/>
    <tablePart r:id="rId10"/>
    <tablePart r:id="rId11"/>
    <tablePart r:id="rId12"/>
    <tablePart r:id="rId13"/>
    <tablePart r:id="rId14"/>
    <tablePart r:id="rId15"/>
  </tableParts>
  <extLst>
    <ext xmlns:x15="http://schemas.microsoft.com/office/spreadsheetml/2010/11/main" uri="{3A4CF648-6AED-40f4-86FF-DC5316D8AED3}">
      <x14:slicerList xmlns:x14="http://schemas.microsoft.com/office/spreadsheetml/2009/9/main">
        <x14:slicer r:id="rId16"/>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7EA77-79E7-49AE-8ECF-F15A477CA7C3}">
  <sheetPr codeName="Hoja6"/>
  <dimension ref="A1:L123"/>
  <sheetViews>
    <sheetView topLeftCell="A37" workbookViewId="0">
      <selection activeCell="C116" sqref="C116"/>
    </sheetView>
  </sheetViews>
  <sheetFormatPr baseColWidth="10" defaultRowHeight="14.4"/>
  <cols>
    <col min="1" max="1" width="6.5546875" customWidth="1"/>
    <col min="2" max="2" width="30.33203125" bestFit="1" customWidth="1"/>
    <col min="3" max="11" width="21.6640625" customWidth="1"/>
    <col min="12" max="12" width="11.5546875" customWidth="1"/>
  </cols>
  <sheetData>
    <row r="1" spans="1:12">
      <c r="A1" s="232" t="str" cm="1">
        <f t="array" ref="A1">INDEX(Tabla24[NOMBRE],PRODUCTOS!BF7)</f>
        <v>PLATAFORMA 2 40 FT</v>
      </c>
      <c r="C1">
        <f>INDEX(Tabla24[],MATCH('BASE DAT PLANAS'!A1,Tabla24[NOMBRE],0),MATCH(Tabla24[[#Headers],[NUM. DE EJES]],Tabla24[#Headers],0))</f>
        <v>2</v>
      </c>
    </row>
    <row r="2" spans="1:12">
      <c r="A2" s="321"/>
    </row>
    <row r="7" spans="1:12">
      <c r="A7" t="s">
        <v>50</v>
      </c>
      <c r="B7" t="s">
        <v>77</v>
      </c>
      <c r="C7" t="s">
        <v>335</v>
      </c>
      <c r="D7" t="s">
        <v>100</v>
      </c>
      <c r="E7" t="s">
        <v>102</v>
      </c>
      <c r="F7" t="s">
        <v>101</v>
      </c>
      <c r="G7" t="s">
        <v>333</v>
      </c>
      <c r="H7" t="s">
        <v>330</v>
      </c>
      <c r="I7" t="s">
        <v>334</v>
      </c>
      <c r="J7" t="s">
        <v>331</v>
      </c>
      <c r="K7" t="s">
        <v>555</v>
      </c>
      <c r="L7" t="s">
        <v>1019</v>
      </c>
    </row>
    <row r="8" spans="1:12">
      <c r="A8">
        <f>IF('PRES PLANAS'!G15="SIN GANCHO",0,INDEX(ACERO21[],MATCH(B8,ACERO21[MATERIAL / ACCESORIO],0),MATCH($A$1,ACERO21[#Headers],0)))</f>
        <v>1</v>
      </c>
      <c r="B8" t="s">
        <v>8</v>
      </c>
      <c r="C8">
        <v>1</v>
      </c>
      <c r="D8">
        <v>1</v>
      </c>
      <c r="E8">
        <v>1</v>
      </c>
      <c r="F8">
        <v>1</v>
      </c>
      <c r="G8">
        <v>1</v>
      </c>
      <c r="H8">
        <v>1</v>
      </c>
      <c r="I8">
        <v>1</v>
      </c>
      <c r="J8">
        <v>1</v>
      </c>
      <c r="K8">
        <v>1</v>
      </c>
      <c r="L8">
        <v>1</v>
      </c>
    </row>
    <row r="9" spans="1:12">
      <c r="A9">
        <f>IF('PRES PLANAS'!G16="SIN GANCHO",0,INDEX(ACERO21[],MATCH(B9,ACERO21[MATERIAL / ACCESORIO],0),MATCH($A$1,ACERO21[#Headers],0)))</f>
        <v>1</v>
      </c>
      <c r="B9" t="s">
        <v>9</v>
      </c>
      <c r="C9">
        <v>1</v>
      </c>
      <c r="D9">
        <v>1</v>
      </c>
      <c r="E9">
        <v>1</v>
      </c>
      <c r="F9">
        <v>1</v>
      </c>
      <c r="G9">
        <v>1</v>
      </c>
      <c r="H9">
        <v>1</v>
      </c>
      <c r="I9">
        <v>1</v>
      </c>
      <c r="J9">
        <v>1</v>
      </c>
      <c r="K9">
        <v>1</v>
      </c>
      <c r="L9">
        <v>1</v>
      </c>
    </row>
    <row r="10" spans="1:12">
      <c r="A10">
        <f>IF('PRES PLANAS'!G17="SIN GANCHO",0,INDEX(ACERO21[],MATCH(B10,ACERO21[MATERIAL / ACCESORIO],0),MATCH($A$1,ACERO21[#Headers],0)))</f>
        <v>1</v>
      </c>
      <c r="B10" t="s">
        <v>10</v>
      </c>
      <c r="C10">
        <v>1</v>
      </c>
      <c r="D10">
        <v>1</v>
      </c>
      <c r="E10">
        <v>1</v>
      </c>
      <c r="F10">
        <v>1</v>
      </c>
      <c r="G10">
        <v>1</v>
      </c>
      <c r="H10">
        <v>1</v>
      </c>
      <c r="I10">
        <v>1</v>
      </c>
      <c r="J10">
        <v>1</v>
      </c>
      <c r="K10">
        <v>1</v>
      </c>
      <c r="L10">
        <v>1</v>
      </c>
    </row>
    <row r="11" spans="1:12">
      <c r="A11">
        <f>IF('PRES PLANAS'!G18="SIN GANCHO",0,INDEX(ACERO21[],MATCH(B11,ACERO21[MATERIAL / ACCESORIO],0),MATCH($A$1,ACERO21[#Headers],0)))</f>
        <v>1</v>
      </c>
      <c r="B11" t="s">
        <v>147</v>
      </c>
      <c r="C11">
        <v>1</v>
      </c>
      <c r="D11">
        <v>1</v>
      </c>
      <c r="E11">
        <v>1</v>
      </c>
      <c r="F11">
        <v>1</v>
      </c>
      <c r="G11">
        <v>1</v>
      </c>
      <c r="H11">
        <v>1</v>
      </c>
      <c r="I11">
        <v>1</v>
      </c>
      <c r="J11">
        <v>1</v>
      </c>
      <c r="K11">
        <v>1</v>
      </c>
      <c r="L11">
        <v>1</v>
      </c>
    </row>
    <row r="12" spans="1:12">
      <c r="A12">
        <f>IF('PRES PLANAS'!G19="SIN GANCHO",0,INDEX(ACERO21[],MATCH(B12,ACERO21[MATERIAL / ACCESORIO],0),MATCH($A$1,ACERO21[#Headers],0)))</f>
        <v>1</v>
      </c>
      <c r="B12" t="s">
        <v>240</v>
      </c>
      <c r="C12">
        <v>1</v>
      </c>
      <c r="D12">
        <v>1</v>
      </c>
      <c r="E12">
        <v>1</v>
      </c>
      <c r="F12">
        <v>1</v>
      </c>
      <c r="G12">
        <v>1</v>
      </c>
      <c r="H12">
        <v>1</v>
      </c>
      <c r="I12">
        <v>1</v>
      </c>
      <c r="J12">
        <v>1</v>
      </c>
      <c r="K12">
        <v>1</v>
      </c>
      <c r="L12">
        <v>1</v>
      </c>
    </row>
    <row r="13" spans="1:12">
      <c r="A13">
        <f>IF('PRES PLANAS'!G20="SIN GANCHO",0,INDEX(ACERO21[],MATCH(B13,ACERO21[MATERIAL / ACCESORIO],0),MATCH($A$1,ACERO21[#Headers],0)))</f>
        <v>1</v>
      </c>
      <c r="B13" t="s">
        <v>13</v>
      </c>
      <c r="C13">
        <v>1</v>
      </c>
      <c r="D13">
        <v>1</v>
      </c>
      <c r="E13">
        <v>1</v>
      </c>
      <c r="F13">
        <v>1</v>
      </c>
      <c r="G13">
        <v>1</v>
      </c>
      <c r="H13">
        <v>1</v>
      </c>
      <c r="I13">
        <v>1</v>
      </c>
      <c r="J13">
        <v>1</v>
      </c>
      <c r="K13">
        <v>1</v>
      </c>
      <c r="L13">
        <v>1</v>
      </c>
    </row>
    <row r="14" spans="1:12">
      <c r="A14">
        <f>IF('PRES PLANAS'!G21="SIN GANCHO",0,INDEX(ACERO21[],MATCH(B14,ACERO21[MATERIAL / ACCESORIO],0),MATCH($A$1,ACERO21[#Headers],0)))</f>
        <v>2</v>
      </c>
      <c r="B14" t="s">
        <v>168</v>
      </c>
      <c r="C14">
        <v>2</v>
      </c>
      <c r="D14">
        <v>2</v>
      </c>
      <c r="E14">
        <v>2</v>
      </c>
      <c r="F14">
        <v>2</v>
      </c>
      <c r="G14">
        <v>2</v>
      </c>
      <c r="H14">
        <v>2</v>
      </c>
      <c r="I14">
        <v>2</v>
      </c>
      <c r="J14">
        <v>2</v>
      </c>
      <c r="K14">
        <v>2</v>
      </c>
      <c r="L14">
        <v>2</v>
      </c>
    </row>
    <row r="15" spans="1:12">
      <c r="A15">
        <f>IF('PRES PLANAS'!G22="SIN GANCHO",0,INDEX(ACERO21[],MATCH(B15,ACERO21[MATERIAL / ACCESORIO],0),MATCH($A$1,ACERO21[#Headers],0)))</f>
        <v>8</v>
      </c>
      <c r="B15" t="s">
        <v>16</v>
      </c>
      <c r="C15">
        <v>8</v>
      </c>
      <c r="D15">
        <v>8</v>
      </c>
      <c r="E15">
        <v>8</v>
      </c>
      <c r="F15">
        <v>8</v>
      </c>
      <c r="G15">
        <v>8</v>
      </c>
      <c r="H15">
        <v>8</v>
      </c>
      <c r="I15">
        <v>8</v>
      </c>
      <c r="J15">
        <v>8</v>
      </c>
      <c r="K15">
        <v>8</v>
      </c>
      <c r="L15">
        <v>8</v>
      </c>
    </row>
    <row r="16" spans="1:12">
      <c r="A16">
        <f>IF('PRES PLANAS'!G23="SIN GANCHO",0,INDEX(ACERO21[],MATCH(B16,ACERO21[MATERIAL / ACCESORIO],0),MATCH($A$1,ACERO21[#Headers],0)))</f>
        <v>1</v>
      </c>
      <c r="B16" t="s">
        <v>169</v>
      </c>
      <c r="C16">
        <v>1</v>
      </c>
      <c r="D16">
        <v>1</v>
      </c>
      <c r="E16">
        <v>1</v>
      </c>
      <c r="F16">
        <v>1</v>
      </c>
      <c r="G16">
        <v>1</v>
      </c>
      <c r="H16">
        <v>1</v>
      </c>
      <c r="I16">
        <v>1</v>
      </c>
      <c r="J16">
        <v>1</v>
      </c>
      <c r="K16">
        <v>1</v>
      </c>
      <c r="L16">
        <v>1</v>
      </c>
    </row>
    <row r="17" spans="1:12">
      <c r="A17">
        <f>IF('PRES PLANAS'!G24="SIN GANCHO",0,INDEX(ACERO21[],MATCH(B17,ACERO21[MATERIAL / ACCESORIO],0),MATCH($A$1,ACERO21[#Headers],0)))</f>
        <v>4.4400000000000004</v>
      </c>
      <c r="B17" t="s">
        <v>20</v>
      </c>
      <c r="C17">
        <v>4</v>
      </c>
      <c r="D17">
        <v>4.4400000000000004</v>
      </c>
      <c r="E17">
        <v>4.4400000000000004</v>
      </c>
      <c r="F17">
        <v>4.4400000000000004</v>
      </c>
      <c r="G17">
        <v>4.4400000000000004</v>
      </c>
      <c r="H17">
        <v>4.4400000000000004</v>
      </c>
      <c r="I17">
        <v>4.4400000000000004</v>
      </c>
      <c r="J17">
        <v>4.4400000000000004</v>
      </c>
      <c r="K17">
        <v>4.4400000000000004</v>
      </c>
      <c r="L17">
        <v>4.4400000000000004</v>
      </c>
    </row>
    <row r="18" spans="1:12">
      <c r="A18">
        <f>IF('PRES PLANAS'!G25="SIN GANCHO",0,INDEX(ACERO21[],MATCH(B18,ACERO21[MATERIAL / ACCESORIO],0),MATCH($A$1,ACERO21[#Headers],0)))</f>
        <v>1</v>
      </c>
      <c r="B18" t="s">
        <v>24</v>
      </c>
      <c r="C18">
        <v>1</v>
      </c>
      <c r="D18">
        <v>1</v>
      </c>
      <c r="E18">
        <v>1</v>
      </c>
      <c r="F18">
        <v>1</v>
      </c>
      <c r="G18">
        <v>1</v>
      </c>
      <c r="H18">
        <v>1</v>
      </c>
      <c r="I18">
        <v>1</v>
      </c>
      <c r="J18">
        <v>1</v>
      </c>
      <c r="K18">
        <v>1</v>
      </c>
      <c r="L18">
        <v>1</v>
      </c>
    </row>
    <row r="19" spans="1:12">
      <c r="A19">
        <f>IF('PRES PLANAS'!G26="SIN GANCHO",0,INDEX(ACERO21[],MATCH(B19,ACERO21[MATERIAL / ACCESORIO],0),MATCH($A$1,ACERO21[#Headers],0)))</f>
        <v>1</v>
      </c>
      <c r="B19" t="s">
        <v>170</v>
      </c>
      <c r="C19">
        <v>1</v>
      </c>
      <c r="D19">
        <v>1</v>
      </c>
      <c r="E19">
        <v>1</v>
      </c>
      <c r="F19">
        <v>1</v>
      </c>
      <c r="G19">
        <v>1</v>
      </c>
      <c r="H19">
        <v>1</v>
      </c>
      <c r="I19">
        <v>1</v>
      </c>
      <c r="J19">
        <v>1</v>
      </c>
      <c r="K19">
        <v>1</v>
      </c>
      <c r="L19">
        <v>1</v>
      </c>
    </row>
    <row r="20" spans="1:12">
      <c r="A20">
        <f>IF('PRES PLANAS'!G27="SIN GANCHO",0,INDEX(ACERO21[],MATCH(B20,ACERO21[MATERIAL / ACCESORIO],0),MATCH($A$1,ACERO21[#Headers],0)))</f>
        <v>1</v>
      </c>
      <c r="B20" t="s">
        <v>171</v>
      </c>
      <c r="C20">
        <v>1</v>
      </c>
      <c r="D20">
        <v>1</v>
      </c>
      <c r="E20">
        <v>1</v>
      </c>
      <c r="F20">
        <v>1</v>
      </c>
      <c r="G20">
        <v>1</v>
      </c>
      <c r="H20">
        <v>1</v>
      </c>
      <c r="I20">
        <v>1</v>
      </c>
      <c r="J20">
        <v>1</v>
      </c>
      <c r="K20">
        <v>1</v>
      </c>
      <c r="L20">
        <v>1</v>
      </c>
    </row>
    <row r="21" spans="1:12">
      <c r="A21">
        <f>IF('PRES PLANAS'!G28="SIN GANCHO",0,INDEX(ACERO21[],MATCH(B21,ACERO21[MATERIAL / ACCESORIO],0),MATCH($A$1,ACERO21[#Headers],0)))</f>
        <v>1</v>
      </c>
      <c r="B21" t="s">
        <v>27</v>
      </c>
      <c r="C21">
        <v>1</v>
      </c>
      <c r="D21">
        <v>1</v>
      </c>
      <c r="E21">
        <v>1</v>
      </c>
      <c r="F21">
        <v>1</v>
      </c>
      <c r="G21">
        <v>1</v>
      </c>
      <c r="H21">
        <v>1</v>
      </c>
      <c r="I21">
        <v>1</v>
      </c>
      <c r="J21">
        <v>1</v>
      </c>
      <c r="K21">
        <v>1</v>
      </c>
      <c r="L21">
        <v>1</v>
      </c>
    </row>
    <row r="22" spans="1:12">
      <c r="A22">
        <f>IF('PRES PLANAS'!G29="SIN GANCHO",0,INDEX(ACERO21[],MATCH(B22,ACERO21[MATERIAL / ACCESORIO],0),MATCH($A$1,ACERO21[#Headers],0)))</f>
        <v>1</v>
      </c>
      <c r="B22" t="s">
        <v>146</v>
      </c>
      <c r="C22">
        <v>1</v>
      </c>
      <c r="D22">
        <v>1</v>
      </c>
      <c r="E22">
        <v>1</v>
      </c>
      <c r="F22">
        <v>1</v>
      </c>
      <c r="G22">
        <v>1</v>
      </c>
      <c r="H22">
        <v>1</v>
      </c>
      <c r="I22">
        <v>1</v>
      </c>
      <c r="J22">
        <v>1</v>
      </c>
      <c r="K22">
        <v>1</v>
      </c>
      <c r="L22">
        <v>1</v>
      </c>
    </row>
    <row r="23" spans="1:12">
      <c r="A23">
        <f>IF('PRES PLANAS'!G30="SIN GANCHO",0,INDEX(ACERO21[],MATCH(B23,ACERO21[MATERIAL / ACCESORIO],0),MATCH($A$1,ACERO21[#Headers],0)))</f>
        <v>1</v>
      </c>
      <c r="B23" t="s">
        <v>149</v>
      </c>
      <c r="C23">
        <v>1</v>
      </c>
      <c r="D23">
        <v>1</v>
      </c>
      <c r="E23">
        <v>1</v>
      </c>
      <c r="F23">
        <v>1</v>
      </c>
      <c r="G23">
        <v>1</v>
      </c>
      <c r="H23">
        <v>1</v>
      </c>
      <c r="I23">
        <v>1</v>
      </c>
      <c r="J23">
        <v>1</v>
      </c>
      <c r="K23">
        <v>1</v>
      </c>
      <c r="L23">
        <v>1</v>
      </c>
    </row>
    <row r="24" spans="1:12">
      <c r="A24">
        <f>IF('PRES PLANAS'!G31="SIN GANCHO",0,INDEX(ACERO21[],MATCH(B24,ACERO21[MATERIAL / ACCESORIO],0),MATCH($A$1,ACERO21[#Headers],0)))</f>
        <v>6</v>
      </c>
      <c r="B24" t="s">
        <v>172</v>
      </c>
      <c r="C24">
        <v>6</v>
      </c>
      <c r="D24">
        <v>6</v>
      </c>
      <c r="E24">
        <v>6</v>
      </c>
      <c r="F24">
        <v>6</v>
      </c>
      <c r="G24">
        <v>6</v>
      </c>
      <c r="H24">
        <v>6</v>
      </c>
      <c r="I24">
        <v>6</v>
      </c>
      <c r="J24">
        <v>6</v>
      </c>
      <c r="K24">
        <v>6</v>
      </c>
      <c r="L24">
        <v>6</v>
      </c>
    </row>
    <row r="25" spans="1:12">
      <c r="A25">
        <f>IF('PRES PLANAS'!G32="SIN GANCHO",0,INDEX(ACERO21[],MATCH(B25,ACERO21[MATERIAL / ACCESORIO],0),MATCH($A$1,ACERO21[#Headers],0)))</f>
        <v>52</v>
      </c>
      <c r="B25" t="s">
        <v>173</v>
      </c>
      <c r="C25">
        <v>40</v>
      </c>
      <c r="D25">
        <v>52</v>
      </c>
      <c r="E25">
        <v>52</v>
      </c>
      <c r="F25">
        <v>52</v>
      </c>
      <c r="G25">
        <v>52</v>
      </c>
      <c r="H25">
        <v>52</v>
      </c>
      <c r="I25">
        <v>52</v>
      </c>
      <c r="J25">
        <v>52</v>
      </c>
      <c r="K25">
        <v>52</v>
      </c>
      <c r="L25">
        <v>52</v>
      </c>
    </row>
    <row r="26" spans="1:12">
      <c r="A26">
        <f>IF('PRES PLANAS'!G33="SIN GANCHO",0,INDEX(ACERO21[],MATCH(B26,ACERO21[MATERIAL / ACCESORIO],0),MATCH($A$1,ACERO21[#Headers],0)))</f>
        <v>1</v>
      </c>
      <c r="B26" t="s">
        <v>45</v>
      </c>
      <c r="C26">
        <v>1</v>
      </c>
      <c r="D26">
        <v>1</v>
      </c>
      <c r="E26">
        <v>1</v>
      </c>
      <c r="F26">
        <v>1</v>
      </c>
      <c r="G26">
        <v>1</v>
      </c>
      <c r="H26">
        <v>1</v>
      </c>
      <c r="I26">
        <v>1</v>
      </c>
      <c r="J26">
        <v>1</v>
      </c>
      <c r="K26">
        <v>1</v>
      </c>
      <c r="L26">
        <v>1</v>
      </c>
    </row>
    <row r="27" spans="1:12">
      <c r="A27">
        <f>IF('PRES PLANAS'!G34="SIN GANCHO",0,INDEX(ACERO21[],MATCH(B27,ACERO21[MATERIAL / ACCESORIO],0),MATCH($A$1,ACERO21[#Headers],0)))</f>
        <v>1</v>
      </c>
      <c r="B27" t="s">
        <v>1350</v>
      </c>
      <c r="C27">
        <v>1</v>
      </c>
      <c r="D27">
        <v>1</v>
      </c>
      <c r="E27">
        <v>1</v>
      </c>
      <c r="F27">
        <v>1</v>
      </c>
      <c r="G27">
        <v>1</v>
      </c>
      <c r="H27">
        <v>1</v>
      </c>
      <c r="I27">
        <v>1</v>
      </c>
      <c r="J27">
        <v>1</v>
      </c>
      <c r="K27">
        <v>1</v>
      </c>
      <c r="L27">
        <v>1</v>
      </c>
    </row>
    <row r="28" spans="1:12">
      <c r="A28">
        <f>IF('PRES PLANAS'!G35="SIN GANCHO",0,INDEX(ACERO21[],MATCH(B28,ACERO21[MATERIAL / ACCESORIO],0),MATCH($A$1,ACERO21[#Headers],0)))</f>
        <v>2</v>
      </c>
      <c r="B28" t="s">
        <v>1348</v>
      </c>
      <c r="C28">
        <v>2</v>
      </c>
      <c r="D28">
        <v>2</v>
      </c>
      <c r="E28">
        <v>2</v>
      </c>
      <c r="F28">
        <v>2</v>
      </c>
      <c r="G28">
        <v>2</v>
      </c>
      <c r="H28">
        <v>2</v>
      </c>
      <c r="I28">
        <v>2</v>
      </c>
      <c r="J28">
        <v>2</v>
      </c>
      <c r="K28">
        <v>2</v>
      </c>
      <c r="L28">
        <v>2</v>
      </c>
    </row>
    <row r="29" spans="1:12">
      <c r="A29">
        <f>IF('PRES PLANAS'!G36="SIN GANCHO",0,INDEX(ACERO21[],MATCH(B29,ACERO21[MATERIAL / ACCESORIO],0),MATCH($A$1,ACERO21[#Headers],0)))</f>
        <v>4</v>
      </c>
      <c r="B29" t="s">
        <v>1311</v>
      </c>
      <c r="C29">
        <v>4</v>
      </c>
      <c r="D29">
        <v>4</v>
      </c>
      <c r="E29">
        <v>4</v>
      </c>
      <c r="F29">
        <v>4</v>
      </c>
      <c r="G29">
        <v>4</v>
      </c>
      <c r="H29">
        <v>4</v>
      </c>
      <c r="I29">
        <v>4</v>
      </c>
      <c r="J29">
        <v>4</v>
      </c>
      <c r="K29">
        <v>4</v>
      </c>
      <c r="L29">
        <v>4</v>
      </c>
    </row>
    <row r="30" spans="1:12">
      <c r="A30">
        <f>IF('PRES PLANAS'!B32="SIN GANCHO",0,INDEX(ACERO21[],MATCH(B30,ACERO21[MATERIAL / ACCESORIO],0),MATCH($A$1,ACERO21[#Headers],0)))</f>
        <v>4</v>
      </c>
      <c r="B30" t="s">
        <v>1349</v>
      </c>
      <c r="C30">
        <v>4</v>
      </c>
      <c r="D30">
        <v>4</v>
      </c>
      <c r="E30">
        <v>4</v>
      </c>
      <c r="F30">
        <v>4</v>
      </c>
      <c r="G30">
        <v>4</v>
      </c>
      <c r="H30">
        <v>4</v>
      </c>
      <c r="I30">
        <v>4</v>
      </c>
      <c r="J30">
        <v>4</v>
      </c>
      <c r="K30">
        <v>4</v>
      </c>
      <c r="L30">
        <v>4</v>
      </c>
    </row>
    <row r="31" spans="1:12">
      <c r="A31">
        <f>IF('PRES PLANAS'!G37="SIN GANCHO",0,INDEX(ACERO21[],MATCH(B31,ACERO21[MATERIAL / ACCESORIO],0),MATCH($A$1,ACERO21[#Headers],0)))</f>
        <v>2</v>
      </c>
      <c r="B31" t="s">
        <v>174</v>
      </c>
      <c r="C31">
        <v>2</v>
      </c>
      <c r="D31">
        <v>2</v>
      </c>
      <c r="E31">
        <v>2</v>
      </c>
      <c r="F31">
        <v>2</v>
      </c>
      <c r="G31">
        <v>2</v>
      </c>
      <c r="H31">
        <v>2</v>
      </c>
      <c r="I31">
        <v>2</v>
      </c>
      <c r="J31">
        <v>2</v>
      </c>
      <c r="K31">
        <v>2</v>
      </c>
      <c r="L31">
        <v>2</v>
      </c>
    </row>
    <row r="32" spans="1:12">
      <c r="A32">
        <f>IF('PRES PLANAS'!B33="SIN GANCHO",0,INDEX(ACERO21[],MATCH(B32,ACERO21[MATERIAL / ACCESORIO],0),MATCH($A$1,ACERO21[#Headers],0)))</f>
        <v>1</v>
      </c>
      <c r="B32" t="s">
        <v>175</v>
      </c>
      <c r="C32">
        <v>1</v>
      </c>
      <c r="D32">
        <v>1</v>
      </c>
      <c r="E32">
        <v>1</v>
      </c>
      <c r="F32">
        <v>1</v>
      </c>
      <c r="G32">
        <v>1</v>
      </c>
      <c r="H32">
        <v>1</v>
      </c>
      <c r="I32">
        <v>1</v>
      </c>
      <c r="J32">
        <v>1</v>
      </c>
      <c r="K32">
        <v>1</v>
      </c>
      <c r="L32">
        <v>1</v>
      </c>
    </row>
    <row r="35" spans="1:12">
      <c r="A35" t="s">
        <v>50</v>
      </c>
      <c r="B35" t="s">
        <v>77</v>
      </c>
      <c r="C35" t="s">
        <v>335</v>
      </c>
      <c r="D35" t="s">
        <v>100</v>
      </c>
      <c r="E35" t="s">
        <v>102</v>
      </c>
      <c r="F35" t="s">
        <v>101</v>
      </c>
      <c r="G35" t="s">
        <v>333</v>
      </c>
      <c r="H35" t="s">
        <v>330</v>
      </c>
      <c r="I35" t="s">
        <v>334</v>
      </c>
      <c r="J35" t="s">
        <v>331</v>
      </c>
      <c r="K35" t="s">
        <v>555</v>
      </c>
      <c r="L35" t="s">
        <v>1019</v>
      </c>
    </row>
    <row r="36" spans="1:12">
      <c r="A36">
        <f>INDEX(PIRAMIDE21[],MATCH(PIRAMIDE21[[#This Row],[MATERIAL / ACCESORIO]],PIRAMIDE21[MATERIAL / ACCESORIO],0),MATCH($A$1,PIRAMIDE21[#Headers],0))</f>
        <v>1.2</v>
      </c>
      <c r="B36" t="s">
        <v>28</v>
      </c>
      <c r="C36">
        <v>1.2</v>
      </c>
      <c r="D36">
        <v>1.2</v>
      </c>
      <c r="E36">
        <v>1.2</v>
      </c>
      <c r="F36">
        <v>1.2</v>
      </c>
      <c r="G36">
        <v>1.2</v>
      </c>
      <c r="H36">
        <v>1.2</v>
      </c>
      <c r="I36">
        <v>1.2</v>
      </c>
      <c r="J36">
        <v>1.2</v>
      </c>
      <c r="K36">
        <v>1.2</v>
      </c>
      <c r="L36">
        <v>1.2</v>
      </c>
    </row>
    <row r="37" spans="1:12">
      <c r="A37">
        <f>INDEX(PIRAMIDE21[],MATCH(PIRAMIDE21[[#This Row],[MATERIAL / ACCESORIO]],PIRAMIDE21[MATERIAL / ACCESORIO],0),MATCH($A$1,PIRAMIDE21[#Headers],0))</f>
        <v>1</v>
      </c>
      <c r="B37" t="s">
        <v>178</v>
      </c>
      <c r="C37">
        <v>0.875</v>
      </c>
      <c r="D37">
        <v>1</v>
      </c>
      <c r="E37">
        <v>1</v>
      </c>
      <c r="F37">
        <v>1</v>
      </c>
      <c r="G37">
        <v>1</v>
      </c>
      <c r="H37">
        <v>1</v>
      </c>
      <c r="I37">
        <v>1</v>
      </c>
      <c r="J37">
        <v>1</v>
      </c>
      <c r="K37">
        <v>1</v>
      </c>
      <c r="L37">
        <v>1</v>
      </c>
    </row>
    <row r="38" spans="1:12">
      <c r="A38">
        <f>INDEX(PIRAMIDE21[],MATCH(PIRAMIDE21[[#This Row],[MATERIAL / ACCESORIO]],PIRAMIDE21[MATERIAL / ACCESORIO],0),MATCH($A$1,PIRAMIDE21[#Headers],0))</f>
        <v>4</v>
      </c>
      <c r="B38" t="s">
        <v>442</v>
      </c>
      <c r="C38">
        <v>0.875</v>
      </c>
      <c r="D38">
        <v>4</v>
      </c>
      <c r="E38">
        <v>4</v>
      </c>
      <c r="F38">
        <v>4</v>
      </c>
      <c r="G38">
        <v>4</v>
      </c>
      <c r="H38">
        <v>4</v>
      </c>
      <c r="I38">
        <v>4</v>
      </c>
      <c r="J38">
        <v>4</v>
      </c>
      <c r="K38">
        <v>4</v>
      </c>
      <c r="L38">
        <v>4</v>
      </c>
    </row>
    <row r="39" spans="1:12">
      <c r="A39">
        <f>INDEX(PIRAMIDE21[],MATCH(PIRAMIDE21[[#This Row],[MATERIAL / ACCESORIO]],PIRAMIDE21[MATERIAL / ACCESORIO],0),MATCH($A$1,PIRAMIDE21[#Headers],0))</f>
        <v>2</v>
      </c>
      <c r="B39" t="s">
        <v>1365</v>
      </c>
      <c r="C39">
        <v>3.5</v>
      </c>
      <c r="D39">
        <v>2</v>
      </c>
      <c r="E39">
        <v>2</v>
      </c>
      <c r="F39">
        <v>2</v>
      </c>
      <c r="G39">
        <v>2</v>
      </c>
      <c r="H39">
        <v>2</v>
      </c>
      <c r="I39">
        <v>2</v>
      </c>
      <c r="J39">
        <v>2</v>
      </c>
      <c r="K39">
        <v>2</v>
      </c>
      <c r="L39">
        <v>2</v>
      </c>
    </row>
    <row r="40" spans="1:12">
      <c r="A40">
        <f>INDEX(PIRAMIDE21[],MATCH(PIRAMIDE21[[#This Row],[MATERIAL / ACCESORIO]],PIRAMIDE21[MATERIAL / ACCESORIO],0),MATCH($A$1,PIRAMIDE21[#Headers],0))</f>
        <v>4.2</v>
      </c>
      <c r="B40" t="s">
        <v>443</v>
      </c>
      <c r="C40">
        <v>1.75</v>
      </c>
      <c r="D40">
        <v>4.2</v>
      </c>
      <c r="E40">
        <v>4.2</v>
      </c>
      <c r="F40">
        <v>4.2</v>
      </c>
      <c r="G40">
        <v>4.2</v>
      </c>
      <c r="H40">
        <v>4.2</v>
      </c>
      <c r="I40">
        <v>4.2</v>
      </c>
      <c r="J40">
        <v>4.2</v>
      </c>
      <c r="K40">
        <v>4.2</v>
      </c>
      <c r="L40">
        <v>4.2</v>
      </c>
    </row>
    <row r="41" spans="1:12">
      <c r="A41">
        <f>INDEX(PIRAMIDE21[],MATCH(PIRAMIDE21[[#This Row],[MATERIAL / ACCESORIO]],PIRAMIDE21[MATERIAL / ACCESORIO],0),MATCH($A$1,PIRAMIDE21[#Headers],0))</f>
        <v>8</v>
      </c>
      <c r="B41" t="s">
        <v>444</v>
      </c>
      <c r="C41">
        <v>1.3125</v>
      </c>
      <c r="D41">
        <v>8</v>
      </c>
      <c r="E41">
        <v>8</v>
      </c>
      <c r="F41">
        <v>8</v>
      </c>
      <c r="G41">
        <v>8</v>
      </c>
      <c r="H41">
        <v>8</v>
      </c>
      <c r="I41">
        <v>8</v>
      </c>
      <c r="J41">
        <v>8</v>
      </c>
      <c r="K41">
        <v>8</v>
      </c>
      <c r="L41">
        <v>8</v>
      </c>
    </row>
    <row r="42" spans="1:12">
      <c r="A42">
        <f>INDEX(PIRAMIDE21[],MATCH(PIRAMIDE21[[#This Row],[MATERIAL / ACCESORIO]],PIRAMIDE21[MATERIAL / ACCESORIO],0),MATCH($A$1,PIRAMIDE21[#Headers],0))</f>
        <v>3</v>
      </c>
      <c r="B42" t="s">
        <v>445</v>
      </c>
      <c r="C42">
        <v>3</v>
      </c>
      <c r="D42">
        <v>3</v>
      </c>
      <c r="E42">
        <v>3</v>
      </c>
      <c r="F42">
        <v>3</v>
      </c>
      <c r="G42">
        <v>3</v>
      </c>
      <c r="H42">
        <v>3</v>
      </c>
      <c r="I42">
        <v>3</v>
      </c>
      <c r="J42">
        <v>3</v>
      </c>
      <c r="K42">
        <v>3</v>
      </c>
      <c r="L42">
        <v>3</v>
      </c>
    </row>
    <row r="43" spans="1:12">
      <c r="A43">
        <f>INDEX(PIRAMIDE21[],MATCH(PIRAMIDE21[[#This Row],[MATERIAL / ACCESORIO]],PIRAMIDE21[MATERIAL / ACCESORIO],0),MATCH($A$1,PIRAMIDE21[#Headers],0))</f>
        <v>1.2</v>
      </c>
      <c r="B43" t="s">
        <v>1300</v>
      </c>
      <c r="C43">
        <v>1.2</v>
      </c>
      <c r="D43">
        <v>1.2</v>
      </c>
      <c r="E43">
        <v>1.2</v>
      </c>
      <c r="F43">
        <v>1.2</v>
      </c>
      <c r="G43">
        <v>1.2</v>
      </c>
      <c r="H43">
        <v>1.2</v>
      </c>
      <c r="I43">
        <v>1.2</v>
      </c>
      <c r="J43">
        <v>1.2</v>
      </c>
      <c r="K43">
        <v>1.2</v>
      </c>
      <c r="L43">
        <v>1.2</v>
      </c>
    </row>
    <row r="44" spans="1:12">
      <c r="A44">
        <f>INDEX(PIRAMIDE21[],MATCH(PIRAMIDE21[[#This Row],[MATERIAL / ACCESORIO]],PIRAMIDE21[MATERIAL / ACCESORIO],0),MATCH($A$1,PIRAMIDE21[#Headers],0))</f>
        <v>1.5</v>
      </c>
      <c r="B44" t="s">
        <v>1367</v>
      </c>
      <c r="C44">
        <v>1.5</v>
      </c>
      <c r="D44">
        <v>1.5</v>
      </c>
      <c r="E44">
        <v>1.5</v>
      </c>
      <c r="F44">
        <v>1.5</v>
      </c>
      <c r="G44">
        <v>1.5</v>
      </c>
      <c r="H44">
        <v>1.5</v>
      </c>
      <c r="I44">
        <v>1.5</v>
      </c>
      <c r="J44">
        <v>1.5</v>
      </c>
      <c r="K44">
        <v>1.5</v>
      </c>
      <c r="L44">
        <v>1.5</v>
      </c>
    </row>
    <row r="45" spans="1:12">
      <c r="A45">
        <f>INDEX(PIRAMIDE21[],MATCH(PIRAMIDE21[[#This Row],[MATERIAL / ACCESORIO]],PIRAMIDE21[MATERIAL / ACCESORIO],0),MATCH($A$1,PIRAMIDE21[#Headers],0))</f>
        <v>1.2</v>
      </c>
      <c r="B45" t="s">
        <v>446</v>
      </c>
      <c r="C45">
        <v>1.2</v>
      </c>
      <c r="D45">
        <v>1.2</v>
      </c>
      <c r="E45">
        <v>1.2</v>
      </c>
      <c r="F45">
        <v>1.2</v>
      </c>
      <c r="G45">
        <v>1.2</v>
      </c>
      <c r="H45">
        <v>1.2</v>
      </c>
      <c r="I45">
        <v>1.2</v>
      </c>
      <c r="J45">
        <v>1.2</v>
      </c>
      <c r="K45">
        <v>1.2</v>
      </c>
      <c r="L45">
        <v>1.2</v>
      </c>
    </row>
    <row r="46" spans="1:12">
      <c r="A46">
        <f>INDEX(PIRAMIDE21[],MATCH(PIRAMIDE21[[#This Row],[MATERIAL / ACCESORIO]],PIRAMIDE21[MATERIAL / ACCESORIO],0),MATCH($A$1,PIRAMIDE21[#Headers],0))</f>
        <v>1.2</v>
      </c>
      <c r="B46" t="s">
        <v>1364</v>
      </c>
      <c r="C46">
        <v>1.2</v>
      </c>
      <c r="D46">
        <v>1.2</v>
      </c>
      <c r="E46">
        <v>1.2</v>
      </c>
      <c r="F46">
        <v>1.2</v>
      </c>
      <c r="G46">
        <v>1.2</v>
      </c>
      <c r="H46">
        <v>1.2</v>
      </c>
      <c r="I46">
        <v>1.2</v>
      </c>
      <c r="J46">
        <v>1.2</v>
      </c>
      <c r="K46">
        <v>1.2</v>
      </c>
      <c r="L46">
        <v>1.2</v>
      </c>
    </row>
    <row r="47" spans="1:12">
      <c r="A47">
        <f>INDEX(PIRAMIDE21[],MATCH(PIRAMIDE21[[#This Row],[MATERIAL / ACCESORIO]],PIRAMIDE21[MATERIAL / ACCESORIO],0),MATCH($A$1,PIRAMIDE21[#Headers],0))</f>
        <v>1.2</v>
      </c>
      <c r="B47" t="s">
        <v>447</v>
      </c>
      <c r="C47">
        <v>1.2</v>
      </c>
      <c r="D47">
        <v>1.2</v>
      </c>
      <c r="E47">
        <v>1.2</v>
      </c>
      <c r="F47">
        <v>1.2</v>
      </c>
      <c r="G47">
        <v>1.2</v>
      </c>
      <c r="H47">
        <v>1.2</v>
      </c>
      <c r="I47">
        <v>1.2</v>
      </c>
      <c r="J47">
        <v>1.2</v>
      </c>
      <c r="K47">
        <v>1.2</v>
      </c>
      <c r="L47">
        <v>1.2</v>
      </c>
    </row>
    <row r="48" spans="1:12">
      <c r="A48">
        <f>INDEX(PIRAMIDE21[],MATCH(PIRAMIDE21[[#This Row],[MATERIAL / ACCESORIO]],PIRAMIDE21[MATERIAL / ACCESORIO],0),MATCH($A$1,PIRAMIDE21[#Headers],0))</f>
        <v>2.2000000000000002</v>
      </c>
      <c r="B48" t="s">
        <v>1376</v>
      </c>
      <c r="C48">
        <v>1</v>
      </c>
      <c r="D48">
        <v>2.2000000000000002</v>
      </c>
      <c r="E48">
        <v>2.2000000000000002</v>
      </c>
      <c r="F48">
        <v>2.2000000000000002</v>
      </c>
      <c r="G48">
        <v>2.2000000000000002</v>
      </c>
      <c r="H48">
        <v>2.2000000000000002</v>
      </c>
      <c r="I48">
        <v>2.2000000000000002</v>
      </c>
      <c r="J48">
        <v>2.2000000000000002</v>
      </c>
      <c r="K48">
        <v>2.2000000000000002</v>
      </c>
      <c r="L48">
        <v>2.2000000000000002</v>
      </c>
    </row>
    <row r="49" spans="1:12">
      <c r="A49">
        <f>INDEX(PIRAMIDE21[],MATCH(PIRAMIDE21[[#This Row],[MATERIAL / ACCESORIO]],PIRAMIDE21[MATERIAL / ACCESORIO],0),MATCH($A$1,PIRAMIDE21[#Headers],0))</f>
        <v>1.2</v>
      </c>
      <c r="B49" t="s">
        <v>1299</v>
      </c>
      <c r="C49">
        <v>1.2</v>
      </c>
      <c r="D49">
        <v>1.2</v>
      </c>
      <c r="E49">
        <v>1.2</v>
      </c>
      <c r="F49">
        <v>1.2</v>
      </c>
      <c r="G49">
        <v>1.2</v>
      </c>
      <c r="H49">
        <v>1.2</v>
      </c>
      <c r="I49">
        <v>1.2</v>
      </c>
      <c r="J49">
        <v>1.2</v>
      </c>
      <c r="K49">
        <v>1.2</v>
      </c>
      <c r="L49">
        <v>1.2</v>
      </c>
    </row>
    <row r="50" spans="1:12">
      <c r="A50">
        <f>INDEX(PIRAMIDE21[],MATCH(PIRAMIDE21[[#This Row],[MATERIAL / ACCESORIO]],PIRAMIDE21[MATERIAL / ACCESORIO],0),MATCH($A$1,PIRAMIDE21[#Headers],0))</f>
        <v>2.1</v>
      </c>
      <c r="B50" t="s">
        <v>1366</v>
      </c>
      <c r="C50">
        <v>2.1</v>
      </c>
      <c r="D50">
        <v>2.1</v>
      </c>
      <c r="E50">
        <v>2.1</v>
      </c>
      <c r="F50">
        <v>2.1</v>
      </c>
      <c r="G50">
        <v>2.1</v>
      </c>
      <c r="H50">
        <v>2.1</v>
      </c>
      <c r="I50">
        <v>2.1</v>
      </c>
      <c r="J50">
        <v>2.1</v>
      </c>
      <c r="K50">
        <v>2.1</v>
      </c>
      <c r="L50">
        <v>2.1</v>
      </c>
    </row>
    <row r="51" spans="1:12">
      <c r="A51">
        <f>INDEX(PIRAMIDE21[],MATCH(PIRAMIDE21[[#This Row],[MATERIAL / ACCESORIO]],PIRAMIDE21[MATERIAL / ACCESORIO],0),MATCH($A$1,PIRAMIDE21[#Headers],0))</f>
        <v>1.2</v>
      </c>
      <c r="B51" t="s">
        <v>448</v>
      </c>
      <c r="C51">
        <v>1.2</v>
      </c>
      <c r="D51">
        <v>1.2</v>
      </c>
      <c r="E51">
        <v>1.2</v>
      </c>
      <c r="F51">
        <v>1.2</v>
      </c>
      <c r="G51">
        <v>1.2</v>
      </c>
      <c r="H51">
        <v>1.2</v>
      </c>
      <c r="I51">
        <v>1.2</v>
      </c>
      <c r="J51">
        <v>1.2</v>
      </c>
      <c r="K51">
        <v>1.2</v>
      </c>
      <c r="L51">
        <v>1.2</v>
      </c>
    </row>
    <row r="54" spans="1:12">
      <c r="A54" t="s">
        <v>50</v>
      </c>
      <c r="B54" t="s">
        <v>77</v>
      </c>
      <c r="C54" t="s">
        <v>335</v>
      </c>
      <c r="D54" t="s">
        <v>100</v>
      </c>
      <c r="E54" t="s">
        <v>102</v>
      </c>
      <c r="F54" t="s">
        <v>101</v>
      </c>
      <c r="G54" t="s">
        <v>333</v>
      </c>
      <c r="H54" t="s">
        <v>330</v>
      </c>
      <c r="I54" t="s">
        <v>334</v>
      </c>
      <c r="J54" t="s">
        <v>331</v>
      </c>
      <c r="K54" t="s">
        <v>555</v>
      </c>
      <c r="L54" t="s">
        <v>1019</v>
      </c>
    </row>
    <row r="55" spans="1:12">
      <c r="A55">
        <f t="shared" ref="A55:A64" si="0">INDEX($A$54:$L$64,MATCH(B55,$B$54:$B$64,0),MATCH($A$1,$A$54:$L$54,0))</f>
        <v>38</v>
      </c>
      <c r="B55" t="s">
        <v>189</v>
      </c>
      <c r="C55">
        <v>34</v>
      </c>
      <c r="D55">
        <v>38</v>
      </c>
      <c r="E55">
        <v>38</v>
      </c>
      <c r="F55">
        <v>40</v>
      </c>
      <c r="G55">
        <v>40</v>
      </c>
      <c r="H55">
        <v>43</v>
      </c>
      <c r="I55">
        <v>46</v>
      </c>
      <c r="J55">
        <v>46</v>
      </c>
      <c r="K55">
        <v>46</v>
      </c>
      <c r="L55">
        <v>43</v>
      </c>
    </row>
    <row r="56" spans="1:12">
      <c r="A56">
        <f t="shared" si="0"/>
        <v>1</v>
      </c>
      <c r="B56" t="s">
        <v>190</v>
      </c>
      <c r="C56">
        <v>1</v>
      </c>
      <c r="D56">
        <v>1</v>
      </c>
      <c r="E56">
        <v>1</v>
      </c>
      <c r="F56">
        <v>1</v>
      </c>
      <c r="G56">
        <v>1</v>
      </c>
      <c r="H56">
        <v>1</v>
      </c>
      <c r="I56">
        <v>1</v>
      </c>
      <c r="J56">
        <v>1</v>
      </c>
      <c r="K56">
        <v>1</v>
      </c>
      <c r="L56">
        <v>1</v>
      </c>
    </row>
    <row r="57" spans="1:12">
      <c r="A57">
        <f t="shared" si="0"/>
        <v>0.5</v>
      </c>
      <c r="B57" t="s">
        <v>46</v>
      </c>
      <c r="C57">
        <v>0.5</v>
      </c>
      <c r="D57">
        <v>0.5</v>
      </c>
      <c r="E57">
        <v>0.5</v>
      </c>
      <c r="F57">
        <v>0.5</v>
      </c>
      <c r="G57">
        <v>0.5</v>
      </c>
      <c r="H57">
        <v>0.5</v>
      </c>
      <c r="I57">
        <v>0.5</v>
      </c>
      <c r="J57">
        <v>0.5</v>
      </c>
      <c r="K57">
        <v>0.5</v>
      </c>
      <c r="L57">
        <v>0.5</v>
      </c>
    </row>
    <row r="58" spans="1:12">
      <c r="A58">
        <f t="shared" si="0"/>
        <v>1</v>
      </c>
      <c r="B58" t="s">
        <v>449</v>
      </c>
      <c r="C58">
        <v>1</v>
      </c>
      <c r="D58">
        <v>1</v>
      </c>
      <c r="E58">
        <v>1</v>
      </c>
      <c r="F58">
        <v>1</v>
      </c>
      <c r="G58">
        <v>1</v>
      </c>
      <c r="H58">
        <v>1</v>
      </c>
      <c r="I58">
        <v>1</v>
      </c>
      <c r="J58">
        <v>1</v>
      </c>
      <c r="K58">
        <v>1</v>
      </c>
      <c r="L58">
        <v>1</v>
      </c>
    </row>
    <row r="59" spans="1:12">
      <c r="A59">
        <f t="shared" si="0"/>
        <v>2</v>
      </c>
      <c r="B59" t="s">
        <v>48</v>
      </c>
      <c r="C59">
        <v>2</v>
      </c>
      <c r="D59">
        <v>2</v>
      </c>
      <c r="E59">
        <v>2</v>
      </c>
      <c r="F59">
        <v>2</v>
      </c>
      <c r="G59">
        <v>2</v>
      </c>
      <c r="H59">
        <v>2</v>
      </c>
      <c r="I59">
        <v>2</v>
      </c>
      <c r="J59">
        <v>2</v>
      </c>
      <c r="K59">
        <v>2</v>
      </c>
      <c r="L59">
        <v>2</v>
      </c>
    </row>
    <row r="60" spans="1:12">
      <c r="A60">
        <f t="shared" si="0"/>
        <v>2</v>
      </c>
      <c r="B60" t="str" cm="1">
        <f t="array" ref="B60">INDEX(SUSPENSIÓN[MATERIAL / ACCESORIO],TARIFARIO!A80)</f>
        <v>SUSPENSIÓN ALTA HENDRICKSON</v>
      </c>
      <c r="C60">
        <v>2</v>
      </c>
      <c r="D60">
        <v>2</v>
      </c>
      <c r="E60">
        <v>3</v>
      </c>
      <c r="F60">
        <v>2</v>
      </c>
      <c r="G60">
        <v>3</v>
      </c>
      <c r="H60">
        <v>2</v>
      </c>
      <c r="I60">
        <v>2</v>
      </c>
      <c r="J60">
        <v>3</v>
      </c>
      <c r="K60">
        <v>3</v>
      </c>
      <c r="L60">
        <v>3</v>
      </c>
    </row>
    <row r="61" spans="1:12">
      <c r="A61">
        <f t="shared" si="0"/>
        <v>2</v>
      </c>
      <c r="B61" t="str" cm="1">
        <f t="array" ref="B61">INDEX(Tabla39[MATERIAL / ACCESORIO],TARIFARIO!A89)</f>
        <v>EJES FLEET MASTER</v>
      </c>
      <c r="C61">
        <v>2</v>
      </c>
      <c r="D61">
        <v>2</v>
      </c>
      <c r="E61">
        <v>3</v>
      </c>
      <c r="F61">
        <v>2</v>
      </c>
      <c r="G61">
        <v>3</v>
      </c>
      <c r="H61">
        <v>2</v>
      </c>
      <c r="I61">
        <v>2</v>
      </c>
      <c r="J61">
        <v>3</v>
      </c>
      <c r="K61">
        <v>3</v>
      </c>
      <c r="L61">
        <v>3</v>
      </c>
    </row>
    <row r="62" spans="1:12">
      <c r="A62">
        <f t="shared" si="0"/>
        <v>2</v>
      </c>
      <c r="B62" t="str" cm="1">
        <f t="array" ref="B62">INDEX(Tabla40[MATERIAL / ACCESORIO],TARIFARIO!A94)</f>
        <v>PATÍN HJ</v>
      </c>
      <c r="C62">
        <v>2</v>
      </c>
      <c r="D62">
        <v>2</v>
      </c>
      <c r="E62">
        <v>2</v>
      </c>
      <c r="F62">
        <v>2</v>
      </c>
      <c r="G62">
        <v>2</v>
      </c>
      <c r="H62">
        <v>2</v>
      </c>
      <c r="I62">
        <v>2</v>
      </c>
      <c r="J62">
        <v>2</v>
      </c>
      <c r="K62">
        <v>2</v>
      </c>
      <c r="L62">
        <v>2</v>
      </c>
    </row>
    <row r="63" spans="1:12">
      <c r="A63">
        <f t="shared" si="0"/>
        <v>10</v>
      </c>
      <c r="B63" t="s">
        <v>194</v>
      </c>
      <c r="C63">
        <v>10</v>
      </c>
      <c r="D63">
        <v>10</v>
      </c>
      <c r="E63">
        <v>10</v>
      </c>
      <c r="F63">
        <v>10</v>
      </c>
      <c r="G63">
        <v>10</v>
      </c>
      <c r="H63">
        <v>10</v>
      </c>
      <c r="I63">
        <v>10</v>
      </c>
      <c r="J63">
        <v>10</v>
      </c>
      <c r="K63">
        <v>10</v>
      </c>
      <c r="L63">
        <v>10</v>
      </c>
    </row>
    <row r="64" spans="1:12">
      <c r="A64">
        <f t="shared" si="0"/>
        <v>1</v>
      </c>
      <c r="B64" t="str" cm="1">
        <f t="array" ref="B64">INDEX(ABS[MATERIAL / ACCESORIO],TARIFARIO!A75)</f>
        <v>KIT DE ABS Y CONEXIONES 2 EJES</v>
      </c>
      <c r="C64">
        <v>1</v>
      </c>
      <c r="D64">
        <v>1</v>
      </c>
      <c r="E64">
        <v>1</v>
      </c>
      <c r="F64">
        <v>1</v>
      </c>
      <c r="G64">
        <v>1</v>
      </c>
      <c r="H64">
        <v>1</v>
      </c>
      <c r="I64">
        <v>1</v>
      </c>
      <c r="J64">
        <v>1</v>
      </c>
      <c r="K64">
        <v>1</v>
      </c>
      <c r="L64">
        <v>1</v>
      </c>
    </row>
    <row r="68" spans="1:12">
      <c r="A68" t="s">
        <v>50</v>
      </c>
      <c r="B68" t="s">
        <v>77</v>
      </c>
      <c r="C68" t="s">
        <v>335</v>
      </c>
      <c r="D68" t="s">
        <v>100</v>
      </c>
      <c r="E68" t="s">
        <v>102</v>
      </c>
      <c r="F68" t="s">
        <v>101</v>
      </c>
      <c r="G68" t="s">
        <v>333</v>
      </c>
      <c r="H68" t="s">
        <v>330</v>
      </c>
      <c r="I68" t="s">
        <v>334</v>
      </c>
      <c r="J68" t="s">
        <v>331</v>
      </c>
      <c r="K68" t="s">
        <v>555</v>
      </c>
      <c r="L68" t="s">
        <v>1019</v>
      </c>
    </row>
    <row r="69" spans="1:12">
      <c r="A69">
        <f>INDEX(OTROS21[],MATCH(OTROS21[[#This Row],[MATERIAL / ACCESORIO]],OTROS21[MATERIAL / ACCESORIO],0),MATCH($A$1,OTROS21[#Headers],0))</f>
        <v>2</v>
      </c>
      <c r="B69" t="s">
        <v>51</v>
      </c>
      <c r="C69">
        <v>2.4806249999999999</v>
      </c>
      <c r="D69">
        <v>2</v>
      </c>
      <c r="E69">
        <v>2</v>
      </c>
      <c r="F69">
        <v>2.1</v>
      </c>
      <c r="G69">
        <v>2.1</v>
      </c>
      <c r="H69">
        <v>2.3624999999999998</v>
      </c>
      <c r="I69">
        <v>2.835</v>
      </c>
      <c r="J69">
        <v>2.835</v>
      </c>
      <c r="K69">
        <v>2.835</v>
      </c>
      <c r="L69">
        <v>2.3624999999999998</v>
      </c>
    </row>
    <row r="70" spans="1:12">
      <c r="A70">
        <f>INDEX(OTROS21[],MATCH(OTROS21[[#This Row],[MATERIAL / ACCESORIO]],OTROS21[MATERIAL / ACCESORIO],0),MATCH($A$1,OTROS21[#Headers],0))</f>
        <v>4</v>
      </c>
      <c r="B70" t="s">
        <v>52</v>
      </c>
      <c r="C70">
        <v>3.5</v>
      </c>
      <c r="D70">
        <v>4</v>
      </c>
      <c r="E70">
        <v>4</v>
      </c>
      <c r="F70">
        <v>4.2</v>
      </c>
      <c r="G70">
        <v>4.2</v>
      </c>
      <c r="H70">
        <v>4.5</v>
      </c>
      <c r="I70">
        <v>4.8</v>
      </c>
      <c r="J70">
        <v>4.8</v>
      </c>
      <c r="K70">
        <v>4.8</v>
      </c>
      <c r="L70">
        <v>4.5</v>
      </c>
    </row>
    <row r="71" spans="1:12">
      <c r="A71">
        <f>INDEX(OTROS21[],MATCH(OTROS21[[#This Row],[MATERIAL / ACCESORIO]],OTROS21[MATERIAL / ACCESORIO],0),MATCH($A$1,OTROS21[#Headers],0))</f>
        <v>1</v>
      </c>
      <c r="B71" t="s">
        <v>53</v>
      </c>
      <c r="C71">
        <v>0.875</v>
      </c>
      <c r="D71">
        <v>1</v>
      </c>
      <c r="E71">
        <v>1</v>
      </c>
      <c r="F71">
        <v>1.5</v>
      </c>
      <c r="G71">
        <v>1.5</v>
      </c>
      <c r="H71">
        <v>1.125</v>
      </c>
      <c r="I71">
        <v>1.2</v>
      </c>
      <c r="J71">
        <v>1.2</v>
      </c>
      <c r="K71">
        <v>1.2</v>
      </c>
      <c r="L71">
        <v>1.125</v>
      </c>
    </row>
    <row r="72" spans="1:12">
      <c r="A72">
        <f>INDEX(OTROS21[],MATCH(OTROS21[[#This Row],[MATERIAL / ACCESORIO]],OTROS21[MATERIAL / ACCESORIO],0),MATCH($A$1,OTROS21[#Headers],0))</f>
        <v>2</v>
      </c>
      <c r="B72" t="s">
        <v>54</v>
      </c>
      <c r="C72">
        <v>2</v>
      </c>
      <c r="D72">
        <v>2</v>
      </c>
      <c r="E72">
        <v>2</v>
      </c>
      <c r="F72">
        <v>2</v>
      </c>
      <c r="G72">
        <v>2</v>
      </c>
      <c r="H72">
        <v>2</v>
      </c>
      <c r="I72">
        <v>2</v>
      </c>
      <c r="J72">
        <v>2</v>
      </c>
      <c r="K72">
        <v>2</v>
      </c>
      <c r="L72">
        <v>2</v>
      </c>
    </row>
    <row r="73" spans="1:12">
      <c r="A73">
        <f>INDEX(OTROS21[],MATCH(OTROS21[[#This Row],[MATERIAL / ACCESORIO]],OTROS21[MATERIAL / ACCESORIO],0),MATCH($A$1,OTROS21[#Headers],0))</f>
        <v>4</v>
      </c>
      <c r="B73" t="s">
        <v>465</v>
      </c>
      <c r="C73">
        <v>3.5</v>
      </c>
      <c r="D73">
        <v>4</v>
      </c>
      <c r="E73">
        <v>4</v>
      </c>
      <c r="F73">
        <v>4.2</v>
      </c>
      <c r="G73">
        <v>4.2</v>
      </c>
      <c r="H73">
        <v>4.5</v>
      </c>
      <c r="I73">
        <v>4.8</v>
      </c>
      <c r="J73">
        <v>4.8</v>
      </c>
      <c r="K73">
        <v>4.8</v>
      </c>
      <c r="L73">
        <v>4.5</v>
      </c>
    </row>
    <row r="74" spans="1:12">
      <c r="A74">
        <f>INDEX(OTROS21[],MATCH(OTROS21[[#This Row],[MATERIAL / ACCESORIO]],OTROS21[MATERIAL / ACCESORIO],0),MATCH($A$1,OTROS21[#Headers],0))</f>
        <v>2</v>
      </c>
      <c r="B74" t="s">
        <v>56</v>
      </c>
      <c r="C74">
        <v>1.75</v>
      </c>
      <c r="D74">
        <v>2</v>
      </c>
      <c r="E74">
        <v>2</v>
      </c>
      <c r="F74">
        <v>2.1</v>
      </c>
      <c r="G74">
        <v>2.1</v>
      </c>
      <c r="H74">
        <v>2.25</v>
      </c>
      <c r="I74">
        <v>2.4</v>
      </c>
      <c r="J74">
        <v>2.4</v>
      </c>
      <c r="K74">
        <v>2.4</v>
      </c>
      <c r="L74">
        <v>2.25</v>
      </c>
    </row>
    <row r="75" spans="1:12">
      <c r="A75">
        <f>INDEX(OTROS21[],MATCH(OTROS21[[#This Row],[MATERIAL / ACCESORIO]],OTROS21[MATERIAL / ACCESORIO],0),MATCH($A$1,OTROS21[#Headers],0))</f>
        <v>2</v>
      </c>
      <c r="B75" t="s">
        <v>57</v>
      </c>
      <c r="C75">
        <v>1.75</v>
      </c>
      <c r="D75">
        <v>2</v>
      </c>
      <c r="E75">
        <v>2</v>
      </c>
      <c r="F75">
        <v>2.1</v>
      </c>
      <c r="G75">
        <v>2.1</v>
      </c>
      <c r="H75">
        <v>2.25</v>
      </c>
      <c r="I75">
        <v>2.4</v>
      </c>
      <c r="J75">
        <v>2.4</v>
      </c>
      <c r="K75">
        <v>2.4</v>
      </c>
      <c r="L75">
        <v>2.25</v>
      </c>
    </row>
    <row r="76" spans="1:12">
      <c r="A76">
        <f>INDEX(OTROS21[],MATCH(OTROS21[[#This Row],[MATERIAL / ACCESORIO]],OTROS21[MATERIAL / ACCESORIO],0),MATCH($A$1,OTROS21[#Headers],0))</f>
        <v>2</v>
      </c>
      <c r="B76" t="s">
        <v>58</v>
      </c>
      <c r="C76">
        <v>1.75</v>
      </c>
      <c r="D76">
        <v>2</v>
      </c>
      <c r="E76">
        <v>2</v>
      </c>
      <c r="F76">
        <v>2.1</v>
      </c>
      <c r="G76">
        <v>2.1</v>
      </c>
      <c r="H76">
        <v>2.25</v>
      </c>
      <c r="I76">
        <v>2.4</v>
      </c>
      <c r="J76">
        <v>2.4</v>
      </c>
      <c r="K76">
        <v>2.4</v>
      </c>
      <c r="L76">
        <v>2.25</v>
      </c>
    </row>
    <row r="77" spans="1:12">
      <c r="A77">
        <f>INDEX(OTROS21[],MATCH(OTROS21[[#This Row],[MATERIAL / ACCESORIO]],OTROS21[MATERIAL / ACCESORIO],0),MATCH($A$1,OTROS21[#Headers],0))</f>
        <v>10</v>
      </c>
      <c r="B77" t="s">
        <v>59</v>
      </c>
      <c r="C77">
        <v>8.75</v>
      </c>
      <c r="D77">
        <v>10</v>
      </c>
      <c r="E77">
        <v>10</v>
      </c>
      <c r="F77">
        <v>10.5</v>
      </c>
      <c r="G77">
        <v>10.5</v>
      </c>
      <c r="H77">
        <v>11.25</v>
      </c>
      <c r="I77">
        <v>12</v>
      </c>
      <c r="J77">
        <v>12</v>
      </c>
      <c r="K77">
        <v>12</v>
      </c>
      <c r="L77">
        <v>11.25</v>
      </c>
    </row>
    <row r="78" spans="1:12">
      <c r="A78">
        <f>INDEX(OTROS21[],MATCH(OTROS21[[#This Row],[MATERIAL / ACCESORIO]],OTROS21[MATERIAL / ACCESORIO],0),MATCH($A$1,OTROS21[#Headers],0))</f>
        <v>1</v>
      </c>
      <c r="B78" t="s">
        <v>245</v>
      </c>
      <c r="C78">
        <v>0.875</v>
      </c>
      <c r="D78">
        <v>1</v>
      </c>
      <c r="E78">
        <v>1</v>
      </c>
      <c r="F78">
        <v>1.05</v>
      </c>
      <c r="G78">
        <v>1.05</v>
      </c>
      <c r="H78">
        <v>11.25</v>
      </c>
      <c r="I78">
        <v>1.2</v>
      </c>
      <c r="J78">
        <v>1.2</v>
      </c>
      <c r="K78">
        <v>1.2</v>
      </c>
      <c r="L78">
        <v>1.125</v>
      </c>
    </row>
    <row r="79" spans="1:12">
      <c r="A79">
        <f>INDEX(OTROS21[],MATCH(OTROS21[[#This Row],[MATERIAL / ACCESORIO]],OTROS21[MATERIAL / ACCESORIO],0),MATCH($A$1,OTROS21[#Headers],0))</f>
        <v>2</v>
      </c>
      <c r="B79" t="s">
        <v>61</v>
      </c>
      <c r="C79">
        <v>2</v>
      </c>
      <c r="D79">
        <v>2</v>
      </c>
      <c r="E79">
        <v>2</v>
      </c>
      <c r="F79">
        <v>2</v>
      </c>
      <c r="G79">
        <v>2</v>
      </c>
      <c r="H79">
        <v>2</v>
      </c>
      <c r="I79">
        <v>2</v>
      </c>
      <c r="J79">
        <v>2</v>
      </c>
      <c r="K79">
        <v>2</v>
      </c>
      <c r="L79">
        <v>2</v>
      </c>
    </row>
    <row r="80" spans="1:12">
      <c r="A80">
        <f>INDEX(OTROS21[],MATCH(OTROS21[[#This Row],[MATERIAL / ACCESORIO]],OTROS21[MATERIAL / ACCESORIO],0),MATCH($A$1,OTROS21[#Headers],0))</f>
        <v>2</v>
      </c>
      <c r="B80" t="s">
        <v>244</v>
      </c>
      <c r="C80">
        <v>2</v>
      </c>
      <c r="D80">
        <v>2</v>
      </c>
      <c r="E80">
        <v>2</v>
      </c>
      <c r="F80">
        <v>2</v>
      </c>
      <c r="G80">
        <v>2</v>
      </c>
      <c r="H80">
        <v>2</v>
      </c>
      <c r="I80">
        <v>2</v>
      </c>
      <c r="J80">
        <v>2</v>
      </c>
      <c r="K80">
        <v>2</v>
      </c>
      <c r="L80">
        <v>2</v>
      </c>
    </row>
    <row r="81" spans="1:12">
      <c r="A81">
        <f>INDEX(OTROS21[],MATCH(OTROS21[[#This Row],[MATERIAL / ACCESORIO]],OTROS21[MATERIAL / ACCESORIO],0),MATCH($A$1,OTROS21[#Headers],0))</f>
        <v>1</v>
      </c>
      <c r="B81" t="s">
        <v>66</v>
      </c>
      <c r="C81">
        <v>0.875</v>
      </c>
      <c r="D81">
        <v>1</v>
      </c>
      <c r="E81">
        <v>1</v>
      </c>
      <c r="F81">
        <v>1.05</v>
      </c>
      <c r="G81">
        <v>1.05</v>
      </c>
      <c r="H81">
        <v>1.125</v>
      </c>
      <c r="I81">
        <v>1.2</v>
      </c>
      <c r="J81">
        <v>1.2</v>
      </c>
      <c r="K81">
        <v>1.2</v>
      </c>
      <c r="L81">
        <v>1.125</v>
      </c>
    </row>
    <row r="82" spans="1:12">
      <c r="A82">
        <f>INDEX(OTROS21[],MATCH(OTROS21[[#This Row],[MATERIAL / ACCESORIO]],OTROS21[MATERIAL / ACCESORIO],0),MATCH($A$1,OTROS21[#Headers],0))</f>
        <v>1</v>
      </c>
      <c r="B82" t="s">
        <v>67</v>
      </c>
      <c r="C82">
        <v>0.875</v>
      </c>
      <c r="D82">
        <v>1</v>
      </c>
      <c r="E82">
        <v>1</v>
      </c>
      <c r="F82">
        <v>1.05</v>
      </c>
      <c r="G82">
        <v>1.05</v>
      </c>
      <c r="H82">
        <v>1.125</v>
      </c>
      <c r="I82">
        <v>1.2</v>
      </c>
      <c r="J82">
        <v>1.2</v>
      </c>
      <c r="K82">
        <v>1.2</v>
      </c>
      <c r="L82">
        <v>1.125</v>
      </c>
    </row>
    <row r="83" spans="1:12">
      <c r="A83">
        <f>INDEX(OTROS21[],MATCH(OTROS21[[#This Row],[MATERIAL / ACCESORIO]],OTROS21[MATERIAL / ACCESORIO],0),MATCH($A$1,OTROS21[#Headers],0))</f>
        <v>1</v>
      </c>
      <c r="B83" t="s">
        <v>68</v>
      </c>
      <c r="C83">
        <v>1</v>
      </c>
      <c r="D83">
        <v>1</v>
      </c>
      <c r="E83">
        <v>1</v>
      </c>
      <c r="F83">
        <v>1</v>
      </c>
      <c r="G83">
        <v>1</v>
      </c>
      <c r="H83">
        <v>1</v>
      </c>
      <c r="I83">
        <v>1</v>
      </c>
      <c r="J83">
        <v>1</v>
      </c>
      <c r="K83">
        <v>1</v>
      </c>
      <c r="L83">
        <v>1</v>
      </c>
    </row>
    <row r="84" spans="1:12">
      <c r="A84">
        <f>INDEX(OTROS21[],MATCH(OTROS21[[#This Row],[MATERIAL / ACCESORIO]],OTROS21[MATERIAL / ACCESORIO],0),MATCH($A$1,OTROS21[#Headers],0))</f>
        <v>1</v>
      </c>
      <c r="B84" t="s">
        <v>0</v>
      </c>
      <c r="C84">
        <v>1</v>
      </c>
      <c r="D84">
        <v>1</v>
      </c>
      <c r="E84">
        <v>1</v>
      </c>
      <c r="F84">
        <v>1</v>
      </c>
      <c r="G84">
        <v>1</v>
      </c>
      <c r="H84">
        <v>1</v>
      </c>
      <c r="I84">
        <v>1</v>
      </c>
      <c r="J84">
        <v>1</v>
      </c>
      <c r="K84">
        <v>1</v>
      </c>
      <c r="L84">
        <v>1</v>
      </c>
    </row>
    <row r="86" spans="1:12">
      <c r="A86" s="191"/>
      <c r="B86" s="191" t="s">
        <v>370</v>
      </c>
    </row>
    <row r="87" spans="1:12">
      <c r="A87" s="91" t="s">
        <v>50</v>
      </c>
      <c r="B87" s="166" t="s">
        <v>77</v>
      </c>
    </row>
    <row r="88" spans="1:12">
      <c r="A88" s="170">
        <v>3</v>
      </c>
      <c r="B88" s="171" t="s">
        <v>1179</v>
      </c>
    </row>
    <row r="89" spans="1:12">
      <c r="A89" s="170">
        <v>1</v>
      </c>
      <c r="B89" s="171" t="s">
        <v>1180</v>
      </c>
    </row>
    <row r="90" spans="1:12">
      <c r="A90" s="170">
        <v>1</v>
      </c>
      <c r="B90" s="171" t="s">
        <v>1181</v>
      </c>
    </row>
    <row r="91" spans="1:12">
      <c r="A91" s="170">
        <v>1</v>
      </c>
      <c r="B91" s="171" t="s">
        <v>425</v>
      </c>
    </row>
    <row r="92" spans="1:12">
      <c r="A92" s="170">
        <v>1</v>
      </c>
      <c r="B92" s="171" t="s">
        <v>1182</v>
      </c>
    </row>
    <row r="93" spans="1:12">
      <c r="A93" s="170">
        <v>1</v>
      </c>
      <c r="B93" s="171" t="s">
        <v>1183</v>
      </c>
    </row>
    <row r="94" spans="1:12">
      <c r="A94" s="170">
        <v>1</v>
      </c>
      <c r="B94" s="171" t="s">
        <v>1142</v>
      </c>
    </row>
    <row r="95" spans="1:12">
      <c r="A95" s="170">
        <v>1</v>
      </c>
      <c r="B95" s="171" t="s">
        <v>1148</v>
      </c>
    </row>
    <row r="96" spans="1:12">
      <c r="A96" s="170"/>
      <c r="B96" s="171"/>
    </row>
    <row r="98" spans="1:12">
      <c r="A98" t="s">
        <v>50</v>
      </c>
      <c r="B98" t="s">
        <v>77</v>
      </c>
      <c r="C98" t="s">
        <v>335</v>
      </c>
      <c r="D98" t="s">
        <v>100</v>
      </c>
      <c r="E98" t="s">
        <v>102</v>
      </c>
      <c r="F98" t="s">
        <v>101</v>
      </c>
      <c r="G98" t="s">
        <v>333</v>
      </c>
      <c r="H98" t="s">
        <v>330</v>
      </c>
      <c r="I98" t="s">
        <v>334</v>
      </c>
      <c r="J98" t="s">
        <v>331</v>
      </c>
      <c r="K98" t="s">
        <v>555</v>
      </c>
      <c r="L98" t="s">
        <v>1019</v>
      </c>
    </row>
    <row r="99" spans="1:12">
      <c r="A99">
        <f>INDEX(PISO21[],MATCH(PISO21[[#This Row],[MATERIAL / ACCESORIO]],PISO21[MATERIAL / ACCESORIO],0),MATCH($A$1,PISO21[#Headers],0))</f>
        <v>1</v>
      </c>
      <c r="B99" t="s">
        <v>62</v>
      </c>
      <c r="C99">
        <v>0.875</v>
      </c>
      <c r="D99">
        <v>1</v>
      </c>
      <c r="E99">
        <v>1</v>
      </c>
      <c r="F99">
        <v>1.05</v>
      </c>
      <c r="G99">
        <v>1.05</v>
      </c>
      <c r="H99">
        <v>1.125</v>
      </c>
      <c r="I99">
        <v>1.2</v>
      </c>
      <c r="J99">
        <v>1.2</v>
      </c>
      <c r="K99">
        <v>1.2</v>
      </c>
      <c r="L99">
        <v>1.2</v>
      </c>
    </row>
    <row r="100" spans="1:12">
      <c r="A100">
        <f>INDEX(PISO21[],MATCH(PISO21[[#This Row],[MATERIAL / ACCESORIO]],PISO21[MATERIAL / ACCESORIO],0),MATCH($A$1,PISO21[#Headers],0))</f>
        <v>0</v>
      </c>
      <c r="B100" t="s">
        <v>1148</v>
      </c>
    </row>
    <row r="102" spans="1:12">
      <c r="B102" t="s">
        <v>91</v>
      </c>
      <c r="C102" t="s">
        <v>2</v>
      </c>
      <c r="D102" t="s">
        <v>380</v>
      </c>
      <c r="E102" t="s">
        <v>430</v>
      </c>
      <c r="F102" t="s">
        <v>431</v>
      </c>
    </row>
    <row r="103" spans="1:12">
      <c r="B103" t="s">
        <v>71</v>
      </c>
      <c r="C103" s="153">
        <v>3000</v>
      </c>
      <c r="D103">
        <v>1</v>
      </c>
      <c r="E103">
        <v>5</v>
      </c>
    </row>
    <row r="104" spans="1:12">
      <c r="B104" t="s">
        <v>473</v>
      </c>
      <c r="C104" s="153">
        <v>5450</v>
      </c>
      <c r="D104">
        <v>2</v>
      </c>
      <c r="E104">
        <v>6</v>
      </c>
    </row>
    <row r="105" spans="1:12">
      <c r="B105" t="s">
        <v>474</v>
      </c>
      <c r="C105" s="153">
        <v>2</v>
      </c>
      <c r="D105">
        <v>3</v>
      </c>
      <c r="E105">
        <v>6</v>
      </c>
    </row>
    <row r="106" spans="1:12">
      <c r="B106" t="s">
        <v>475</v>
      </c>
      <c r="C106" s="153">
        <v>4</v>
      </c>
      <c r="D106">
        <v>4</v>
      </c>
      <c r="E106">
        <v>6</v>
      </c>
    </row>
    <row r="107" spans="1:12">
      <c r="B107" t="s">
        <v>403</v>
      </c>
      <c r="C107" s="153">
        <v>5</v>
      </c>
      <c r="D107">
        <v>5</v>
      </c>
      <c r="E107">
        <v>6</v>
      </c>
    </row>
    <row r="108" spans="1:12">
      <c r="C108" s="153"/>
      <c r="D108">
        <v>6</v>
      </c>
      <c r="E108">
        <v>6</v>
      </c>
    </row>
    <row r="109" spans="1:12">
      <c r="C109" s="153"/>
      <c r="D109">
        <v>7</v>
      </c>
    </row>
    <row r="110" spans="1:12">
      <c r="C110" s="153"/>
      <c r="D110">
        <v>8</v>
      </c>
    </row>
    <row r="111" spans="1:12">
      <c r="C111" s="153"/>
      <c r="D111">
        <v>9</v>
      </c>
    </row>
    <row r="112" spans="1:12">
      <c r="C112" s="153"/>
      <c r="D112">
        <v>10</v>
      </c>
    </row>
    <row r="115" spans="1:5">
      <c r="A115" t="s">
        <v>50</v>
      </c>
      <c r="B115" t="s">
        <v>432</v>
      </c>
      <c r="C115" t="s">
        <v>76</v>
      </c>
      <c r="D115" t="s">
        <v>2</v>
      </c>
      <c r="E115" t="s">
        <v>433</v>
      </c>
    </row>
    <row r="116" spans="1:5">
      <c r="A116">
        <v>1</v>
      </c>
      <c r="B116" t="s">
        <v>161</v>
      </c>
      <c r="C116" s="6">
        <v>3000</v>
      </c>
      <c r="D116" s="6">
        <f>MANODEOBRA[[#This Row],[PRECIO $ C/U]]</f>
        <v>3000</v>
      </c>
      <c r="E116">
        <v>1</v>
      </c>
    </row>
    <row r="117" spans="1:5">
      <c r="A117">
        <v>1</v>
      </c>
      <c r="B117" t="s">
        <v>65</v>
      </c>
      <c r="C117" s="6">
        <v>15000</v>
      </c>
      <c r="D117" s="6">
        <f>MANODEOBRA[[#This Row],[PRECIO $ C/U]]</f>
        <v>15000</v>
      </c>
      <c r="E117">
        <v>2</v>
      </c>
    </row>
    <row r="118" spans="1:5">
      <c r="A118">
        <v>1</v>
      </c>
      <c r="B118" t="s">
        <v>162</v>
      </c>
      <c r="C118" s="6">
        <v>5000</v>
      </c>
      <c r="D118" s="6">
        <f>MANODEOBRA[[#This Row],[PRECIO $ C/U]]</f>
        <v>5000</v>
      </c>
      <c r="E118">
        <v>3</v>
      </c>
    </row>
    <row r="119" spans="1:5">
      <c r="A119">
        <v>1</v>
      </c>
      <c r="B119" t="s">
        <v>177</v>
      </c>
      <c r="C119" s="6">
        <v>1500</v>
      </c>
      <c r="D119" s="6">
        <f>MANODEOBRA[[#This Row],[PRECIO $ C/U]]</f>
        <v>1500</v>
      </c>
      <c r="E119">
        <v>4</v>
      </c>
    </row>
    <row r="120" spans="1:5">
      <c r="A120">
        <v>1</v>
      </c>
      <c r="B120" t="s">
        <v>163</v>
      </c>
      <c r="C120" s="6">
        <v>30000</v>
      </c>
      <c r="D120" s="6">
        <f>MANODEOBRA[[#This Row],[PRECIO $ C/U]]</f>
        <v>30000</v>
      </c>
      <c r="E120">
        <v>5</v>
      </c>
    </row>
    <row r="121" spans="1:5">
      <c r="A121">
        <v>0</v>
      </c>
      <c r="B121" t="s">
        <v>164</v>
      </c>
      <c r="C121" s="6">
        <v>50</v>
      </c>
      <c r="D121" s="6">
        <f>MANODEOBRA[[#This Row],[PRECIO $ C/U]]</f>
        <v>50</v>
      </c>
      <c r="E121">
        <v>6</v>
      </c>
    </row>
    <row r="122" spans="1:5">
      <c r="B122" t="s">
        <v>123</v>
      </c>
      <c r="C122" s="6"/>
      <c r="D122" s="6"/>
    </row>
    <row r="123" spans="1:5">
      <c r="B123" t="s">
        <v>123</v>
      </c>
      <c r="C123" s="6"/>
      <c r="D123" s="6"/>
    </row>
  </sheetData>
  <pageMargins left="0.7" right="0.7" top="0.75" bottom="0.75" header="0.3" footer="0.3"/>
  <ignoredErrors>
    <ignoredError sqref="B99" calculatedColumn="1"/>
  </ignoredErrors>
  <legacyDrawing r:id="rId1"/>
  <tableParts count="8">
    <tablePart r:id="rId2"/>
    <tablePart r:id="rId3"/>
    <tablePart r:id="rId4"/>
    <tablePart r:id="rId5"/>
    <tablePart r:id="rId6"/>
    <tablePart r:id="rId7"/>
    <tablePart r:id="rId8"/>
    <tablePart r:id="rId9"/>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1B1FA-6068-4339-89D6-C59AD179350C}">
  <sheetPr codeName="Hoja8">
    <pageSetUpPr fitToPage="1"/>
  </sheetPr>
  <dimension ref="A1:Q73"/>
  <sheetViews>
    <sheetView zoomScale="94" zoomScaleNormal="94" zoomScaleSheetLayoutView="93" zoomScalePageLayoutView="53" workbookViewId="0">
      <pane xSplit="11" ySplit="7" topLeftCell="L58" activePane="bottomRight" state="frozen"/>
      <selection pane="topRight" activeCell="L1" sqref="L1"/>
      <selection pane="bottomLeft" activeCell="A8" sqref="A8"/>
      <selection pane="bottomRight" activeCell="H71" sqref="H71:I71"/>
    </sheetView>
  </sheetViews>
  <sheetFormatPr baseColWidth="10" defaultRowHeight="14.4"/>
  <cols>
    <col min="1" max="1" width="5.109375" style="443" customWidth="1"/>
    <col min="2" max="2" width="29.33203125" style="443" bestFit="1" customWidth="1"/>
    <col min="3" max="3" width="12.5546875" style="443" bestFit="1" customWidth="1"/>
    <col min="4" max="4" width="13.44140625" style="443" customWidth="1"/>
    <col min="5" max="5" width="2.5546875" style="443" customWidth="1"/>
    <col min="6" max="6" width="7.109375" style="443" customWidth="1"/>
    <col min="7" max="7" width="31.44140625" style="443" customWidth="1"/>
    <col min="8" max="8" width="18.44140625" style="443" bestFit="1" customWidth="1"/>
    <col min="9" max="9" width="17.44140625" style="443" bestFit="1" customWidth="1"/>
    <col min="10" max="10" width="10.88671875" style="443" customWidth="1"/>
    <col min="11" max="11" width="10.109375" style="443" customWidth="1"/>
    <col min="12" max="16384" width="11.5546875" style="443"/>
  </cols>
  <sheetData>
    <row r="1" spans="1:14" ht="15.6">
      <c r="A1" s="439" t="str">
        <f>MID('BASE DAT PLANAS'!A1,11,3)</f>
        <v xml:space="preserve"> 2 </v>
      </c>
      <c r="B1" s="440" t="s">
        <v>497</v>
      </c>
      <c r="C1" s="441">
        <f ca="1">TODAY()</f>
        <v>46287</v>
      </c>
      <c r="D1" s="442"/>
      <c r="E1" s="442"/>
      <c r="F1" s="442"/>
      <c r="G1" s="440" t="s">
        <v>498</v>
      </c>
      <c r="H1" s="442" t="str">
        <f ca="1">eQUIPAMIENTO!M2</f>
        <v>FOL-22-09-26-2</v>
      </c>
      <c r="K1" s="443" t="str">
        <f ca="1">_xlfn.CONCAT("PRESUSPUESTO DE ",C2," FOLIO ",H1)</f>
        <v>PRESUSPUESTO DE A QUIEN CORRESPONDA  FOLIO FOL-22-09-26-2</v>
      </c>
    </row>
    <row r="2" spans="1:14" ht="15.6">
      <c r="B2" s="440" t="s">
        <v>1</v>
      </c>
      <c r="C2" s="444" t="s">
        <v>2418</v>
      </c>
      <c r="D2" s="442"/>
      <c r="E2" s="442"/>
      <c r="F2" s="442"/>
      <c r="H2" s="440" t="s">
        <v>435</v>
      </c>
      <c r="I2" s="445" t="str">
        <f>eQUIPAMIENTO!X26</f>
        <v>1</v>
      </c>
    </row>
    <row r="3" spans="1:14">
      <c r="A3" s="443" t="s">
        <v>495</v>
      </c>
      <c r="B3" s="446"/>
      <c r="C3" s="443" t="s">
        <v>1477</v>
      </c>
      <c r="D3" s="447" t="e">
        <f>INDEX(clientes[],MATCH('PRES PLANAS'!C2,clientes[CLIENTE],0),MATCH(clientes[[#Headers],[EMPRESA]],clientes[#Headers],0))</f>
        <v>#N/A</v>
      </c>
    </row>
    <row r="4" spans="1:14" ht="15" customHeight="1">
      <c r="A4" s="549" t="str">
        <f>_xlfn.CONCAT("SEMIREMOLQUE TIPO:"," ",MID('BASE DAT PLANAS'!A1,1,11),MID('BASE DAT PLANAS'!A1,14,6),MID('BASE DAT PLANAS'!A1,11,2)," ","EJES","",'BASE DAT PLANAS'!B129,","," ","CON"," ",'PRES PLANAS'!B65,","," ",'PRES PLANAS'!B66,","," ",'PRES PLANAS'!A67," ","PAR DE"," ",'PRES PLANAS'!B67,","," ",IF('PRES PLANAS'!G31=" ","",G31&amp;", "),'PRES PLANAS'!B32,","," ",'PRES PLANAS'!A69," ",'PRES PLANAS'!B69,","," ",'PRES PLANAS'!G36,","," ",IF('PRES PLANAS'!B33="","",B33&amp;", "),'PRES PLANAS'!G37,","," ",'PRES PLANAS'!F35," ",'PRES PLANAS'!G35,","," ",IF('PRES PLANAS'!F42=0,"",F42)," ",'PRES PLANAS'!G42,","," ",IF('PRES PLANAS'!F43=0,"",F43)," ",IF(G43= 0,"",G43&amp;",")," ",IF(F44=0,"",F44),IF('PRES PLANAS'!F45=0,"",F45)," ",IF(G44="","",G44&amp;", "),IF(G45=" ","",G45&amp;",")," ",IF(F62=0,"",F62)," ",IF(G62="","",G62&amp;",")," ",IF(F63="0","",F63)," ",IF(G63=" ","",G63&amp;", "),IF(F64="0","",F64)," ",IF(G64=" ","",G64&amp;", "),IF(G65=" ","",G65))</f>
        <v>SEMIREMOLQUE TIPO: PLATAFORMA 40 FT 2 EJES, CON SUSPENSIÓN ALTA HENDRICKSON, EJES FLEET MASTER, 2 PAR DE PATÍN HJ, PISO DE PLÁSTICO CAFÉ, CON RIEL, 10 MATRACA CORREDIZA, GANCHO HOLLAND 8/10 BARRENOS, SIN FRENTE, SIN REDILAS, 1 SISTEMA RETRÁCTIL, 8 RINES DE ACERO,   8 LLANTAS CHINAS,  1 CANASTILLA, 1 BICiCLETERA, 16 PLAFONES DE CARRITO ROJOS P/ESTRIBO, PLAFONES DE CARRITO AMBAR LATERALES</v>
      </c>
      <c r="B4" s="549"/>
      <c r="C4" s="549"/>
      <c r="D4" s="549"/>
      <c r="E4" s="549"/>
      <c r="F4" s="549"/>
      <c r="G4" s="549"/>
      <c r="H4" s="549"/>
      <c r="I4" s="549"/>
    </row>
    <row r="5" spans="1:14">
      <c r="A5" s="549"/>
      <c r="B5" s="549"/>
      <c r="C5" s="549"/>
      <c r="D5" s="549"/>
      <c r="E5" s="549"/>
      <c r="F5" s="549"/>
      <c r="G5" s="549"/>
      <c r="H5" s="549"/>
      <c r="I5" s="549"/>
    </row>
    <row r="6" spans="1:14">
      <c r="A6" s="549"/>
      <c r="B6" s="549"/>
      <c r="C6" s="549"/>
      <c r="D6" s="549"/>
      <c r="E6" s="549"/>
      <c r="F6" s="549"/>
      <c r="G6" s="549"/>
      <c r="H6" s="549"/>
      <c r="I6" s="549"/>
    </row>
    <row r="8" spans="1:14">
      <c r="A8" s="555" t="s">
        <v>87</v>
      </c>
      <c r="B8" s="555"/>
      <c r="C8" s="555"/>
      <c r="D8" s="555"/>
      <c r="E8" s="448"/>
      <c r="F8" s="557" t="s">
        <v>90</v>
      </c>
      <c r="G8" s="557"/>
      <c r="H8" s="557"/>
      <c r="I8" s="557"/>
    </row>
    <row r="9" spans="1:14">
      <c r="A9" s="449" t="s">
        <v>50</v>
      </c>
      <c r="B9" s="449" t="s">
        <v>77</v>
      </c>
      <c r="C9" s="449" t="s">
        <v>408</v>
      </c>
      <c r="D9" s="449" t="s">
        <v>2</v>
      </c>
      <c r="E9" s="448"/>
      <c r="F9" s="159" t="s">
        <v>50</v>
      </c>
      <c r="G9" s="159" t="s">
        <v>77</v>
      </c>
      <c r="H9" s="159" t="s">
        <v>408</v>
      </c>
      <c r="I9" s="159" t="s">
        <v>2</v>
      </c>
    </row>
    <row r="10" spans="1:14">
      <c r="A10" s="450">
        <f>INDEX(ACERO21[],MATCH('BASE DAT PLANAS'!B8,ACERO21[MATERIAL / ACCESORIO],0),MATCH('BASE DAT PLANAS'!$A$1,ACERO21[#Headers],0))</f>
        <v>1</v>
      </c>
      <c r="B10" s="450" t="s">
        <v>8</v>
      </c>
      <c r="C10" s="451">
        <f>INDEX(TARIFARIO!$B$7:$C$34,MATCH(B10,TARIFARIO!$B$7:$B$34,0),MATCH($C$9,TARIFARIO!$B$7:$C$7,0))</f>
        <v>2064</v>
      </c>
      <c r="D10" s="452">
        <f>C10*A10</f>
        <v>2064</v>
      </c>
      <c r="E10" s="448"/>
      <c r="F10" s="453">
        <f>INDEX(OTROS21[],MATCH(G10,OTROS21[MATERIAL / ACCESORIO],0),MATCH('BASE DAT PLANAS'!$A$1,OTROS21[#Headers],0))</f>
        <v>2</v>
      </c>
      <c r="G10" s="454" t="s">
        <v>51</v>
      </c>
      <c r="H10" s="455">
        <f>INDEX(Tabla41[],MATCH('PRES PLANAS'!G10,Tabla41[MATERIAL / ACCESORIO],0),MATCH('PRES PLANAS'!$H$9,Tabla41[#Headers],0))</f>
        <v>905</v>
      </c>
      <c r="I10" s="455">
        <f>H10*F10</f>
        <v>1810</v>
      </c>
    </row>
    <row r="11" spans="1:14">
      <c r="A11" s="450">
        <f>INDEX(ACERO21[],MATCH('BASE DAT PLANAS'!B9,ACERO21[MATERIAL / ACCESORIO],0),MATCH('BASE DAT PLANAS'!$A$1,ACERO21[#Headers],0))</f>
        <v>1</v>
      </c>
      <c r="B11" s="450" t="s">
        <v>9</v>
      </c>
      <c r="C11" s="451">
        <f>INDEX(TARIFARIO!$B$7:$C$34,MATCH(B11,TARIFARIO!$B$7:$B$34,0),MATCH($C$9,TARIFARIO!$B$7:$C$7,0))</f>
        <v>2236</v>
      </c>
      <c r="D11" s="452">
        <f t="shared" ref="D11:D31" si="0">C11*A11</f>
        <v>2236</v>
      </c>
      <c r="E11" s="448"/>
      <c r="F11" s="453">
        <f>INDEX(OTROS21[],MATCH(G11,OTROS21[MATERIAL / ACCESORIO],0),MATCH('BASE DAT PLANAS'!$A$1,OTROS21[#Headers],0))</f>
        <v>4</v>
      </c>
      <c r="G11" s="454" t="s">
        <v>52</v>
      </c>
      <c r="H11" s="455">
        <f>INDEX(Tabla41[],MATCH('PRES PLANAS'!G11,Tabla41[MATERIAL / ACCESORIO],0),MATCH('PRES PLANAS'!$H$9,Tabla41[#Headers],0))</f>
        <v>945</v>
      </c>
      <c r="I11" s="455">
        <f t="shared" ref="I11:I25" si="1">H11*F11</f>
        <v>3780</v>
      </c>
      <c r="N11" s="456"/>
    </row>
    <row r="12" spans="1:14">
      <c r="A12" s="450">
        <f>INDEX(ACERO21[],MATCH('BASE DAT PLANAS'!B10,ACERO21[MATERIAL / ACCESORIO],0),MATCH('BASE DAT PLANAS'!$A$1,ACERO21[#Headers],0))</f>
        <v>1</v>
      </c>
      <c r="B12" s="450" t="s">
        <v>10</v>
      </c>
      <c r="C12" s="451">
        <f>INDEX(TARIFARIO!$B$7:$C$34,MATCH(B12,TARIFARIO!$B$7:$B$34,0),MATCH($C$9,TARIFARIO!$B$7:$C$7,0))</f>
        <v>88.149999999999991</v>
      </c>
      <c r="D12" s="452">
        <f t="shared" si="0"/>
        <v>88.149999999999991</v>
      </c>
      <c r="E12" s="448"/>
      <c r="F12" s="453">
        <f>INDEX(OTROS21[],MATCH(G12,OTROS21[MATERIAL / ACCESORIO],0),MATCH('BASE DAT PLANAS'!$A$1,OTROS21[#Headers],0))</f>
        <v>1</v>
      </c>
      <c r="G12" s="454" t="s">
        <v>53</v>
      </c>
      <c r="H12" s="455">
        <f>INDEX(Tabla41[],MATCH('PRES PLANAS'!G12,Tabla41[MATERIAL / ACCESORIO],0),MATCH('PRES PLANAS'!$H$9,Tabla41[#Headers],0))</f>
        <v>638</v>
      </c>
      <c r="I12" s="455">
        <f t="shared" si="1"/>
        <v>638</v>
      </c>
    </row>
    <row r="13" spans="1:14">
      <c r="A13" s="450">
        <f>INDEX(ACERO21[],MATCH('BASE DAT PLANAS'!B11,ACERO21[MATERIAL / ACCESORIO],0),MATCH('BASE DAT PLANAS'!$A$1,ACERO21[#Headers],0))</f>
        <v>1</v>
      </c>
      <c r="B13" s="450" t="s">
        <v>147</v>
      </c>
      <c r="C13" s="451">
        <f>INDEX(TARIFARIO!$B$7:$C$34,MATCH(B13,TARIFARIO!$B$7:$B$34,0),MATCH($C$9,TARIFARIO!$B$7:$C$7,0))</f>
        <v>924.5</v>
      </c>
      <c r="D13" s="452">
        <f t="shared" si="0"/>
        <v>924.5</v>
      </c>
      <c r="E13" s="448"/>
      <c r="F13" s="453">
        <f>INDEX(OTROS21[],MATCH(G13,OTROS21[MATERIAL / ACCESORIO],0),MATCH('BASE DAT PLANAS'!$A$1,OTROS21[#Headers],0))</f>
        <v>2</v>
      </c>
      <c r="G13" s="454" t="s">
        <v>54</v>
      </c>
      <c r="H13" s="455">
        <f>INDEX(Tabla41[],MATCH('PRES PLANAS'!G13,Tabla41[MATERIAL / ACCESORIO],0),MATCH('PRES PLANAS'!$H$9,Tabla41[#Headers],0))</f>
        <v>82</v>
      </c>
      <c r="I13" s="455">
        <f t="shared" si="1"/>
        <v>164</v>
      </c>
      <c r="N13" s="457"/>
    </row>
    <row r="14" spans="1:14">
      <c r="A14" s="450">
        <f>INDEX(ACERO21[],MATCH('BASE DAT PLANAS'!B14,ACERO21[MATERIAL / ACCESORIO],0),MATCH('BASE DAT PLANAS'!$A$1,ACERO21[#Headers],0))</f>
        <v>2</v>
      </c>
      <c r="B14" s="450" t="s">
        <v>436</v>
      </c>
      <c r="C14" s="451">
        <f>INDEX(TARIFARIO!$B$7:$C$34,MATCH(B14,TARIFARIO!$B$7:$B$34,0),MATCH($C$9,TARIFARIO!$B$7:$C$7,0))</f>
        <v>442.90000000000003</v>
      </c>
      <c r="D14" s="452">
        <f t="shared" si="0"/>
        <v>885.80000000000007</v>
      </c>
      <c r="E14" s="448"/>
      <c r="F14" s="453">
        <f>INDEX(OTROS21[],MATCH(G14,OTROS21[MATERIAL / ACCESORIO],0),MATCH('BASE DAT PLANAS'!$A$1,OTROS21[#Headers],0))</f>
        <v>4</v>
      </c>
      <c r="G14" s="454" t="s">
        <v>465</v>
      </c>
      <c r="H14" s="455">
        <f>INDEX(Tabla41[],MATCH('PRES PLANAS'!G14,Tabla41[MATERIAL / ACCESORIO],0),MATCH('PRES PLANAS'!$H$9,Tabla41[#Headers],0))</f>
        <v>46.4</v>
      </c>
      <c r="I14" s="455">
        <f t="shared" si="1"/>
        <v>185.6</v>
      </c>
    </row>
    <row r="15" spans="1:14">
      <c r="A15" s="450">
        <f>INDEX(ACERO21[],MATCH('BASE DAT PLANAS'!B15,ACERO21[MATERIAL / ACCESORIO],0),MATCH('BASE DAT PLANAS'!$A$1,ACERO21[#Headers],0))</f>
        <v>8</v>
      </c>
      <c r="B15" s="450" t="s">
        <v>16</v>
      </c>
      <c r="C15" s="451">
        <f>INDEX(TARIFARIO!$B$7:$C$34,MATCH(B15,TARIFARIO!$B$7:$B$34,0),MATCH($C$9,TARIFARIO!$B$7:$C$7,0))</f>
        <v>408.5</v>
      </c>
      <c r="D15" s="452">
        <f t="shared" si="0"/>
        <v>3268</v>
      </c>
      <c r="E15" s="448"/>
      <c r="F15" s="453">
        <f>INDEX(OTROS21[],MATCH(G15,OTROS21[MATERIAL / ACCESORIO],0),MATCH('BASE DAT PLANAS'!$A$1,OTROS21[#Headers],0))</f>
        <v>2</v>
      </c>
      <c r="G15" s="454" t="s">
        <v>56</v>
      </c>
      <c r="H15" s="455">
        <f>INDEX(Tabla41[],MATCH('PRES PLANAS'!G15,Tabla41[MATERIAL / ACCESORIO],0),MATCH('PRES PLANAS'!$H$9,Tabla41[#Headers],0))</f>
        <v>75.399999999999991</v>
      </c>
      <c r="I15" s="455">
        <f t="shared" si="1"/>
        <v>150.79999999999998</v>
      </c>
    </row>
    <row r="16" spans="1:14">
      <c r="A16" s="450">
        <f>INDEX(ACERO21[],MATCH('BASE DAT PLANAS'!B16,ACERO21[MATERIAL / ACCESORIO],0),MATCH('BASE DAT PLANAS'!$A$1,ACERO21[#Headers],0))</f>
        <v>1</v>
      </c>
      <c r="B16" s="450" t="s">
        <v>169</v>
      </c>
      <c r="C16" s="451">
        <f>INDEX(TARIFARIO!$B$7:$C$34,MATCH(B16,TARIFARIO!$B$7:$B$34,0),MATCH($C$9,TARIFARIO!$B$7:$C$7,0))</f>
        <v>2113.4499999999998</v>
      </c>
      <c r="D16" s="452">
        <f t="shared" si="0"/>
        <v>2113.4499999999998</v>
      </c>
      <c r="E16" s="448"/>
      <c r="F16" s="453">
        <f>INDEX(OTROS21[],MATCH(G16,OTROS21[MATERIAL / ACCESORIO],0),MATCH('BASE DAT PLANAS'!$A$1,OTROS21[#Headers],0))</f>
        <v>2</v>
      </c>
      <c r="G16" s="454" t="s">
        <v>57</v>
      </c>
      <c r="H16" s="455">
        <f>INDEX(Tabla41[],MATCH('PRES PLANAS'!G16,Tabla41[MATERIAL / ACCESORIO],0),MATCH('PRES PLANAS'!$H$9,Tabla41[#Headers],0))</f>
        <v>40.599999999999994</v>
      </c>
      <c r="I16" s="455">
        <f t="shared" si="1"/>
        <v>81.199999999999989</v>
      </c>
    </row>
    <row r="17" spans="1:9">
      <c r="A17" s="450">
        <f>INDEX(ACERO21[],MATCH('BASE DAT PLANAS'!B18,ACERO21[MATERIAL / ACCESORIO],0),MATCH('BASE DAT PLANAS'!$A$1,ACERO21[#Headers],0))</f>
        <v>1</v>
      </c>
      <c r="B17" s="450" t="s">
        <v>24</v>
      </c>
      <c r="C17" s="451">
        <f>INDEX(TARIFARIO!$B$7:$C$34,MATCH(B17,TARIFARIO!$B$7:$B$34,0),MATCH($C$9,TARIFARIO!$B$7:$C$7,0))</f>
        <v>5203</v>
      </c>
      <c r="D17" s="452">
        <f t="shared" si="0"/>
        <v>5203</v>
      </c>
      <c r="E17" s="448"/>
      <c r="F17" s="453">
        <f>INDEX(OTROS21[],MATCH(G17,OTROS21[MATERIAL / ACCESORIO],0),MATCH('BASE DAT PLANAS'!$A$1,OTROS21[#Headers],0))</f>
        <v>2</v>
      </c>
      <c r="G17" s="454" t="s">
        <v>58</v>
      </c>
      <c r="H17" s="455">
        <f>INDEX(Tabla41[],MATCH('PRES PLANAS'!G17,Tabla41[MATERIAL / ACCESORIO],0),MATCH('PRES PLANAS'!$H$9,Tabla41[#Headers],0))</f>
        <v>104.39999999999999</v>
      </c>
      <c r="I17" s="455">
        <f t="shared" si="1"/>
        <v>208.79999999999998</v>
      </c>
    </row>
    <row r="18" spans="1:9">
      <c r="A18" s="450">
        <f>INDEX(ACERO21[],MATCH('BASE DAT PLANAS'!B19,ACERO21[MATERIAL / ACCESORIO],0),MATCH('BASE DAT PLANAS'!$A$1,ACERO21[#Headers],0))</f>
        <v>1</v>
      </c>
      <c r="B18" s="450" t="s">
        <v>25</v>
      </c>
      <c r="C18" s="451">
        <f>INDEX(TARIFARIO!$B$7:$C$34,MATCH(B18,TARIFARIO!$B$7:$B$34,0),MATCH($C$9,TARIFARIO!$B$7:$C$7,0))</f>
        <v>220.16</v>
      </c>
      <c r="D18" s="452">
        <f t="shared" si="0"/>
        <v>220.16</v>
      </c>
      <c r="E18" s="448"/>
      <c r="F18" s="453">
        <f>INDEX(OTROS21[],MATCH(G18,OTROS21[MATERIAL / ACCESORIO],0),MATCH('BASE DAT PLANAS'!$A$1,OTROS21[#Headers],0))</f>
        <v>10</v>
      </c>
      <c r="G18" s="454" t="s">
        <v>59</v>
      </c>
      <c r="H18" s="455">
        <f>INDEX(Tabla41[],MATCH('PRES PLANAS'!G18,Tabla41[MATERIAL / ACCESORIO],0),MATCH('PRES PLANAS'!$H$9,Tabla41[#Headers],0))</f>
        <v>23.2</v>
      </c>
      <c r="I18" s="455">
        <f t="shared" si="1"/>
        <v>232</v>
      </c>
    </row>
    <row r="19" spans="1:9">
      <c r="A19" s="450">
        <f>INDEX(ACERO21[],MATCH('BASE DAT PLANAS'!B20,ACERO21[MATERIAL / ACCESORIO],0),MATCH('BASE DAT PLANAS'!$A$1,ACERO21[#Headers],0))</f>
        <v>1</v>
      </c>
      <c r="B19" s="450" t="s">
        <v>171</v>
      </c>
      <c r="C19" s="451">
        <f>INDEX(TARIFARIO!$B$7:$C$34,MATCH(B19,TARIFARIO!$B$7:$B$34,0),MATCH($C$9,TARIFARIO!$B$7:$C$7,0))</f>
        <v>145</v>
      </c>
      <c r="D19" s="452">
        <f t="shared" si="0"/>
        <v>145</v>
      </c>
      <c r="E19" s="448"/>
      <c r="F19" s="453">
        <f>INDEX(OTROS21[],MATCH(G19,OTROS21[MATERIAL / ACCESORIO],0),MATCH('BASE DAT PLANAS'!$A$1,OTROS21[#Headers],0))</f>
        <v>1</v>
      </c>
      <c r="G19" s="454" t="s">
        <v>245</v>
      </c>
      <c r="H19" s="455">
        <f>INDEX(Tabla41[],MATCH('PRES PLANAS'!G19,Tabla41[MATERIAL / ACCESORIO],0),MATCH('PRES PLANAS'!$H$9,Tabla41[#Headers],0))</f>
        <v>827</v>
      </c>
      <c r="I19" s="455">
        <f t="shared" si="1"/>
        <v>827</v>
      </c>
    </row>
    <row r="20" spans="1:9">
      <c r="A20" s="450">
        <f>INDEX(ACERO21[],MATCH('BASE DAT PLANAS'!B21,ACERO21[MATERIAL / ACCESORIO],0),MATCH('BASE DAT PLANAS'!$A$1,ACERO21[#Headers],0))</f>
        <v>1</v>
      </c>
      <c r="B20" s="450" t="s">
        <v>437</v>
      </c>
      <c r="C20" s="451">
        <f>INDEX(TARIFARIO!$B$7:$C$34,MATCH(B20,TARIFARIO!$B$7:$B$34,0),MATCH($C$9,TARIFARIO!$B$7:$C$7,0))</f>
        <v>4751.5</v>
      </c>
      <c r="D20" s="452">
        <f t="shared" si="0"/>
        <v>4751.5</v>
      </c>
      <c r="E20" s="448"/>
      <c r="F20" s="453">
        <v>2</v>
      </c>
      <c r="G20" s="454" t="s">
        <v>61</v>
      </c>
      <c r="H20" s="455">
        <f>INDEX(Tabla41[],MATCH('PRES PLANAS'!G20,Tabla41[MATERIAL / ACCESORIO],0),MATCH('PRES PLANAS'!$H$9,Tabla41[#Headers],0))</f>
        <v>670</v>
      </c>
      <c r="I20" s="455">
        <f t="shared" si="1"/>
        <v>1340</v>
      </c>
    </row>
    <row r="21" spans="1:9">
      <c r="A21" s="450">
        <f>INDEX(ACERO21[],MATCH('BASE DAT PLANAS'!B22,ACERO21[MATERIAL / ACCESORIO],0),MATCH('BASE DAT PLANAS'!$A$1,ACERO21[#Headers],0))</f>
        <v>1</v>
      </c>
      <c r="B21" s="450" t="s">
        <v>146</v>
      </c>
      <c r="C21" s="451">
        <f>INDEX(TARIFARIO!$B$7:$C$34,MATCH(B21,TARIFARIO!$B$7:$B$34,0),MATCH($C$9,TARIFARIO!$B$7:$C$7,0))</f>
        <v>344</v>
      </c>
      <c r="D21" s="452">
        <f t="shared" si="0"/>
        <v>344</v>
      </c>
      <c r="E21" s="448"/>
      <c r="F21" s="453">
        <f>INDEX(OTROS21[],MATCH(G21,OTROS21[MATERIAL / ACCESORIO],0),MATCH('BASE DAT PLANAS'!$A$1,OTROS21[#Headers],0))</f>
        <v>2</v>
      </c>
      <c r="G21" s="454" t="s">
        <v>244</v>
      </c>
      <c r="H21" s="455">
        <f>INDEX(Tabla41[],MATCH('PRES PLANAS'!G21,Tabla41[MATERIAL / ACCESORIO],0),MATCH('PRES PLANAS'!$H$9,Tabla41[#Headers],0))</f>
        <v>400.2</v>
      </c>
      <c r="I21" s="455">
        <f t="shared" si="1"/>
        <v>800.4</v>
      </c>
    </row>
    <row r="22" spans="1:9">
      <c r="A22" s="450">
        <f>INDEX(ACERO21[],MATCH('BASE DAT PLANAS'!B23,ACERO21[MATERIAL / ACCESORIO],0),MATCH('BASE DAT PLANAS'!$A$1,ACERO21[#Headers],0))</f>
        <v>1</v>
      </c>
      <c r="B22" s="450" t="s">
        <v>149</v>
      </c>
      <c r="C22" s="451">
        <f>INDEX(TARIFARIO!$B$7:$C$34,MATCH(B22,TARIFARIO!$B$7:$B$34,0),MATCH($C$9,TARIFARIO!$B$7:$C$7,0))</f>
        <v>266.60000000000002</v>
      </c>
      <c r="D22" s="452">
        <f t="shared" si="0"/>
        <v>266.60000000000002</v>
      </c>
      <c r="E22" s="448"/>
      <c r="F22" s="453">
        <f>INDEX(OTROS21[],MATCH(G22,OTROS21[MATERIAL / ACCESORIO],0),MATCH('BASE DAT PLANAS'!$A$1,OTROS21[#Headers],0))</f>
        <v>1</v>
      </c>
      <c r="G22" s="454" t="s">
        <v>66</v>
      </c>
      <c r="H22" s="455">
        <v>9500</v>
      </c>
      <c r="I22" s="455">
        <f t="shared" si="1"/>
        <v>9500</v>
      </c>
    </row>
    <row r="23" spans="1:9">
      <c r="A23" s="450">
        <f>INDEX(ACERO21[],MATCH('BASE DAT PLANAS'!B24,ACERO21[MATERIAL / ACCESORIO],0),MATCH('BASE DAT PLANAS'!$A$1,ACERO21[#Headers],0))</f>
        <v>6</v>
      </c>
      <c r="B23" s="450" t="s">
        <v>438</v>
      </c>
      <c r="C23" s="451">
        <f>INDEX(TARIFARIO!$B$7:$C$34,MATCH(B23,TARIFARIO!$B$7:$B$34,0),MATCH($C$9,TARIFARIO!$B$7:$C$7,0))</f>
        <v>967.5</v>
      </c>
      <c r="D23" s="452">
        <f t="shared" si="0"/>
        <v>5805</v>
      </c>
      <c r="E23" s="448"/>
      <c r="F23" s="453">
        <f>INDEX(OTROS21[],MATCH(G23,OTROS21[MATERIAL / ACCESORIO],0),MATCH('BASE DAT PLANAS'!$A$1,OTROS21[#Headers],0))</f>
        <v>1</v>
      </c>
      <c r="G23" s="454" t="s">
        <v>67</v>
      </c>
      <c r="H23" s="455">
        <f>INDEX(Tabla41[],MATCH('PRES PLANAS'!G23,Tabla41[MATERIAL / ACCESORIO],0),MATCH('PRES PLANAS'!$H$9,Tabla41[#Headers],0))</f>
        <v>2000</v>
      </c>
      <c r="I23" s="455">
        <f t="shared" si="1"/>
        <v>2000</v>
      </c>
    </row>
    <row r="24" spans="1:9">
      <c r="A24" s="450">
        <v>44</v>
      </c>
      <c r="B24" s="450" t="s">
        <v>173</v>
      </c>
      <c r="C24" s="451">
        <f>INDEX(TARIFARIO!$B$7:$C$34,MATCH(B24,TARIFARIO!$B$7:$B$34,0),MATCH($C$9,TARIFARIO!$B$7:$C$7,0))</f>
        <v>55.9</v>
      </c>
      <c r="D24" s="452">
        <f t="shared" si="0"/>
        <v>2459.6</v>
      </c>
      <c r="E24" s="448"/>
      <c r="F24" s="453">
        <f>INDEX(OTROS21[],MATCH(G24,OTROS21[MATERIAL / ACCESORIO],0),MATCH('BASE DAT PLANAS'!$A$1,OTROS21[#Headers],0))</f>
        <v>1</v>
      </c>
      <c r="G24" s="454" t="s">
        <v>68</v>
      </c>
      <c r="H24" s="455">
        <f>INDEX(Tabla41[],MATCH('PRES PLANAS'!G24,Tabla41[MATERIAL / ACCESORIO],0),MATCH('PRES PLANAS'!$H$9,Tabla41[#Headers],0))</f>
        <v>2500</v>
      </c>
      <c r="I24" s="455">
        <f t="shared" si="1"/>
        <v>2500</v>
      </c>
    </row>
    <row r="25" spans="1:9">
      <c r="A25" s="450">
        <f>INDEX(ACERO21[],MATCH('BASE DAT PLANAS'!B26,ACERO21[MATERIAL / ACCESORIO],0),MATCH('BASE DAT PLANAS'!$A$1,ACERO21[#Headers],0))</f>
        <v>1</v>
      </c>
      <c r="B25" s="450" t="s">
        <v>439</v>
      </c>
      <c r="C25" s="451">
        <f>INDEX(TARIFARIO!$B$7:$C$34,MATCH(B25,TARIFARIO!$B$7:$B$34,0),MATCH($C$9,TARIFARIO!$B$7:$C$7,0))</f>
        <v>2322</v>
      </c>
      <c r="D25" s="452">
        <f t="shared" si="0"/>
        <v>2322</v>
      </c>
      <c r="E25" s="448"/>
      <c r="F25" s="453">
        <f>INDEX(OTROS21[],MATCH(G25,OTROS21[MATERIAL / ACCESORIO],0),MATCH('BASE DAT PLANAS'!$A$1,OTROS21[#Headers],0))</f>
        <v>1</v>
      </c>
      <c r="G25" s="454" t="s">
        <v>0</v>
      </c>
      <c r="H25" s="455">
        <v>15000</v>
      </c>
      <c r="I25" s="455">
        <f t="shared" si="1"/>
        <v>15000</v>
      </c>
    </row>
    <row r="26" spans="1:9">
      <c r="A26" s="450">
        <f>INDEX(ACERO21[],MATCH('BASE DAT PLANAS'!B27,ACERO21[MATERIAL / ACCESORIO],0),MATCH('BASE DAT PLANAS'!$A$1,ACERO21[#Headers],0))</f>
        <v>1</v>
      </c>
      <c r="B26" s="450" t="s">
        <v>150</v>
      </c>
      <c r="C26" s="451">
        <f>INDEX(TARIFARIO!$B$7:$C$34,MATCH(B26,TARIFARIO!$B$7:$B$34,0),MATCH($C$9,TARIFARIO!$B$7:$C$7,0))</f>
        <v>709.5</v>
      </c>
      <c r="D26" s="452">
        <f t="shared" si="0"/>
        <v>709.5</v>
      </c>
      <c r="E26" s="448"/>
      <c r="F26" s="458"/>
      <c r="G26" s="458"/>
      <c r="H26" s="459" t="s">
        <v>84</v>
      </c>
      <c r="I26" s="460">
        <f>SUM(I10:I25)</f>
        <v>39217.800000000003</v>
      </c>
    </row>
    <row r="27" spans="1:9">
      <c r="A27" s="450">
        <f>INDEX(ACERO21[],MATCH('BASE DAT PLANAS'!B31,ACERO21[MATERIAL / ACCESORIO],0),MATCH('BASE DAT PLANAS'!$A$1,ACERO21[#Headers],0))</f>
        <v>2</v>
      </c>
      <c r="B27" s="450" t="s">
        <v>174</v>
      </c>
      <c r="C27" s="451">
        <f>INDEX(TARIFARIO!$B$7:$C$34,MATCH(B27,TARIFARIO!$B$7:$B$34,0),MATCH($C$9,TARIFARIO!$B$7:$C$7,0))</f>
        <v>86</v>
      </c>
      <c r="D27" s="452">
        <f t="shared" si="0"/>
        <v>172</v>
      </c>
      <c r="E27" s="448"/>
      <c r="F27" s="448"/>
      <c r="G27" s="448"/>
      <c r="H27" s="448"/>
      <c r="I27" s="448"/>
    </row>
    <row r="28" spans="1:9">
      <c r="A28" s="450">
        <v>2</v>
      </c>
      <c r="B28" s="450" t="s">
        <v>1348</v>
      </c>
      <c r="C28" s="451">
        <f>INDEX(TARIFARIO!$B$7:$C$34,MATCH(B28,TARIFARIO!$B$7:$B$34,0),MATCH($C$9,TARIFARIO!$B$7:$C$7,0))</f>
        <v>709.5</v>
      </c>
      <c r="D28" s="452">
        <f t="shared" si="0"/>
        <v>1419</v>
      </c>
      <c r="E28" s="448"/>
      <c r="F28" s="558" t="s">
        <v>370</v>
      </c>
      <c r="G28" s="558"/>
      <c r="H28" s="558"/>
      <c r="I28" s="558"/>
    </row>
    <row r="29" spans="1:9">
      <c r="A29" s="450">
        <v>4</v>
      </c>
      <c r="B29" s="450" t="s">
        <v>1311</v>
      </c>
      <c r="C29" s="451">
        <f>INDEX(TARIFARIO!$B$7:$C$34,MATCH(B29,TARIFARIO!$B$7:$B$34,0),MATCH($C$9,TARIFARIO!$B$7:$C$7,0))</f>
        <v>838.5</v>
      </c>
      <c r="D29" s="452">
        <f>C29*A29</f>
        <v>3354</v>
      </c>
      <c r="E29" s="448"/>
      <c r="F29" s="461" t="s">
        <v>50</v>
      </c>
      <c r="G29" s="461" t="s">
        <v>77</v>
      </c>
      <c r="H29" s="461" t="s">
        <v>408</v>
      </c>
      <c r="I29" s="461" t="s">
        <v>2</v>
      </c>
    </row>
    <row r="30" spans="1:9">
      <c r="A30" s="450">
        <v>4</v>
      </c>
      <c r="B30" s="450" t="s">
        <v>1349</v>
      </c>
      <c r="C30" s="451">
        <f>INDEX(TARIFARIO!$B$7:$C$34,MATCH(B30,TARIFARIO!$B$7:$B$34,0),MATCH($C$9,TARIFARIO!$B$7:$C$7,0))</f>
        <v>301</v>
      </c>
      <c r="D30" s="452">
        <f t="shared" si="0"/>
        <v>1204</v>
      </c>
      <c r="E30" s="448"/>
      <c r="F30" s="462">
        <f>INDEX(PISO21[],MATCH('PRES PLANAS'!G30,PISO21[MATERIAL / ACCESORIO],0),MATCH('BASE DAT PLANAS'!$A$1,PISO21[#Headers],0))</f>
        <v>1</v>
      </c>
      <c r="G30" s="462" t="s">
        <v>62</v>
      </c>
      <c r="H30" s="463">
        <v>2500</v>
      </c>
      <c r="I30" s="463">
        <f>H30*F30</f>
        <v>2500</v>
      </c>
    </row>
    <row r="31" spans="1:9">
      <c r="A31" s="450">
        <f>IF(G36="SIN GANCHO",0,INDEX(ACERO21[],MATCH('BASE DAT PLANAS'!B32,ACERO21[MATERIAL / ACCESORIO],0),MATCH('BASE DAT PLANAS'!$A$1,ACERO21[#Headers],0)))</f>
        <v>1</v>
      </c>
      <c r="B31" s="450" t="s">
        <v>440</v>
      </c>
      <c r="C31" s="451">
        <f>INDEX(TARIFARIO!$B$7:$C$34,MATCH(B31,TARIFARIO!$B$7:$B$34,0),MATCH($C$9,TARIFARIO!$B$7:$C$7,0))</f>
        <v>4224.75</v>
      </c>
      <c r="D31" s="452">
        <f t="shared" si="0"/>
        <v>4224.75</v>
      </c>
      <c r="E31" s="448"/>
      <c r="F31" s="462">
        <v>1</v>
      </c>
      <c r="G31" s="464" t="str" cm="1">
        <f t="array" ref="G31">INDEX(TARIFARIO!B122:B130,TARIFARIO!A121)</f>
        <v>PISO DE PLÁSTICO CAFÉ</v>
      </c>
      <c r="H31" s="465">
        <f>INDEX(Tabla42[],MATCH('PRES PLANAS'!G31,Tabla42[MATERIAL / ACCESORIO],0),MATCH('PRES PLANAS'!H29,Tabla42[#Headers],0))</f>
        <v>35000</v>
      </c>
      <c r="I31" s="465">
        <f>H31*F31</f>
        <v>35000</v>
      </c>
    </row>
    <row r="32" spans="1:9">
      <c r="A32" s="466"/>
      <c r="B32" s="466" t="str">
        <f>eQUIPAMIENTO!AF12</f>
        <v>CON RIEL</v>
      </c>
      <c r="C32" s="451">
        <f>IFERROR(INDEX(TARIFARIO!$B$7:$C$34,MATCH(B32,TARIFARIO!$B$7:$B$34,0),MATCH($C$9,TARIFARIO!$B$7:$C$7,0)),"")</f>
        <v>5805</v>
      </c>
      <c r="D32" s="467">
        <f>C32</f>
        <v>5805</v>
      </c>
      <c r="E32" s="448"/>
      <c r="F32" s="448"/>
      <c r="G32" s="448"/>
      <c r="H32" s="468" t="s">
        <v>84</v>
      </c>
      <c r="I32" s="469">
        <f>SUM(I30:I31)</f>
        <v>37500</v>
      </c>
    </row>
    <row r="33" spans="1:13">
      <c r="A33" s="470"/>
      <c r="B33" s="471" t="str" cm="1">
        <f t="array" ref="B33">INDEX(Tabla49[MATERIAL / ACCESORIO],TARIFARIO!A158)</f>
        <v>SIN FRENTE</v>
      </c>
      <c r="C33" s="472">
        <f>INDEX(Tabla49[],MATCH('PRES PLANAS'!B33,Tabla49[MATERIAL / ACCESORIO],0),MATCH('PRES PLANAS'!$H$34,Tabla49[#Headers],0))</f>
        <v>0</v>
      </c>
      <c r="D33" s="473">
        <f>C33</f>
        <v>0</v>
      </c>
      <c r="E33" s="448"/>
      <c r="F33" s="448"/>
      <c r="G33" s="448"/>
      <c r="H33" s="448"/>
      <c r="I33" s="448"/>
    </row>
    <row r="34" spans="1:13">
      <c r="A34" s="474"/>
      <c r="B34" s="448"/>
      <c r="C34" s="475" t="s">
        <v>84</v>
      </c>
      <c r="D34" s="476">
        <f>SUM(D10:D33)</f>
        <v>49985.009999999995</v>
      </c>
      <c r="E34" s="448"/>
      <c r="F34" s="547" t="s">
        <v>91</v>
      </c>
      <c r="G34" s="547"/>
      <c r="H34" s="477" t="s">
        <v>408</v>
      </c>
      <c r="I34" s="477" t="s">
        <v>2</v>
      </c>
    </row>
    <row r="35" spans="1:13" ht="21.75" customHeight="1">
      <c r="A35" s="474"/>
      <c r="B35" s="448"/>
      <c r="C35" s="448"/>
      <c r="D35" s="478"/>
      <c r="E35" s="448"/>
      <c r="F35" s="479">
        <f>eQUIPAMIENTO!X19</f>
        <v>1</v>
      </c>
      <c r="G35" s="466" t="str" cm="1">
        <f t="array" ref="G35">INDEX(RETRACTIL[RETRACTIL],'DATOS DE EQUIPAMIENTO'!AC8)</f>
        <v>SISTEMA RETRÁCTIL</v>
      </c>
      <c r="H35" s="467">
        <f>INDEX(Tabla47[],MATCH('PRES PLANAS'!G35,Tabla47[MATERIAL / ACCESORIO],0),MATCH($H$34,Tabla47[#Headers],0))</f>
        <v>15000</v>
      </c>
      <c r="I35" s="467">
        <f>IFERROR(H35*F35,"$")</f>
        <v>15000</v>
      </c>
    </row>
    <row r="36" spans="1:13">
      <c r="A36" s="552" t="s">
        <v>88</v>
      </c>
      <c r="B36" s="553"/>
      <c r="C36" s="553"/>
      <c r="D36" s="554"/>
      <c r="E36" s="448"/>
      <c r="F36" s="466">
        <v>1</v>
      </c>
      <c r="G36" s="466" t="str" cm="1">
        <f t="array" ref="G36">INDEX(Tabla44[MATERIAL / ACCESORIO],TARIFARIO!A134)</f>
        <v>GANCHO HOLLAND 8/10 BARRENOS</v>
      </c>
      <c r="H36" s="480">
        <f>INDEX(Tabla44[],MATCH('PRES PLANAS'!G36,Tabla44[MATERIAL / ACCESORIO],0),MATCH('PRES PLANAS'!$H$34,Tabla44[#Headers],0))</f>
        <v>6948.4</v>
      </c>
      <c r="I36" s="467">
        <f>IFERROR(H36*F36,"$")</f>
        <v>6948.4</v>
      </c>
    </row>
    <row r="37" spans="1:13">
      <c r="A37" s="160" t="s">
        <v>50</v>
      </c>
      <c r="B37" s="161" t="s">
        <v>77</v>
      </c>
      <c r="C37" s="161" t="s">
        <v>408</v>
      </c>
      <c r="D37" s="162" t="s">
        <v>2</v>
      </c>
      <c r="E37" s="448"/>
      <c r="F37" s="481">
        <v>1</v>
      </c>
      <c r="G37" s="481" t="str" cm="1">
        <f t="array" ref="G37">INDEX(Tabla48[MATERIAL / ACCESORIO],TARIFARIO!A149)</f>
        <v>SIN REDILAS</v>
      </c>
      <c r="H37" s="482" t="str">
        <f>INDEX(Tabla48[],MATCH('PRES PLANAS'!G37,Tabla48[MATERIAL / ACCESORIO],0),MATCH('PRES PLANAS'!$H$34,Tabla48[#Headers],0))</f>
        <v xml:space="preserve"> </v>
      </c>
      <c r="I37" s="483" t="str">
        <f>IFERROR(H37*F37,"$")</f>
        <v>$</v>
      </c>
    </row>
    <row r="38" spans="1:13">
      <c r="A38" s="450">
        <v>0.5</v>
      </c>
      <c r="B38" s="450" t="s">
        <v>167</v>
      </c>
      <c r="C38" s="451">
        <f>INDEX(TARIFARIO!$B$7:$C$34,MATCH(B38,TARIFARIO!$B$7:$B$34,0),MATCH($C$9,TARIFARIO!$B$7:$C$7,0))</f>
        <v>2016</v>
      </c>
      <c r="D38" s="452">
        <f>C38*A38</f>
        <v>1008</v>
      </c>
      <c r="E38" s="448"/>
      <c r="F38" s="470"/>
      <c r="G38" s="471" t="str">
        <f>eQUIPAMIENTO!AP20</f>
        <v/>
      </c>
      <c r="H38" s="472" t="str">
        <f>IFERROR(INDEX(Tabla49[],MATCH('PRES PLANAS'!G38,Tabla49[MATERIAL / ACCESORIO],0),MATCH('PRES PLANAS'!$H$34,Tabla49[#Headers],0)),"")</f>
        <v/>
      </c>
      <c r="I38" s="473" t="str">
        <f>H38</f>
        <v/>
      </c>
    </row>
    <row r="39" spans="1:13">
      <c r="A39" s="450">
        <f>INDEX(ACERO21[],MATCH('BASE DAT PLANAS'!B17,ACERO21[MATERIAL / ACCESORIO],0),MATCH('BASE DAT PLANAS'!$A$1,ACERO21[#Headers],0))</f>
        <v>4.4400000000000004</v>
      </c>
      <c r="B39" s="450" t="s">
        <v>20</v>
      </c>
      <c r="C39" s="451">
        <f>INDEX(TARIFARIO!$B$7:$C$34,MATCH(B39,TARIFARIO!$B$7:$B$34,0),MATCH($C$9,TARIFARIO!$B$7:$C$7,0))</f>
        <v>425</v>
      </c>
      <c r="D39" s="452">
        <f>C39*A39</f>
        <v>1887.0000000000002</v>
      </c>
      <c r="E39" s="448"/>
      <c r="F39" s="448"/>
      <c r="G39" s="448"/>
      <c r="H39" s="484" t="s">
        <v>6</v>
      </c>
      <c r="I39" s="485">
        <f>SUM(I35:I38)</f>
        <v>21948.400000000001</v>
      </c>
    </row>
    <row r="40" spans="1:13">
      <c r="A40" s="486">
        <f>INDEX(PIRAMIDE21[],MATCH('PRES PLANAS'!B40,PIRAMIDE21[MATERIAL / ACCESORIO],0),MATCH(PIRAMIDE21[[#Headers],[PZAS]],PIRAMIDE21[#Headers],0))</f>
        <v>1.2</v>
      </c>
      <c r="B40" s="487" t="s">
        <v>28</v>
      </c>
      <c r="C40" s="488">
        <f>INDEX(TARIFARIO!$A$42:$C$57,MATCH('PRES PLANAS'!B40,TARIFARIO!$B$42:$B$57,0),MATCH('PRES PLANAS'!$C$37,TARIFARIO!$A$41:$C$41,0))</f>
        <v>136</v>
      </c>
      <c r="D40" s="488">
        <f>C40*A40</f>
        <v>163.19999999999999</v>
      </c>
      <c r="E40" s="448"/>
      <c r="F40" s="448"/>
      <c r="G40" s="448"/>
      <c r="H40" s="448"/>
      <c r="I40" s="448"/>
    </row>
    <row r="41" spans="1:13">
      <c r="A41" s="489">
        <f>INDEX(PIRAMIDE21[],MATCH('PRES PLANAS'!B41,PIRAMIDE21[MATERIAL / ACCESORIO],0),MATCH(PIRAMIDE21[[#Headers],[PZAS]],PIRAMIDE21[#Headers],0))</f>
        <v>1</v>
      </c>
      <c r="B41" s="490" t="s">
        <v>178</v>
      </c>
      <c r="C41" s="491">
        <f>INDEX(TARIFARIO!$A$42:$C$57,MATCH('PRES PLANAS'!B41,TARIFARIO!$B$42:$B$57,0),MATCH('PRES PLANAS'!$C$37,TARIFARIO!$A$41:$C$41,0))</f>
        <v>20137</v>
      </c>
      <c r="D41" s="491">
        <f t="shared" ref="D41:D54" si="2">C41*A41</f>
        <v>20137</v>
      </c>
      <c r="E41" s="448"/>
      <c r="F41" s="559" t="s">
        <v>414</v>
      </c>
      <c r="G41" s="559"/>
      <c r="H41" s="559"/>
      <c r="I41" s="559"/>
    </row>
    <row r="42" spans="1:13">
      <c r="A42" s="486">
        <f>INDEX(PIRAMIDE21[],MATCH('PRES PLANAS'!B42,PIRAMIDE21[MATERIAL / ACCESORIO],0),MATCH(PIRAMIDE21[[#Headers],[PZAS]],PIRAMIDE21[#Headers],0))</f>
        <v>4</v>
      </c>
      <c r="B42" s="487" t="s">
        <v>442</v>
      </c>
      <c r="C42" s="488">
        <f>INDEX(TARIFARIO!$A$42:$C$57,MATCH('PRES PLANAS'!B42,TARIFARIO!$B$42:$B$57,0),MATCH('PRES PLANAS'!$C$37,TARIFARIO!$A$41:$C$41,0))</f>
        <v>6482</v>
      </c>
      <c r="D42" s="488">
        <f t="shared" si="2"/>
        <v>25928</v>
      </c>
      <c r="E42" s="448"/>
      <c r="F42" s="493">
        <f>eQUIPAMIENTO!X21</f>
        <v>8</v>
      </c>
      <c r="G42" s="493" t="str" cm="1">
        <f t="array" ref="G42">INDEX(Tabla50[MATERIAL / ACCESORIO],TARIFARIO!A178)</f>
        <v>RINES DE ACERO</v>
      </c>
      <c r="H42" s="494">
        <f>INDEX(Tabla50[],MATCH('PRES PLANAS'!G42,Tabla50[MATERIAL / ACCESORIO],0),MATCH(Tabla50[[#Headers],[$ C/U]],Tabla50[#Headers],0))</f>
        <v>1391.97</v>
      </c>
      <c r="I42" s="494">
        <f>H42*F42</f>
        <v>11135.76</v>
      </c>
    </row>
    <row r="43" spans="1:13">
      <c r="A43" s="486">
        <f>INDEX(PIRAMIDE21[],MATCH('PRES PLANAS'!B43,PIRAMIDE21[MATERIAL / ACCESORIO],0),MATCH(PIRAMIDE21[[#Headers],[PZAS]],PIRAMIDE21[#Headers],0))</f>
        <v>2</v>
      </c>
      <c r="B43" s="487" t="s">
        <v>1365</v>
      </c>
      <c r="C43" s="488">
        <f>INDEX(TARIFARIO!$A$42:$C$57,MATCH('PRES PLANAS'!B43,TARIFARIO!$B$42:$B$57,0),MATCH('PRES PLANAS'!$C$37,TARIFARIO!$A$41:$C$41,0))</f>
        <v>5060.5600000000004</v>
      </c>
      <c r="D43" s="488">
        <f t="shared" si="2"/>
        <v>10121.120000000001</v>
      </c>
      <c r="E43" s="448"/>
      <c r="F43" s="493">
        <f>eQUIPAMIENTO!AP17</f>
        <v>0</v>
      </c>
      <c r="G43" s="493">
        <f>eQUIPAMIENTO!AP16</f>
        <v>0</v>
      </c>
      <c r="H43" s="494" t="str">
        <f>IFERROR(INDEX(Tabla50[],MATCH('PRES PLANAS'!G43,Tabla50[MATERIAL / ACCESORIO],0),MATCH(Tabla50[[#Headers],[$ C/U]],Tabla50[#Headers],0)),"")</f>
        <v/>
      </c>
      <c r="I43" s="495" t="str">
        <f>IFERROR(H43*F43,"0")</f>
        <v>0</v>
      </c>
    </row>
    <row r="44" spans="1:13">
      <c r="A44" s="486">
        <f>INDEX(PIRAMIDE21[],MATCH('PRES PLANAS'!B44,PIRAMIDE21[MATERIAL / ACCESORIO],0),MATCH(PIRAMIDE21[[#Headers],[PZAS]],PIRAMIDE21[#Headers],0))</f>
        <v>4.2</v>
      </c>
      <c r="B44" s="487" t="s">
        <v>443</v>
      </c>
      <c r="C44" s="488">
        <f>INDEX(TARIFARIO!$A$42:$C$57,MATCH('PRES PLANAS'!B44,TARIFARIO!$B$42:$B$57,0),MATCH('PRES PLANAS'!$C$37,TARIFARIO!$A$41:$C$41,0))</f>
        <v>33.332999999999998</v>
      </c>
      <c r="D44" s="488">
        <f t="shared" si="2"/>
        <v>139.99860000000001</v>
      </c>
      <c r="E44" s="448"/>
      <c r="F44" s="493">
        <f>eQUIPAMIENTO!X23</f>
        <v>8</v>
      </c>
      <c r="G44" s="493" t="str" cm="1">
        <f t="array" ref="G44">INDEX(Tabla51[MATERIAL / ACCESORIO],TARIFARIO!A185)</f>
        <v>LLANTAS CHINAS</v>
      </c>
      <c r="H44" s="494">
        <f>IFERROR(INDEX(Tabla51[],MATCH('PRES PLANAS'!G44,Tabla51[MATERIAL / ACCESORIO],0),MATCH(Tabla51[[#Headers],[$ C/U]],Tabla51[#Headers],0)),"")</f>
        <v>4000</v>
      </c>
      <c r="I44" s="494">
        <f>F44*H44</f>
        <v>32000</v>
      </c>
      <c r="M44" s="496">
        <v>1</v>
      </c>
    </row>
    <row r="45" spans="1:13">
      <c r="A45" s="486">
        <f>INDEX(PIRAMIDE21[],MATCH('PRES PLANAS'!B45,PIRAMIDE21[MATERIAL / ACCESORIO],0),MATCH(PIRAMIDE21[[#Headers],[PZAS]],PIRAMIDE21[#Headers],0))</f>
        <v>8</v>
      </c>
      <c r="B45" s="487" t="s">
        <v>444</v>
      </c>
      <c r="C45" s="488">
        <f>INDEX(TARIFARIO!$A$42:$C$57,MATCH('PRES PLANAS'!B45,TARIFARIO!$B$42:$B$57,0),MATCH('PRES PLANAS'!$C$37,TARIFARIO!$A$41:$C$41,0))</f>
        <v>799</v>
      </c>
      <c r="D45" s="488">
        <f t="shared" si="2"/>
        <v>6392</v>
      </c>
      <c r="E45" s="448"/>
      <c r="F45" s="493">
        <f>eQUIPAMIENTO!AP19</f>
        <v>0</v>
      </c>
      <c r="G45" s="493" t="str">
        <f>eQUIPAMIENTO!AP18</f>
        <v xml:space="preserve"> </v>
      </c>
      <c r="H45" s="494">
        <f>INDEX(Tabla51[],MATCH('PRES PLANAS'!G45,Tabla51[MATERIAL / ACCESORIO],0),MATCH(Tabla51[[#Headers],[$ C/U]],Tabla51[#Headers],0))</f>
        <v>0</v>
      </c>
      <c r="I45" s="494">
        <f>F45*H45</f>
        <v>0</v>
      </c>
      <c r="M45" s="443" t="s">
        <v>1411</v>
      </c>
    </row>
    <row r="46" spans="1:13">
      <c r="A46" s="486">
        <f>IF(M44=1,INDEX(PIRAMIDE21[],MATCH('PRES PLANAS'!B46,PIRAMIDE21[MATERIAL / ACCESORIO],0),MATCH(PIRAMIDE21[[#Headers],[PZAS]],PIRAMIDE21[#Headers],0)),3*M44)</f>
        <v>3</v>
      </c>
      <c r="B46" s="487" t="s">
        <v>445</v>
      </c>
      <c r="C46" s="488">
        <f>INDEX(TARIFARIO!$A$42:$C$57,MATCH('PRES PLANAS'!B46,TARIFARIO!$B$42:$B$57,0),MATCH('PRES PLANAS'!$C$37,TARIFARIO!$A$41:$C$41,0))</f>
        <v>266.22500000000002</v>
      </c>
      <c r="D46" s="488">
        <f t="shared" si="2"/>
        <v>798.67500000000007</v>
      </c>
      <c r="E46" s="448"/>
      <c r="F46" s="448"/>
      <c r="G46" s="448"/>
      <c r="H46" s="497" t="s">
        <v>84</v>
      </c>
      <c r="I46" s="498">
        <f>SUM(I42:I45)</f>
        <v>43135.76</v>
      </c>
      <c r="M46" s="443">
        <v>1</v>
      </c>
    </row>
    <row r="47" spans="1:13">
      <c r="A47" s="486">
        <f>IF(M44=1,INDEX(PIRAMIDE21[],MATCH('PRES PLANAS'!B47,PIRAMIDE21[MATERIAL / ACCESORIO],0),MATCH(PIRAMIDE21[[#Headers],[PZAS]],PIRAMIDE21[#Headers],0)),1.2*M44)</f>
        <v>1.2</v>
      </c>
      <c r="B47" s="487" t="s">
        <v>1300</v>
      </c>
      <c r="C47" s="488">
        <f>INDEX(TARIFARIO!$A$42:$C$57,MATCH('PRES PLANAS'!B47,TARIFARIO!$B$42:$B$57,0),MATCH('PRES PLANAS'!$C$37,TARIFARIO!$A$41:$C$41,0))</f>
        <v>140</v>
      </c>
      <c r="D47" s="488">
        <f t="shared" si="2"/>
        <v>168</v>
      </c>
      <c r="E47" s="448"/>
      <c r="F47" s="448"/>
      <c r="G47" s="448"/>
      <c r="H47" s="448"/>
      <c r="I47" s="448"/>
      <c r="M47" s="443">
        <v>2</v>
      </c>
    </row>
    <row r="48" spans="1:13">
      <c r="A48" s="486">
        <f>IF(M44=1,INDEX(PIRAMIDE21[],MATCH('PRES PLANAS'!B48,PIRAMIDE21[MATERIAL / ACCESORIO],0),MATCH(PIRAMIDE21[[#Headers],[PZAS]],PIRAMIDE21[#Headers],0)),1.2*M44)</f>
        <v>1.2</v>
      </c>
      <c r="B48" s="487" t="s">
        <v>446</v>
      </c>
      <c r="C48" s="488">
        <f>INDEX(TARIFARIO!$A$42:$C$57,MATCH('PRES PLANAS'!B48,TARIFARIO!$B$42:$B$57,0),MATCH('PRES PLANAS'!$C$37,TARIFARIO!$A$41:$C$41,0))</f>
        <v>59</v>
      </c>
      <c r="D48" s="488">
        <f t="shared" si="2"/>
        <v>70.8</v>
      </c>
      <c r="E48" s="448"/>
      <c r="F48" s="448"/>
      <c r="G48" s="499" t="s">
        <v>422</v>
      </c>
      <c r="H48" s="500">
        <v>463794.94</v>
      </c>
      <c r="I48" s="501">
        <f>H48*2.5%</f>
        <v>11594.873500000002</v>
      </c>
      <c r="J48" s="502"/>
    </row>
    <row r="49" spans="1:17">
      <c r="A49" s="486">
        <f>INDEX(PIRAMIDE21[],MATCH('PRES PLANAS'!B49,PIRAMIDE21[MATERIAL / ACCESORIO],0),MATCH(PIRAMIDE21[[#Headers],[PZAS]],PIRAMIDE21[#Headers],0))</f>
        <v>1.2</v>
      </c>
      <c r="B49" s="503" t="s">
        <v>1364</v>
      </c>
      <c r="C49" s="488">
        <f>INDEX(TARIFARIO!$A$42:$C$57,MATCH('PRES PLANAS'!B49,TARIFARIO!$B$42:$B$57,0),MATCH('PRES PLANAS'!$C$37,TARIFARIO!$A$41:$C$41,0))</f>
        <v>172.072</v>
      </c>
      <c r="D49" s="488">
        <f t="shared" si="2"/>
        <v>206.4864</v>
      </c>
      <c r="E49" s="448"/>
      <c r="F49" s="448"/>
      <c r="G49" s="448"/>
      <c r="H49" s="448"/>
      <c r="I49" s="448"/>
      <c r="J49" s="502"/>
    </row>
    <row r="50" spans="1:17">
      <c r="A50" s="486">
        <f>INDEX(PIRAMIDE21[],MATCH('PRES PLANAS'!B50,PIRAMIDE21[MATERIAL / ACCESORIO],0),MATCH(PIRAMIDE21[[#Headers],[PZAS]],PIRAMIDE21[#Headers],0))</f>
        <v>1.2</v>
      </c>
      <c r="B50" s="487" t="s">
        <v>447</v>
      </c>
      <c r="C50" s="488">
        <f>INDEX(TARIFARIO!$A$42:$C$57,MATCH('PRES PLANAS'!B50,TARIFARIO!$B$42:$B$57,0),MATCH('PRES PLANAS'!$C$37,TARIFARIO!$A$41:$C$41,0))</f>
        <v>67.462000000000003</v>
      </c>
      <c r="D50" s="488">
        <f t="shared" si="2"/>
        <v>80.954400000000007</v>
      </c>
      <c r="E50" s="448"/>
      <c r="F50" s="551" t="s">
        <v>432</v>
      </c>
      <c r="G50" s="551"/>
      <c r="H50" s="551"/>
      <c r="I50" s="551"/>
    </row>
    <row r="51" spans="1:17">
      <c r="A51" s="486">
        <f>INDEX(PIRAMIDE21[],MATCH('PRES PLANAS'!B51,PIRAMIDE21[MATERIAL / ACCESORIO],0),MATCH(PIRAMIDE21[[#Headers],[PZAS]],PIRAMIDE21[#Headers],0))</f>
        <v>2.2000000000000002</v>
      </c>
      <c r="B51" s="487" t="s">
        <v>1376</v>
      </c>
      <c r="C51" s="488">
        <f>INDEX(TARIFARIO!$A$42:$C$57,MATCH('PRES PLANAS'!B51,TARIFARIO!$B$42:$B$57,0),MATCH('PRES PLANAS'!$C$37,TARIFARIO!$A$41:$C$41,0))</f>
        <v>43</v>
      </c>
      <c r="D51" s="488">
        <f t="shared" si="2"/>
        <v>94.600000000000009</v>
      </c>
      <c r="E51" s="448"/>
      <c r="F51" s="504">
        <v>1</v>
      </c>
      <c r="G51" s="493" t="s">
        <v>161</v>
      </c>
      <c r="H51" s="495">
        <f>INDEX(MANODEOBRA[],MATCH('PRES PLANAS'!G51,MANODEOBRA[MANO DE OBRA],0),MATCH(MANODEOBRA[[#Headers],[IMPORTE]],MANODEOBRA[#Headers],0))</f>
        <v>3000</v>
      </c>
      <c r="I51" s="495">
        <f t="shared" ref="I51:I56" si="3">F51*H51</f>
        <v>3000</v>
      </c>
    </row>
    <row r="52" spans="1:17">
      <c r="A52" s="486">
        <f>INDEX(PIRAMIDE21[],MATCH('PRES PLANAS'!B52,PIRAMIDE21[MATERIAL / ACCESORIO],0),MATCH(PIRAMIDE21[[#Headers],[PZAS]],PIRAMIDE21[#Headers],0))</f>
        <v>1.2</v>
      </c>
      <c r="B52" s="487" t="s">
        <v>1299</v>
      </c>
      <c r="C52" s="488">
        <f>INDEX(TARIFARIO!$A$42:$C$57,MATCH('PRES PLANAS'!B52,TARIFARIO!$B$42:$B$57,0),MATCH('PRES PLANAS'!$C$37,TARIFARIO!$A$41:$C$41,0))</f>
        <v>203.40600000000001</v>
      </c>
      <c r="D52" s="488">
        <f t="shared" si="2"/>
        <v>244.0872</v>
      </c>
      <c r="E52" s="448"/>
      <c r="F52" s="504">
        <v>1.5</v>
      </c>
      <c r="G52" s="493" t="s">
        <v>65</v>
      </c>
      <c r="H52" s="495">
        <f>INDEX(MANODEOBRA[],MATCH('PRES PLANAS'!G52,MANODEOBRA[MANO DE OBRA],0),MATCH(MANODEOBRA[[#Headers],[IMPORTE]],MANODEOBRA[#Headers],0))</f>
        <v>15000</v>
      </c>
      <c r="I52" s="495">
        <f>F52*H52</f>
        <v>22500</v>
      </c>
    </row>
    <row r="53" spans="1:17">
      <c r="A53" s="486">
        <f>INDEX(PIRAMIDE21[],MATCH('PRES PLANAS'!B53,PIRAMIDE21[MATERIAL / ACCESORIO],0),MATCH(PIRAMIDE21[[#Headers],[PZAS]],PIRAMIDE21[#Headers],0))</f>
        <v>2.1</v>
      </c>
      <c r="B53" s="487" t="s">
        <v>1366</v>
      </c>
      <c r="C53" s="488">
        <f>INDEX(TARIFARIO!$A$42:$C$57,MATCH('PRES PLANAS'!B53,TARIFARIO!$B$42:$B$57,0),MATCH('PRES PLANAS'!$C$37,TARIFARIO!$A$41:$C$41,0))</f>
        <v>116.39</v>
      </c>
      <c r="D53" s="488">
        <f t="shared" si="2"/>
        <v>244.41900000000001</v>
      </c>
      <c r="E53" s="448"/>
      <c r="F53" s="504">
        <v>1</v>
      </c>
      <c r="G53" s="493" t="s">
        <v>162</v>
      </c>
      <c r="H53" s="495">
        <f>INDEX(MANODEOBRA[],MATCH('PRES PLANAS'!G53,MANODEOBRA[MANO DE OBRA],0),MATCH(MANODEOBRA[[#Headers],[IMPORTE]],MANODEOBRA[#Headers],0))</f>
        <v>5000</v>
      </c>
      <c r="I53" s="495">
        <f t="shared" si="3"/>
        <v>5000</v>
      </c>
    </row>
    <row r="54" spans="1:17">
      <c r="A54" s="486">
        <f>INDEX(PIRAMIDE21[],MATCH('PRES PLANAS'!B54,PIRAMIDE21[MATERIAL / ACCESORIO],0),MATCH(PIRAMIDE21[[#Headers],[PZAS]],PIRAMIDE21[#Headers],0))</f>
        <v>1.2</v>
      </c>
      <c r="B54" s="487" t="s">
        <v>448</v>
      </c>
      <c r="C54" s="488">
        <f>INDEX(TARIFARIO!$A$42:$C$57,MATCH('PRES PLANAS'!B54,TARIFARIO!$B$42:$B$57,0),MATCH('PRES PLANAS'!$C$37,TARIFARIO!$A$41:$C$41,0))</f>
        <v>183.4</v>
      </c>
      <c r="D54" s="488">
        <f t="shared" si="2"/>
        <v>220.08</v>
      </c>
      <c r="E54" s="448"/>
      <c r="F54" s="504">
        <v>1</v>
      </c>
      <c r="G54" s="493" t="s">
        <v>177</v>
      </c>
      <c r="H54" s="495">
        <f>INDEX(MANODEOBRA[],MATCH('PRES PLANAS'!G54,MANODEOBRA[MANO DE OBRA],0),MATCH(MANODEOBRA[[#Headers],[IMPORTE]],MANODEOBRA[#Headers],0))</f>
        <v>1500</v>
      </c>
      <c r="I54" s="495">
        <f t="shared" si="3"/>
        <v>1500</v>
      </c>
    </row>
    <row r="55" spans="1:17">
      <c r="A55" s="486" t="str">
        <f>IFERROR(INDEX(PIRAMIDE21[],MATCH('PRES PLANAS'!B55,PIRAMIDE21[MATERIAL / ACCESORIO],0),MATCH(PIRAMIDE21[[#Headers],[PZAS]],PIRAMIDE21[#Headers],0)),"")</f>
        <v/>
      </c>
      <c r="B55" s="505" t="str">
        <f>IF(G37="SIN REDILAS","",TARIFARIO!B50)</f>
        <v/>
      </c>
      <c r="C55" s="488" t="str">
        <f>IFERROR(INDEX(TARIFARIO!$A$42:$C$57,MATCH('PRES PLANAS'!B55,TARIFARIO!$B$42:$B$57,0),MATCH('PRES PLANAS'!$C$37,TARIFARIO!$A$41:$C$41,0)),"")</f>
        <v/>
      </c>
      <c r="D55" s="488" t="str">
        <f>IFERROR(C55*A55,"")</f>
        <v/>
      </c>
      <c r="E55" s="448"/>
      <c r="F55" s="504">
        <v>1</v>
      </c>
      <c r="G55" s="493" t="s">
        <v>163</v>
      </c>
      <c r="H55" s="495">
        <f>INDEX(MANODEOBRA[],MATCH('PRES PLANAS'!G55,MANODEOBRA[MANO DE OBRA],0),MATCH(MANODEOBRA[[#Headers],[IMPORTE]],MANODEOBRA[#Headers],0))</f>
        <v>30000</v>
      </c>
      <c r="I55" s="495">
        <f t="shared" si="3"/>
        <v>30000</v>
      </c>
    </row>
    <row r="56" spans="1:17">
      <c r="A56" s="448"/>
      <c r="B56" s="448"/>
      <c r="C56" s="506" t="s">
        <v>84</v>
      </c>
      <c r="D56" s="507">
        <f>SUM(D38:D55)</f>
        <v>67904.420599999998</v>
      </c>
      <c r="E56" s="448"/>
      <c r="F56" s="504">
        <v>12</v>
      </c>
      <c r="G56" s="493" t="s">
        <v>164</v>
      </c>
      <c r="H56" s="495">
        <f>INDEX(MANODEOBRA[],MATCH('PRES PLANAS'!G56,MANODEOBRA[MANO DE OBRA],0),MATCH(MANODEOBRA[[#Headers],[IMPORTE]],MANODEOBRA[#Headers],0))</f>
        <v>50</v>
      </c>
      <c r="I56" s="495">
        <f t="shared" si="3"/>
        <v>600</v>
      </c>
      <c r="J56" s="443">
        <v>1</v>
      </c>
      <c r="K56" s="443">
        <v>0</v>
      </c>
      <c r="L56" s="443">
        <v>0</v>
      </c>
    </row>
    <row r="57" spans="1:17">
      <c r="A57" s="448"/>
      <c r="B57" s="448"/>
      <c r="C57" s="448"/>
      <c r="D57" s="448"/>
      <c r="E57" s="448"/>
      <c r="F57" s="448"/>
      <c r="H57" s="508" t="s">
        <v>84</v>
      </c>
      <c r="I57" s="509">
        <f>SUM(I51:I56)</f>
        <v>62600</v>
      </c>
    </row>
    <row r="58" spans="1:17">
      <c r="A58" s="556" t="s">
        <v>89</v>
      </c>
      <c r="B58" s="556"/>
      <c r="C58" s="556"/>
      <c r="D58" s="556"/>
      <c r="E58" s="448"/>
      <c r="F58" s="448"/>
      <c r="H58" s="458"/>
      <c r="I58" s="510"/>
    </row>
    <row r="59" spans="1:17">
      <c r="A59" s="448" t="s">
        <v>50</v>
      </c>
      <c r="B59" s="511" t="s">
        <v>77</v>
      </c>
      <c r="C59" s="511" t="s">
        <v>408</v>
      </c>
      <c r="D59" s="511" t="s">
        <v>2</v>
      </c>
      <c r="F59" s="437">
        <v>1</v>
      </c>
      <c r="G59" s="437" t="str">
        <f>"PINTURA"&amp;" Y MANO DE OBRA "</f>
        <v xml:space="preserve">PINTURA Y MANO DE OBRA </v>
      </c>
      <c r="H59" s="438">
        <v>18000</v>
      </c>
      <c r="I59" s="438">
        <v>18000</v>
      </c>
    </row>
    <row r="60" spans="1:17">
      <c r="A60" s="512">
        <f>INDEX(Tabla63[],MATCH('PRES PLANAS'!B60,Tabla63[MATERIAL / ACCESORIO],0),MATCH('BASE DAT PLANAS'!$A$1,Tabla63[#Headers],0))</f>
        <v>38</v>
      </c>
      <c r="B60" s="512" t="s">
        <v>189</v>
      </c>
      <c r="C60" s="513">
        <f>INDEX(Tabla36[],MATCH('PRES PLANAS'!B60,Tabla36[MATERIAL / ACCESORIO],0),MATCH('PRES PLANAS'!$C$59,Tabla36[#Headers],0))</f>
        <v>577</v>
      </c>
      <c r="D60" s="513">
        <f>C60*A60</f>
        <v>21926</v>
      </c>
      <c r="E60" s="448"/>
      <c r="F60" s="448"/>
      <c r="G60" s="443" t="str">
        <f>"COLOR: "&amp;eQUIPAMIENTO!W41</f>
        <v xml:space="preserve">COLOR:  </v>
      </c>
      <c r="H60" s="458"/>
      <c r="I60" s="510"/>
      <c r="N60" s="457"/>
    </row>
    <row r="61" spans="1:17">
      <c r="A61" s="512">
        <f>INDEX(Tabla63[],MATCH('PRES PLANAS'!B61,Tabla63[MATERIAL / ACCESORIO],0),MATCH('BASE DAT PLANAS'!$A$1,Tabla63[#Headers],0))</f>
        <v>1</v>
      </c>
      <c r="B61" s="512" t="s">
        <v>190</v>
      </c>
      <c r="C61" s="513">
        <f>INDEX(Tabla36[],MATCH('PRES PLANAS'!B61,Tabla36[MATERIAL / ACCESORIO],0),MATCH('PRES PLANAS'!$C$59,Tabla36[#Headers],0))</f>
        <v>1409.3999999999999</v>
      </c>
      <c r="D61" s="513">
        <f t="shared" ref="D61:D66" si="4">C61*A61</f>
        <v>1409.3999999999999</v>
      </c>
      <c r="E61" s="448"/>
      <c r="F61" s="514"/>
      <c r="G61" s="492" t="s">
        <v>429</v>
      </c>
      <c r="H61" s="492" t="s">
        <v>408</v>
      </c>
      <c r="I61" s="492" t="s">
        <v>2</v>
      </c>
      <c r="N61" s="457"/>
      <c r="Q61" s="443">
        <f>38596.49*1.16</f>
        <v>44771.928399999997</v>
      </c>
    </row>
    <row r="62" spans="1:17">
      <c r="A62" s="512">
        <f>INDEX(Tabla63[],MATCH('PRES PLANAS'!B62,Tabla63[MATERIAL / ACCESORIO],0),MATCH('BASE DAT PLANAS'!$A$1,Tabla63[#Headers],0))</f>
        <v>0.5</v>
      </c>
      <c r="B62" s="512" t="s">
        <v>46</v>
      </c>
      <c r="C62" s="513">
        <f>INDEX(Tabla36[],MATCH('PRES PLANAS'!B62,Tabla36[MATERIAL / ACCESORIO],0),MATCH('PRES PLANAS'!$C$59,Tabla36[#Headers],0))</f>
        <v>2436</v>
      </c>
      <c r="D62" s="513">
        <f t="shared" si="4"/>
        <v>1218</v>
      </c>
      <c r="E62" s="448"/>
      <c r="F62" s="515" t="str">
        <f>IF(eQUIPAMIENTO!V33="","0",eQUIPAMIENTO!V33)</f>
        <v>1</v>
      </c>
      <c r="G62" s="516" t="str" cm="1">
        <f t="array" ref="G62">INDEX(Tabla53[ADICIONALES],TARIFARIO!A202)</f>
        <v>CANASTILLA</v>
      </c>
      <c r="H62" s="495">
        <f>IFERROR(INDEX(Tabla53[],MATCH('PRES PLANAS'!G62,Tabla53[ADICIONALES],0),MATCH('PRES PLANAS'!$H$61,Tabla53[#Headers],0)),"$")</f>
        <v>8000</v>
      </c>
      <c r="I62" s="494">
        <f t="shared" ref="I62:I67" si="5">F62*H62</f>
        <v>8000</v>
      </c>
    </row>
    <row r="63" spans="1:17">
      <c r="A63" s="512">
        <f>INDEX(Tabla63[],MATCH('PRES PLANAS'!B63,Tabla63[MATERIAL / ACCESORIO],0),MATCH('BASE DAT PLANAS'!$A$1,Tabla63[#Headers],0))</f>
        <v>1</v>
      </c>
      <c r="B63" s="512" t="s">
        <v>449</v>
      </c>
      <c r="C63" s="513">
        <f>INDEX(Tabla36[],MATCH('PRES PLANAS'!B63,Tabla36[MATERIAL / ACCESORIO],0),MATCH('PRES PLANAS'!$C$59,Tabla36[#Headers],0))</f>
        <v>927.99999999999989</v>
      </c>
      <c r="D63" s="513">
        <f t="shared" si="4"/>
        <v>927.99999999999989</v>
      </c>
      <c r="E63" s="448"/>
      <c r="F63" s="515" t="str">
        <f>IF(eQUIPAMIENTO!V34="","0",eQUIPAMIENTO!V34)</f>
        <v>1</v>
      </c>
      <c r="G63" s="517" t="str" cm="1">
        <f t="array" ref="G63">INDEX(Tabla53[ADICIONALES],TARIFARIO!A204)</f>
        <v>BICiCLETERA</v>
      </c>
      <c r="H63" s="495">
        <f>IFERROR(INDEX(Tabla53[],MATCH('PRES PLANAS'!G63,Tabla53[ADICIONALES],0),MATCH('PRES PLANAS'!$H$61,Tabla53[#Headers],0)),"$")</f>
        <v>5000</v>
      </c>
      <c r="I63" s="494">
        <f t="shared" si="5"/>
        <v>5000</v>
      </c>
    </row>
    <row r="64" spans="1:17">
      <c r="A64" s="512">
        <f>INDEX(Tabla63[],MATCH('PRES PLANAS'!B64,Tabla63[MATERIAL / ACCESORIO],0),MATCH('BASE DAT PLANAS'!$A$1,Tabla63[#Headers],0))</f>
        <v>2</v>
      </c>
      <c r="B64" s="512" t="s">
        <v>48</v>
      </c>
      <c r="C64" s="513">
        <f>INDEX(Tabla36[],MATCH('PRES PLANAS'!B64,Tabla36[MATERIAL / ACCESORIO],0),MATCH('PRES PLANAS'!$C$59,Tabla36[#Headers],0))</f>
        <v>1081.1199999999999</v>
      </c>
      <c r="D64" s="513">
        <f t="shared" si="4"/>
        <v>2162.2399999999998</v>
      </c>
      <c r="E64" s="448"/>
      <c r="F64" s="515" t="str">
        <f>IF(eQUIPAMIENTO!V35="","0",eQUIPAMIENTO!V35)</f>
        <v>16</v>
      </c>
      <c r="G64" s="517" t="str" cm="1">
        <f t="array" ref="G64">INDEX(Tabla53[ADICIONALES],TARIFARIO!A205)</f>
        <v>PLAFONES DE CARRITO ROJOS P/ESTRIBO</v>
      </c>
      <c r="H64" s="495">
        <f>IFERROR(INDEX(Tabla53[],MATCH('PRES PLANAS'!G64,Tabla53[ADICIONALES],0),MATCH('PRES PLANAS'!$H$61,Tabla53[#Headers],0)),"$")</f>
        <v>168.2</v>
      </c>
      <c r="I64" s="494">
        <f t="shared" si="5"/>
        <v>2691.2</v>
      </c>
    </row>
    <row r="65" spans="1:12">
      <c r="A65" s="512">
        <f>INDEX(Tabla63[],MATCH('PRES PLANAS'!B65,Tabla63[MATERIAL / ACCESORIO],0),MATCH('BASE DAT PLANAS'!$A$1,Tabla63[#Headers],0))</f>
        <v>2</v>
      </c>
      <c r="B65" s="512" t="str" cm="1">
        <f t="array" ref="B65">INDEX(SUSPENSIÓN[MATERIAL / ACCESORIO],TARIFARIO!A80)</f>
        <v>SUSPENSIÓN ALTA HENDRICKSON</v>
      </c>
      <c r="C65" s="513">
        <f>INDEX(SUSPENSIÓN[],MATCH('PRES PLANAS'!B65,SUSPENSIÓN[MATERIAL / ACCESORIO],0),MATCH('PRES PLANAS'!C59,SUSPENSIÓN[#Headers],0))</f>
        <v>43700</v>
      </c>
      <c r="D65" s="513">
        <f t="shared" si="4"/>
        <v>87400</v>
      </c>
      <c r="E65" s="448"/>
      <c r="F65" s="515" t="str">
        <f>IF(eQUIPAMIENTO!V36="","0",eQUIPAMIENTO!V36)</f>
        <v>20</v>
      </c>
      <c r="G65" s="518" t="str" cm="1">
        <f t="array" ref="G65">INDEX(Tabla53[ADICIONALES],TARIFARIO!A206)</f>
        <v>PLAFONES DE CARRITO AMBAR LATERALES</v>
      </c>
      <c r="H65" s="519">
        <f>IFERROR(INDEX(Tabla53[],MATCH('PRES PLANAS'!G65,Tabla53[ADICIONALES],0),MATCH('PRES PLANAS'!$H$61,Tabla53[#Headers],0)),"$")</f>
        <v>168.2</v>
      </c>
      <c r="I65" s="520">
        <f t="shared" si="5"/>
        <v>3364</v>
      </c>
    </row>
    <row r="66" spans="1:12">
      <c r="A66" s="521">
        <v>2</v>
      </c>
      <c r="B66" s="521" t="str" cm="1">
        <f t="array" ref="B66">INDEX(Tabla39[MATERIAL / ACCESORIO],TARIFARIO!A89)</f>
        <v>EJES FLEET MASTER</v>
      </c>
      <c r="C66" s="522">
        <f>INDEX(Tabla39[],MATCH('PRES PLANAS'!B66,Tabla39[MATERIAL / ACCESORIO],0),MATCH('PRES PLANAS'!C59,Tabla39[#Headers],0))</f>
        <v>20099.990000000002</v>
      </c>
      <c r="D66" s="522">
        <f t="shared" si="4"/>
        <v>40199.980000000003</v>
      </c>
      <c r="E66" s="448"/>
      <c r="F66" s="515" t="str">
        <f>IF(eQUIPAMIENTO!V37="","0",eQUIPAMIENTO!V37)</f>
        <v>0</v>
      </c>
      <c r="G66" s="517" t="str" cm="1">
        <f t="array" ref="G66">INDEX(Tabla53[ADICIONALES],TARIFARIO!A207)</f>
        <v xml:space="preserve"> </v>
      </c>
      <c r="H66" s="495">
        <f>IFERROR(INDEX(Tabla53[],MATCH('PRES PLANAS'!G66,Tabla53[ADICIONALES],0),MATCH('PRES PLANAS'!$H$61,Tabla53[#Headers],0)),"$")</f>
        <v>0</v>
      </c>
      <c r="I66" s="494">
        <f t="shared" si="5"/>
        <v>0</v>
      </c>
    </row>
    <row r="67" spans="1:12">
      <c r="A67" s="523" cm="1">
        <f t="array" ref="A67">INDEX(PATINES[CANTIDAD],'DATOS DE EQUIPAMIENTO'!I8)</f>
        <v>2</v>
      </c>
      <c r="B67" s="512" t="str" cm="1">
        <f t="array" ref="B67">INDEX(Tabla40[MATERIAL / ACCESORIO],TARIFARIO!A94)</f>
        <v>PATÍN HJ</v>
      </c>
      <c r="C67" s="513">
        <f>INDEX(Tabla40[],MATCH('PRES PLANAS'!B67,Tabla40[MATERIAL / ACCESORIO],0),MATCH('PRES PLANAS'!$C$59,Tabla40[#Headers],0))</f>
        <v>5798.81</v>
      </c>
      <c r="D67" s="513">
        <f>C67*A67</f>
        <v>11597.62</v>
      </c>
      <c r="E67" s="448"/>
      <c r="F67" s="515" t="str">
        <f>IF(eQUIPAMIENTO!V38="","0",eQUIPAMIENTO!V38)</f>
        <v>0</v>
      </c>
      <c r="G67" s="517" t="str" cm="1">
        <f t="array" ref="G67">INDEX(Tabla53[ADICIONALES],TARIFARIO!A208)</f>
        <v xml:space="preserve"> </v>
      </c>
      <c r="H67" s="495">
        <f>IFERROR(INDEX(Tabla53[],MATCH('PRES PLANAS'!G67,Tabla53[ADICIONALES],0),MATCH('PRES PLANAS'!$H$61,Tabla53[#Headers],0)),"$")</f>
        <v>0</v>
      </c>
      <c r="I67" s="494">
        <f t="shared" si="5"/>
        <v>0</v>
      </c>
    </row>
    <row r="68" spans="1:12">
      <c r="A68" s="523" cm="1">
        <f t="array" ref="A68">INDEX(PATINES[CANTIDAD],'DATOS DE EQUIPAMIENTO'!I7)</f>
        <v>0</v>
      </c>
      <c r="B68" s="512" cm="1">
        <f t="array" ref="B68">INDEX(Tabla40[MATERIAL / ACCESORIO],TARIFARIO!A95)</f>
        <v>0</v>
      </c>
      <c r="C68" s="513">
        <v>1</v>
      </c>
      <c r="D68" s="524">
        <f>C68*A68</f>
        <v>0</v>
      </c>
      <c r="E68" s="448"/>
      <c r="F68" s="448"/>
      <c r="G68" s="197">
        <f>D34+D56+D71+I26+I32+I39+I46+I48+I68+I57</f>
        <v>545856.70409999997</v>
      </c>
      <c r="H68" s="497" t="s">
        <v>84</v>
      </c>
      <c r="I68" s="498">
        <f>SUM(I62:I67)</f>
        <v>19055.2</v>
      </c>
    </row>
    <row r="69" spans="1:12">
      <c r="A69" s="525" t="str">
        <f>eQUIPAMIENTO!X12</f>
        <v>10</v>
      </c>
      <c r="B69" s="512" t="str" cm="1">
        <f t="array" ref="B69">INDEX(TARIFARIO!B69:B71,TARIFARIO!A69)</f>
        <v>MATRACA CORREDIZA</v>
      </c>
      <c r="C69" s="513">
        <f>INDEX(Tabla36[],MATCH('PRES PLANAS'!B69,Tabla36[MATERIAL / ACCESORIO],0),MATCH('PRES PLANAS'!$C$59,Tabla36[#Headers],0))</f>
        <v>307.39999999999998</v>
      </c>
      <c r="D69" s="513">
        <f>IFERROR(C69*A69,"$")</f>
        <v>3074</v>
      </c>
      <c r="E69" s="448"/>
      <c r="F69" s="448"/>
      <c r="G69" s="448"/>
      <c r="H69" s="448"/>
      <c r="I69" s="448"/>
    </row>
    <row r="70" spans="1:12" ht="15.6">
      <c r="A70" s="512">
        <v>1</v>
      </c>
      <c r="B70" s="512" t="str">
        <f>IF('BASE DAT PLANAS'!C1=2,TARIFARIO!B75,TARIFARIO!B76)</f>
        <v>KIT DE ABS Y CONEXIONES 2 EJES</v>
      </c>
      <c r="C70" s="513">
        <f>INDEX(ABS[],MATCH('PRES PLANAS'!B70,ABS[MATERIAL / ACCESORIO],0),MATCH('PRES PLANAS'!$C$59,ABS[#Headers],0))</f>
        <v>23000</v>
      </c>
      <c r="D70" s="513">
        <f>C70*A70</f>
        <v>23000</v>
      </c>
      <c r="E70" s="448"/>
      <c r="F70" s="448"/>
      <c r="G70" s="526" t="s">
        <v>499</v>
      </c>
      <c r="H70" s="548">
        <f>G68*I2</f>
        <v>545856.70409999997</v>
      </c>
      <c r="I70" s="548"/>
      <c r="L70" s="527"/>
    </row>
    <row r="71" spans="1:12" ht="15.6">
      <c r="A71" s="448"/>
      <c r="B71" s="448"/>
      <c r="C71" s="528" t="s">
        <v>84</v>
      </c>
      <c r="D71" s="529">
        <f>SUM(D60:D70)</f>
        <v>192915.24</v>
      </c>
      <c r="E71" s="448"/>
      <c r="G71" s="526" t="s">
        <v>500</v>
      </c>
      <c r="H71" s="550">
        <f>H70+110000</f>
        <v>655856.70409999997</v>
      </c>
      <c r="I71" s="550"/>
    </row>
    <row r="72" spans="1:12">
      <c r="A72" s="448"/>
      <c r="B72" s="448"/>
      <c r="C72" s="448"/>
      <c r="D72" s="448"/>
      <c r="I72" s="527"/>
      <c r="J72" s="502"/>
    </row>
    <row r="73" spans="1:12">
      <c r="A73" s="448"/>
      <c r="B73" s="448"/>
      <c r="C73" s="448"/>
      <c r="D73" s="448"/>
    </row>
  </sheetData>
  <mergeCells count="11">
    <mergeCell ref="F34:G34"/>
    <mergeCell ref="H70:I70"/>
    <mergeCell ref="A4:I6"/>
    <mergeCell ref="H71:I71"/>
    <mergeCell ref="F50:I50"/>
    <mergeCell ref="A36:D36"/>
    <mergeCell ref="A8:D8"/>
    <mergeCell ref="A58:D58"/>
    <mergeCell ref="F8:I8"/>
    <mergeCell ref="F28:I28"/>
    <mergeCell ref="F41:I41"/>
  </mergeCells>
  <printOptions verticalCentered="1"/>
  <pageMargins left="0.7" right="0.7" top="0.75" bottom="0.75" header="0.3" footer="0.3"/>
  <pageSetup scale="65" orientation="portrait" r:id="rId1"/>
  <headerFooter>
    <oddHeader>&amp;C&amp;G</oddHeader>
  </headerFooter>
  <drawing r:id="rId2"/>
  <legacyDrawing r:id="rId3"/>
  <legacyDrawingHF r:id="rId4"/>
  <controls>
    <mc:AlternateContent xmlns:mc="http://schemas.openxmlformats.org/markup-compatibility/2006">
      <mc:Choice Requires="x14">
        <control shapeId="55298" r:id="rId5" name="PRESPLANAS">
          <controlPr defaultSize="0" autoLine="0" r:id="rId6">
            <anchor moveWithCells="1">
              <from>
                <xdr:col>11</xdr:col>
                <xdr:colOff>0</xdr:colOff>
                <xdr:row>1</xdr:row>
                <xdr:rowOff>7620</xdr:rowOff>
              </from>
              <to>
                <xdr:col>12</xdr:col>
                <xdr:colOff>769620</xdr:colOff>
                <xdr:row>3</xdr:row>
                <xdr:rowOff>45720</xdr:rowOff>
              </to>
            </anchor>
          </controlPr>
        </control>
      </mc:Choice>
      <mc:Fallback>
        <control shapeId="55298" r:id="rId5" name="PRESPLANAS"/>
      </mc:Fallback>
    </mc:AlternateContent>
    <mc:AlternateContent xmlns:mc="http://schemas.openxmlformats.org/markup-compatibility/2006">
      <mc:Choice Requires="x14">
        <control shapeId="55299" r:id="rId7" name="BOTNPDFPRESUPUESTOPLANAS">
          <controlPr defaultSize="0" autoLine="0" r:id="rId8">
            <anchor moveWithCells="1">
              <from>
                <xdr:col>11</xdr:col>
                <xdr:colOff>144780</xdr:colOff>
                <xdr:row>4</xdr:row>
                <xdr:rowOff>83820</xdr:rowOff>
              </from>
              <to>
                <xdr:col>12</xdr:col>
                <xdr:colOff>533400</xdr:colOff>
                <xdr:row>6</xdr:row>
                <xdr:rowOff>68580</xdr:rowOff>
              </to>
            </anchor>
          </controlPr>
        </control>
      </mc:Choice>
      <mc:Fallback>
        <control shapeId="55299" r:id="rId7" name="BOTNPDFPRESUPUESTOPLANAS"/>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14E59-D3C6-4B0B-A7A9-38E5173E5834}">
  <sheetPr codeName="Hoja14">
    <pageSetUpPr fitToPage="1"/>
  </sheetPr>
  <dimension ref="A1:M185"/>
  <sheetViews>
    <sheetView showGridLines="0" showWhiteSpace="0" zoomScaleNormal="100" zoomScalePageLayoutView="91" workbookViewId="0">
      <pane xSplit="11" ySplit="8" topLeftCell="L12" activePane="bottomRight" state="frozen"/>
      <selection pane="topRight" activeCell="L1" sqref="L1"/>
      <selection pane="bottomLeft" activeCell="A9" sqref="A9"/>
      <selection pane="bottomRight" activeCell="I12" sqref="I12"/>
    </sheetView>
  </sheetViews>
  <sheetFormatPr baseColWidth="10" defaultRowHeight="14.4"/>
  <cols>
    <col min="1" max="1" width="8.5546875" customWidth="1"/>
    <col min="2" max="2" width="9.88671875" customWidth="1"/>
    <col min="3" max="3" width="6.109375" customWidth="1"/>
    <col min="5" max="5" width="10.109375" customWidth="1"/>
    <col min="6" max="6" width="7.44140625" customWidth="1"/>
    <col min="7" max="7" width="11.44140625" customWidth="1"/>
    <col min="8" max="8" width="11.109375" customWidth="1"/>
    <col min="9" max="9" width="14.5546875" customWidth="1"/>
    <col min="10" max="10" width="9" customWidth="1"/>
    <col min="11" max="11" width="9.88671875" customWidth="1"/>
  </cols>
  <sheetData>
    <row r="1" spans="1:11">
      <c r="K1" s="35" t="str">
        <f>_xlfn.CONCAT("COTIZACION"," ",B12," ",I12)</f>
        <v>COTIZACION TRANSPORTES DYDE FOL-20-09-23-02</v>
      </c>
    </row>
    <row r="9" spans="1:11" ht="15.6">
      <c r="A9" s="152"/>
      <c r="B9" s="8"/>
      <c r="C9" s="8"/>
      <c r="D9" s="8"/>
      <c r="E9" s="8"/>
      <c r="F9" s="224" t="s">
        <v>111</v>
      </c>
      <c r="G9" s="8"/>
      <c r="H9" s="570">
        <f ca="1">TODAY()</f>
        <v>46287</v>
      </c>
      <c r="I9" s="570"/>
      <c r="J9" s="570"/>
      <c r="K9" s="570"/>
    </row>
    <row r="10" spans="1:11" ht="15.6">
      <c r="A10" t="str">
        <f>INDEX('FORM PLANAS'!$B$8:$Y$798,MATCH(COTIZACION!I12,'FORM PLANAS'!$B$8:$B$798,0),MATCH('FORM PLANAS'!$D$7,'FORM PLANAS'!$B$7:$Y$7,0))</f>
        <v>PLATAFORMA 2 40 FT</v>
      </c>
      <c r="B10" s="8"/>
      <c r="C10" s="8"/>
      <c r="D10" s="8"/>
      <c r="E10" s="8"/>
      <c r="F10" s="8"/>
      <c r="G10" s="8"/>
      <c r="H10" s="8"/>
      <c r="I10" s="8"/>
      <c r="J10" s="8"/>
    </row>
    <row r="11" spans="1:11" ht="15.6">
      <c r="A11" s="8" t="s">
        <v>1</v>
      </c>
      <c r="C11" s="8"/>
      <c r="D11" s="225" t="s">
        <v>112</v>
      </c>
      <c r="E11" s="8"/>
      <c r="F11" s="8"/>
      <c r="G11" s="8"/>
      <c r="H11" s="8"/>
      <c r="I11" s="571" t="s">
        <v>109</v>
      </c>
      <c r="J11" s="571"/>
      <c r="K11" s="8"/>
    </row>
    <row r="12" spans="1:11" ht="15.6">
      <c r="A12" s="224" t="s">
        <v>113</v>
      </c>
      <c r="B12" s="562" t="str">
        <f>INDEX('FORM PLANAS'!B8:Y798,MATCH(COTIZACION!I12,'FORM PLANAS'!B8:B798,0),MATCH(COTIZACION!A11,'FORM PLANAS'!B7:Y7,0))</f>
        <v>TRANSPORTES DYDE</v>
      </c>
      <c r="C12" s="563"/>
      <c r="D12" s="563"/>
      <c r="E12" s="563"/>
      <c r="F12" s="563"/>
      <c r="G12" s="8"/>
      <c r="H12" s="8"/>
      <c r="I12" s="281" t="s">
        <v>1032</v>
      </c>
      <c r="J12" s="281"/>
      <c r="K12" s="8"/>
    </row>
    <row r="13" spans="1:11" ht="15.6">
      <c r="A13" s="8"/>
      <c r="B13" s="8"/>
      <c r="C13" s="8"/>
      <c r="D13" s="8"/>
      <c r="E13" s="8"/>
      <c r="F13" s="8"/>
      <c r="G13" s="8"/>
      <c r="H13" s="8"/>
      <c r="I13" s="8"/>
      <c r="J13" s="8"/>
      <c r="K13" s="8"/>
    </row>
    <row r="14" spans="1:11" ht="15.6">
      <c r="A14" s="224" t="s">
        <v>114</v>
      </c>
      <c r="B14" s="8"/>
      <c r="C14" s="8"/>
      <c r="D14" s="8"/>
      <c r="E14" s="8"/>
      <c r="F14" s="8"/>
      <c r="G14" s="8"/>
      <c r="H14" s="8"/>
      <c r="I14" s="8"/>
      <c r="J14" s="8"/>
      <c r="K14" s="8"/>
    </row>
    <row r="15" spans="1:11" ht="15.6">
      <c r="A15" s="8"/>
      <c r="B15" s="8"/>
      <c r="C15" s="8"/>
      <c r="D15" s="8"/>
      <c r="E15" s="226" t="s">
        <v>115</v>
      </c>
      <c r="F15" s="8"/>
      <c r="G15" s="8"/>
      <c r="H15" s="8"/>
      <c r="I15" s="8"/>
      <c r="J15" s="8"/>
      <c r="K15" s="8"/>
    </row>
    <row r="16" spans="1:11" ht="15" customHeight="1">
      <c r="A16" s="564" t="str">
        <f>INDEX('FORM PLANAS'!$B$8:$Y$798,MATCH(COTIZACION!I12,'FORM PLANAS'!$B$8:$B$798,0),MATCH('FORM PLANAS'!$Y$7,'FORM PLANAS'!$B$7:$Y$7,0))</f>
        <v>SEMIREMOLQUE TIPO: PLATAFORMA 40 FT 2 EJES, CON SUSPENSIÓN FLEET MASTER, EJES FLEET MASTER, 2 PAR PATIN AMPRO, PISO DE PLÁSTICO,  CON RIEL, 10 MATRACA CORREDIZA, GANCHO HOLLAND, BURRO A 1.20 M, REDILAS DE 80 CM, 1 SISTEMA RETRÁCTIL,  SIN RINES,  SIN LLANTAS, 20 PLAFONES AMBAR, 16 PLAFONES ROJO, 1 JALON, DOBLE SOLERA PARTRE TRASERA (COLITA)</v>
      </c>
      <c r="B16" s="565"/>
      <c r="C16" s="565"/>
      <c r="D16" s="565"/>
      <c r="E16" s="565"/>
      <c r="F16" s="565"/>
      <c r="G16" s="565"/>
      <c r="H16" s="565"/>
      <c r="I16" s="565"/>
      <c r="J16" s="565"/>
      <c r="K16" s="565"/>
    </row>
    <row r="17" spans="1:11">
      <c r="A17" s="565"/>
      <c r="B17" s="565"/>
      <c r="C17" s="565"/>
      <c r="D17" s="565"/>
      <c r="E17" s="565"/>
      <c r="F17" s="565"/>
      <c r="G17" s="565"/>
      <c r="H17" s="565"/>
      <c r="I17" s="565"/>
      <c r="J17" s="565"/>
      <c r="K17" s="565"/>
    </row>
    <row r="18" spans="1:11">
      <c r="A18" s="565"/>
      <c r="B18" s="565"/>
      <c r="C18" s="565"/>
      <c r="D18" s="565"/>
      <c r="E18" s="565"/>
      <c r="F18" s="565"/>
      <c r="G18" s="565"/>
      <c r="H18" s="565"/>
      <c r="I18" s="565"/>
      <c r="J18" s="565"/>
      <c r="K18" s="565"/>
    </row>
    <row r="19" spans="1:11" ht="15.6">
      <c r="A19" s="8"/>
      <c r="B19" s="8"/>
      <c r="C19" s="8"/>
      <c r="D19" s="8"/>
      <c r="E19" s="8"/>
      <c r="F19" s="8"/>
      <c r="G19" s="8"/>
      <c r="H19" s="8"/>
      <c r="I19" s="8"/>
      <c r="J19" s="8"/>
      <c r="K19" s="8"/>
    </row>
    <row r="20" spans="1:11" ht="15.6">
      <c r="A20" s="8"/>
      <c r="B20" s="8"/>
      <c r="C20" s="8"/>
      <c r="D20" s="8"/>
      <c r="E20" s="8"/>
      <c r="F20" s="8"/>
      <c r="G20" s="8"/>
      <c r="H20" s="8"/>
      <c r="I20" s="8"/>
      <c r="J20" s="8"/>
      <c r="K20" s="8"/>
    </row>
    <row r="21" spans="1:11" ht="15.6">
      <c r="A21" s="8"/>
      <c r="B21" s="8"/>
      <c r="C21" s="8"/>
      <c r="D21" s="8"/>
      <c r="E21" s="8"/>
      <c r="F21" s="8"/>
      <c r="G21" s="8"/>
      <c r="H21" s="8"/>
      <c r="I21" s="8"/>
      <c r="J21" s="8"/>
      <c r="K21" s="8"/>
    </row>
    <row r="22" spans="1:11" ht="15.6">
      <c r="A22" s="8"/>
      <c r="B22" s="8"/>
      <c r="C22" s="8"/>
      <c r="D22" s="8"/>
      <c r="E22" s="8"/>
      <c r="F22" s="8"/>
      <c r="G22" s="8"/>
      <c r="H22" s="8"/>
      <c r="I22" s="8"/>
      <c r="J22" s="8"/>
      <c r="K22" s="8"/>
    </row>
    <row r="23" spans="1:11" ht="15.6">
      <c r="A23" s="8"/>
      <c r="B23" s="8"/>
      <c r="C23" s="8"/>
      <c r="D23" s="8"/>
      <c r="E23" s="8"/>
      <c r="F23" s="8"/>
      <c r="G23" s="8"/>
      <c r="H23" s="8"/>
      <c r="I23" s="8"/>
      <c r="J23" s="8"/>
      <c r="K23" s="8"/>
    </row>
    <row r="24" spans="1:11" ht="15.6">
      <c r="A24" s="8"/>
      <c r="B24" s="8"/>
      <c r="C24" s="8"/>
      <c r="D24" s="8"/>
      <c r="E24" s="8"/>
      <c r="F24" s="8"/>
      <c r="G24" s="8"/>
      <c r="H24" s="8"/>
      <c r="I24" s="8"/>
      <c r="J24" s="8"/>
      <c r="K24" s="8"/>
    </row>
    <row r="25" spans="1:11" ht="15.6">
      <c r="A25" s="8"/>
      <c r="B25" s="8"/>
      <c r="C25" s="8"/>
      <c r="D25" s="8"/>
      <c r="E25" s="8"/>
      <c r="F25" s="8"/>
      <c r="G25" s="8"/>
      <c r="H25" s="8"/>
      <c r="I25" s="8"/>
      <c r="J25" s="8"/>
      <c r="K25" s="8"/>
    </row>
    <row r="26" spans="1:11" ht="15.6">
      <c r="A26" s="8"/>
      <c r="B26" s="8"/>
      <c r="C26" s="8"/>
      <c r="D26" s="8"/>
      <c r="E26" s="8"/>
      <c r="F26" s="8"/>
      <c r="G26" s="8"/>
      <c r="H26" s="8"/>
      <c r="I26" s="8"/>
      <c r="J26" s="8"/>
      <c r="K26" s="8"/>
    </row>
    <row r="27" spans="1:11" ht="15.6">
      <c r="A27" s="8"/>
      <c r="B27" s="8"/>
      <c r="C27" s="8"/>
      <c r="D27" s="8"/>
      <c r="E27" s="8"/>
      <c r="F27" s="8"/>
      <c r="G27" s="8"/>
      <c r="H27" s="8"/>
      <c r="I27" s="8"/>
      <c r="J27" s="8"/>
      <c r="K27" s="8"/>
    </row>
    <row r="28" spans="1:11" ht="15.6">
      <c r="A28" s="8"/>
      <c r="B28" s="8"/>
      <c r="C28" s="8"/>
      <c r="D28" s="8"/>
      <c r="E28" s="8"/>
      <c r="F28" s="8"/>
      <c r="G28" s="8"/>
      <c r="H28" s="8"/>
      <c r="I28" s="8"/>
      <c r="J28" s="8"/>
      <c r="K28" s="8"/>
    </row>
    <row r="29" spans="1:11" ht="15.6">
      <c r="A29" s="8"/>
      <c r="B29" s="8"/>
      <c r="C29" s="8"/>
      <c r="D29" s="8"/>
      <c r="E29" s="8"/>
      <c r="F29" s="8"/>
      <c r="G29" s="8"/>
      <c r="H29" s="8"/>
      <c r="I29" s="8"/>
      <c r="J29" s="8"/>
      <c r="K29" s="8"/>
    </row>
    <row r="30" spans="1:11" ht="15.6">
      <c r="A30" s="8"/>
      <c r="B30" s="8"/>
      <c r="C30" s="8"/>
      <c r="D30" s="8"/>
      <c r="E30" s="8"/>
      <c r="F30" s="8"/>
      <c r="G30" s="8"/>
      <c r="H30" s="8"/>
      <c r="I30" s="8"/>
      <c r="J30" s="8"/>
      <c r="K30" s="8"/>
    </row>
    <row r="31" spans="1:11" ht="15.6">
      <c r="A31" s="8"/>
      <c r="B31" s="8"/>
      <c r="C31" s="8"/>
      <c r="D31" s="8"/>
      <c r="E31" s="8"/>
      <c r="F31" s="8"/>
      <c r="G31" s="8"/>
      <c r="H31" s="8"/>
      <c r="I31" s="8"/>
      <c r="J31" s="8"/>
      <c r="K31" s="8"/>
    </row>
    <row r="32" spans="1:11" ht="15.6">
      <c r="A32" s="8"/>
      <c r="B32" s="8"/>
      <c r="C32" s="8"/>
      <c r="D32" s="8"/>
      <c r="E32" s="8"/>
      <c r="F32" s="8"/>
      <c r="G32" s="8"/>
      <c r="H32" s="8"/>
      <c r="I32" s="8"/>
      <c r="J32" s="8"/>
      <c r="K32" s="8"/>
    </row>
    <row r="33" spans="1:11" ht="15.6">
      <c r="A33" s="8"/>
      <c r="B33" s="8"/>
      <c r="C33" s="8"/>
      <c r="D33" s="8"/>
      <c r="E33" s="8"/>
      <c r="F33" s="8"/>
      <c r="G33" s="8"/>
      <c r="H33" s="8"/>
      <c r="I33" s="8"/>
      <c r="J33" s="8"/>
      <c r="K33" s="8"/>
    </row>
    <row r="34" spans="1:11" ht="15.6">
      <c r="A34" s="8"/>
      <c r="B34" s="8"/>
      <c r="C34" s="8"/>
      <c r="D34" s="8"/>
      <c r="E34" s="8"/>
      <c r="F34" s="8"/>
      <c r="G34" s="8"/>
      <c r="H34" s="8"/>
      <c r="I34" s="8"/>
      <c r="J34" s="8"/>
      <c r="K34" s="8"/>
    </row>
    <row r="35" spans="1:11" ht="15.6">
      <c r="A35" s="8"/>
      <c r="B35" s="8"/>
      <c r="C35" s="8"/>
      <c r="D35" s="8"/>
      <c r="E35" s="8"/>
      <c r="F35" s="8"/>
      <c r="G35" s="8"/>
      <c r="H35" s="8"/>
      <c r="I35" s="8"/>
      <c r="J35" s="8"/>
      <c r="K35" s="8"/>
    </row>
    <row r="36" spans="1:11" ht="15.6">
      <c r="A36" s="8"/>
      <c r="B36" s="8"/>
      <c r="C36" s="8"/>
      <c r="D36" s="8"/>
      <c r="E36" s="8"/>
      <c r="F36" s="8"/>
      <c r="G36" s="8"/>
      <c r="H36" s="8"/>
      <c r="I36" s="8"/>
      <c r="J36" s="8"/>
      <c r="K36" s="8"/>
    </row>
    <row r="37" spans="1:11" ht="15.6">
      <c r="A37" s="8"/>
      <c r="B37" s="8"/>
      <c r="C37" s="8"/>
      <c r="D37" s="8"/>
      <c r="E37" s="8"/>
      <c r="F37" s="8"/>
      <c r="G37" s="8"/>
      <c r="H37" s="8"/>
      <c r="I37" s="8"/>
      <c r="J37" s="8"/>
      <c r="K37" s="8"/>
    </row>
    <row r="38" spans="1:11" ht="15.6">
      <c r="A38" s="8"/>
      <c r="B38" s="8"/>
      <c r="C38" s="8"/>
      <c r="D38" s="8"/>
      <c r="E38" s="8" t="s">
        <v>118</v>
      </c>
      <c r="F38" s="8"/>
      <c r="G38" s="8"/>
      <c r="H38" s="8"/>
      <c r="I38" s="8"/>
      <c r="J38" s="8"/>
      <c r="K38" s="8"/>
    </row>
    <row r="39" spans="1:11" ht="15" customHeight="1">
      <c r="A39" s="566" t="s">
        <v>515</v>
      </c>
      <c r="B39" s="566"/>
      <c r="C39" s="566"/>
      <c r="D39" s="566"/>
      <c r="E39" s="566"/>
      <c r="F39" s="566"/>
      <c r="G39" s="566"/>
      <c r="H39" s="566"/>
      <c r="I39" s="566"/>
      <c r="J39" s="566"/>
      <c r="K39" s="566"/>
    </row>
    <row r="40" spans="1:11">
      <c r="A40" s="566"/>
      <c r="B40" s="566"/>
      <c r="C40" s="566"/>
      <c r="D40" s="566"/>
      <c r="E40" s="566"/>
      <c r="F40" s="566"/>
      <c r="G40" s="566"/>
      <c r="H40" s="566"/>
      <c r="I40" s="566"/>
      <c r="J40" s="566"/>
      <c r="K40" s="566"/>
    </row>
    <row r="41" spans="1:11">
      <c r="A41" s="566"/>
      <c r="B41" s="566"/>
      <c r="C41" s="566"/>
      <c r="D41" s="566"/>
      <c r="E41" s="566"/>
      <c r="F41" s="566"/>
      <c r="G41" s="566"/>
      <c r="H41" s="566"/>
      <c r="I41" s="566"/>
      <c r="J41" s="566"/>
      <c r="K41" s="566"/>
    </row>
    <row r="42" spans="1:11" ht="15" customHeight="1">
      <c r="A42" s="566" t="s">
        <v>516</v>
      </c>
      <c r="B42" s="566"/>
      <c r="C42" s="566"/>
      <c r="D42" s="566"/>
      <c r="E42" s="566"/>
      <c r="F42" s="566"/>
      <c r="G42" s="566"/>
      <c r="H42" s="566"/>
      <c r="I42" s="566"/>
      <c r="J42" s="566"/>
      <c r="K42" s="566"/>
    </row>
    <row r="43" spans="1:11">
      <c r="A43" s="566"/>
      <c r="B43" s="566"/>
      <c r="C43" s="566"/>
      <c r="D43" s="566"/>
      <c r="E43" s="566"/>
      <c r="F43" s="566"/>
      <c r="G43" s="566"/>
      <c r="H43" s="566"/>
      <c r="I43" s="566"/>
      <c r="J43" s="566"/>
      <c r="K43" s="566"/>
    </row>
    <row r="44" spans="1:11" ht="15.6">
      <c r="A44" s="8"/>
      <c r="B44" s="8"/>
      <c r="C44" s="8"/>
      <c r="D44" s="8"/>
      <c r="E44" s="8"/>
      <c r="F44" s="8"/>
      <c r="G44" s="8"/>
      <c r="H44" s="8"/>
      <c r="I44" s="8"/>
      <c r="J44" s="8"/>
      <c r="K44" s="8"/>
    </row>
    <row r="45" spans="1:11" ht="15.6">
      <c r="A45" s="567" t="s">
        <v>119</v>
      </c>
      <c r="B45" s="567"/>
      <c r="C45" s="567"/>
      <c r="D45" s="567"/>
      <c r="E45" s="567"/>
      <c r="F45" s="567"/>
      <c r="G45" s="567"/>
      <c r="H45" s="567"/>
      <c r="I45" s="567"/>
      <c r="J45" s="567"/>
      <c r="K45" s="567"/>
    </row>
    <row r="46" spans="1:11" ht="15.6">
      <c r="A46" s="8"/>
      <c r="B46" s="8"/>
      <c r="C46" s="8"/>
      <c r="D46" s="8"/>
      <c r="E46" s="8"/>
      <c r="F46" s="8"/>
      <c r="G46" s="8"/>
      <c r="H46" s="8"/>
      <c r="I46" s="8"/>
      <c r="J46" s="8"/>
      <c r="K46" s="8"/>
    </row>
    <row r="47" spans="1:11" ht="15.6">
      <c r="A47" s="567" t="s">
        <v>117</v>
      </c>
      <c r="B47" s="567"/>
      <c r="C47" s="567"/>
      <c r="D47" s="567"/>
      <c r="E47" s="567"/>
      <c r="F47" s="567"/>
      <c r="G47" s="567"/>
      <c r="H47" s="567"/>
      <c r="I47" s="567"/>
      <c r="J47" s="567"/>
      <c r="K47" s="567"/>
    </row>
    <row r="48" spans="1:11" ht="15.6">
      <c r="A48" s="8"/>
      <c r="B48" s="8"/>
      <c r="C48" s="8"/>
      <c r="D48" s="8"/>
      <c r="E48" s="8"/>
      <c r="F48" s="8"/>
      <c r="G48" s="8"/>
      <c r="H48" s="8"/>
      <c r="I48" s="8"/>
      <c r="J48" s="8"/>
      <c r="K48" s="8"/>
    </row>
    <row r="49" spans="1:11" ht="15.6">
      <c r="A49" s="560" t="s">
        <v>120</v>
      </c>
      <c r="B49" s="560"/>
      <c r="C49" s="560"/>
      <c r="D49" s="560"/>
      <c r="E49" s="560"/>
      <c r="F49" s="560"/>
      <c r="G49" s="560"/>
      <c r="H49" s="560"/>
      <c r="I49" s="560"/>
      <c r="J49" s="560"/>
      <c r="K49" s="560"/>
    </row>
    <row r="50" spans="1:11" ht="15.6">
      <c r="A50" s="227"/>
      <c r="B50" s="227"/>
      <c r="C50" s="227"/>
      <c r="D50" s="227"/>
      <c r="E50" s="227"/>
      <c r="F50" s="227"/>
      <c r="G50" s="227"/>
      <c r="H50" s="227"/>
      <c r="I50" s="227"/>
      <c r="J50" s="227"/>
      <c r="K50" s="227"/>
    </row>
    <row r="51" spans="1:11" ht="15.6">
      <c r="A51" s="227"/>
      <c r="B51" s="227"/>
      <c r="C51" s="227"/>
      <c r="D51" s="227"/>
      <c r="E51" s="227"/>
      <c r="F51" s="227"/>
      <c r="G51" s="227"/>
      <c r="H51" s="227"/>
      <c r="I51" s="227"/>
      <c r="J51" s="227"/>
      <c r="K51" s="227"/>
    </row>
    <row r="52" spans="1:11" ht="15.6">
      <c r="A52" s="227"/>
      <c r="B52" s="227"/>
      <c r="C52" s="227"/>
      <c r="D52" s="227"/>
      <c r="E52" s="227"/>
      <c r="F52" s="227"/>
      <c r="G52" s="227"/>
      <c r="H52" s="227"/>
      <c r="I52" s="227"/>
      <c r="J52" s="227"/>
      <c r="K52" s="227"/>
    </row>
    <row r="53" spans="1:11" ht="15.6">
      <c r="A53" s="227"/>
      <c r="B53" s="227"/>
      <c r="C53" s="227"/>
      <c r="D53" s="227"/>
      <c r="E53" s="227"/>
      <c r="F53" s="227"/>
      <c r="G53" s="227"/>
      <c r="H53" s="227"/>
      <c r="I53" s="227"/>
      <c r="J53" s="227"/>
      <c r="K53" s="227"/>
    </row>
    <row r="54" spans="1:11" ht="15.6">
      <c r="A54" s="227"/>
      <c r="B54" s="227"/>
      <c r="C54" s="227"/>
      <c r="D54" s="227"/>
      <c r="E54" s="227"/>
      <c r="F54" s="227"/>
      <c r="G54" s="227"/>
      <c r="H54" s="227"/>
      <c r="I54" s="227"/>
      <c r="J54" s="227"/>
      <c r="K54" s="227"/>
    </row>
    <row r="55" spans="1:11" ht="15.6">
      <c r="A55" s="227"/>
      <c r="B55" s="227"/>
      <c r="C55" s="227"/>
      <c r="D55" s="227"/>
      <c r="E55" s="227"/>
      <c r="F55" s="227"/>
      <c r="G55" s="227"/>
      <c r="H55" s="227"/>
      <c r="I55" s="227"/>
      <c r="J55" s="227"/>
      <c r="K55" s="227"/>
    </row>
    <row r="56" spans="1:11" ht="15.6">
      <c r="A56" s="227"/>
      <c r="B56" s="227"/>
      <c r="C56" s="227"/>
      <c r="D56" s="227"/>
      <c r="E56" s="227"/>
      <c r="F56" s="227"/>
      <c r="G56" s="227"/>
      <c r="H56" s="227"/>
      <c r="I56" s="227"/>
      <c r="J56" s="227"/>
      <c r="K56" s="227"/>
    </row>
    <row r="57" spans="1:11" ht="15.6">
      <c r="A57" s="8"/>
      <c r="B57" s="8"/>
      <c r="C57" s="8"/>
      <c r="D57" s="8"/>
      <c r="E57" s="8"/>
      <c r="F57" s="8"/>
      <c r="G57" s="8"/>
      <c r="H57" s="8"/>
      <c r="I57" s="8"/>
      <c r="J57" s="8"/>
      <c r="K57" s="8"/>
    </row>
    <row r="58" spans="1:11" ht="15.6">
      <c r="A58" s="8"/>
      <c r="B58" s="8"/>
      <c r="C58" s="8"/>
      <c r="D58" s="8"/>
      <c r="E58" s="8"/>
      <c r="F58" s="8"/>
      <c r="G58" s="8"/>
      <c r="H58" s="8"/>
      <c r="I58" s="8"/>
      <c r="J58" s="8"/>
      <c r="K58" s="8"/>
    </row>
    <row r="59" spans="1:11" ht="15.6">
      <c r="A59" s="8"/>
      <c r="B59" s="8"/>
      <c r="C59" s="8"/>
      <c r="D59" s="8"/>
      <c r="E59" s="8"/>
      <c r="F59" s="8"/>
      <c r="G59" s="8"/>
      <c r="H59" s="8"/>
      <c r="I59" s="8"/>
      <c r="J59" s="8"/>
      <c r="K59" s="8"/>
    </row>
    <row r="60" spans="1:11" ht="15.6">
      <c r="A60" s="8"/>
      <c r="B60" s="8"/>
      <c r="C60" s="8"/>
      <c r="D60" s="8"/>
      <c r="E60" s="8"/>
      <c r="F60" s="8"/>
      <c r="G60" s="8"/>
      <c r="H60" s="8"/>
      <c r="I60" s="8"/>
      <c r="J60" s="8"/>
      <c r="K60" s="8"/>
    </row>
    <row r="61" spans="1:11" ht="15.6">
      <c r="A61" s="8"/>
      <c r="B61" s="8"/>
      <c r="C61" s="8"/>
      <c r="D61" s="8"/>
      <c r="E61" s="8"/>
      <c r="F61" s="8"/>
      <c r="G61" s="8"/>
      <c r="H61" s="8"/>
      <c r="I61" s="8"/>
      <c r="J61" s="8"/>
      <c r="K61" s="8"/>
    </row>
    <row r="62" spans="1:11" ht="15.6">
      <c r="A62" s="8"/>
      <c r="B62" s="8"/>
      <c r="C62" s="8"/>
      <c r="D62" s="8"/>
      <c r="E62" s="8"/>
      <c r="F62" s="8"/>
      <c r="G62" s="8"/>
      <c r="H62" s="8"/>
      <c r="I62" s="8"/>
      <c r="J62" s="8"/>
      <c r="K62" s="8"/>
    </row>
    <row r="63" spans="1:11" ht="15.6">
      <c r="A63" s="8"/>
      <c r="B63" s="8"/>
      <c r="C63" s="8"/>
      <c r="D63" s="8"/>
      <c r="E63" s="8"/>
      <c r="F63" s="8"/>
      <c r="G63" s="8"/>
      <c r="H63" s="8"/>
      <c r="I63" s="8"/>
      <c r="J63" s="8"/>
      <c r="K63" s="8"/>
    </row>
    <row r="64" spans="1:11" ht="15.6">
      <c r="A64" s="8"/>
      <c r="B64" s="8"/>
      <c r="C64" s="8"/>
      <c r="D64" s="8"/>
      <c r="E64" s="8"/>
      <c r="F64" s="8"/>
      <c r="G64" s="8"/>
      <c r="H64" s="8"/>
      <c r="I64" s="8"/>
      <c r="J64" s="8"/>
      <c r="K64" s="8"/>
    </row>
    <row r="65" spans="1:11" ht="15.6">
      <c r="A65" s="8"/>
      <c r="B65" s="8"/>
      <c r="C65" s="8"/>
      <c r="D65" s="8"/>
      <c r="E65" s="8"/>
      <c r="F65" s="8"/>
      <c r="G65" s="8"/>
      <c r="H65" s="8"/>
      <c r="I65" s="8"/>
      <c r="J65" s="8"/>
      <c r="K65" s="8"/>
    </row>
    <row r="66" spans="1:11" ht="15.6">
      <c r="A66" s="8"/>
      <c r="B66" s="8"/>
      <c r="C66" s="8"/>
      <c r="D66" s="8"/>
      <c r="E66" s="8"/>
      <c r="F66" s="8"/>
      <c r="G66" s="8"/>
      <c r="H66" s="8"/>
      <c r="I66" s="8"/>
      <c r="J66" s="8"/>
      <c r="K66" s="8"/>
    </row>
    <row r="67" spans="1:11" ht="15.6">
      <c r="A67" s="8"/>
      <c r="B67" s="8"/>
      <c r="C67" s="8"/>
      <c r="D67" s="8"/>
      <c r="E67" s="8"/>
      <c r="F67" s="8"/>
      <c r="G67" s="8"/>
      <c r="H67" s="8"/>
      <c r="I67" s="8"/>
      <c r="J67" s="8"/>
      <c r="K67" s="8"/>
    </row>
    <row r="68" spans="1:11" ht="15.6">
      <c r="A68" s="8"/>
      <c r="B68" s="8"/>
      <c r="C68" s="8"/>
      <c r="D68" s="8"/>
      <c r="E68" s="8"/>
      <c r="F68" s="8"/>
      <c r="G68" s="8"/>
      <c r="H68" s="8"/>
      <c r="I68" s="8"/>
      <c r="J68" s="8"/>
      <c r="K68" s="8"/>
    </row>
    <row r="69" spans="1:11" ht="15.6">
      <c r="A69" s="8"/>
      <c r="B69" s="8"/>
      <c r="C69" s="8"/>
      <c r="D69" s="8"/>
      <c r="E69" s="8"/>
      <c r="F69" s="8"/>
      <c r="G69" s="8"/>
      <c r="H69" s="8"/>
      <c r="I69" s="8"/>
      <c r="J69" s="8"/>
      <c r="K69" s="8"/>
    </row>
    <row r="70" spans="1:11" ht="15.75" customHeight="1">
      <c r="A70" s="568" t="s">
        <v>519</v>
      </c>
      <c r="B70" s="568"/>
      <c r="C70" s="568"/>
      <c r="D70" s="568"/>
      <c r="E70" s="568"/>
      <c r="F70" s="568"/>
      <c r="G70" s="568"/>
      <c r="H70" s="568"/>
      <c r="I70" s="568"/>
      <c r="J70" s="568"/>
      <c r="K70" s="568"/>
    </row>
    <row r="71" spans="1:11" ht="15.75" customHeight="1">
      <c r="A71" s="568"/>
      <c r="B71" s="568"/>
      <c r="C71" s="568"/>
      <c r="D71" s="568"/>
      <c r="E71" s="568"/>
      <c r="F71" s="568"/>
      <c r="G71" s="568"/>
      <c r="H71" s="568"/>
      <c r="I71" s="568"/>
      <c r="J71" s="568"/>
      <c r="K71" s="568"/>
    </row>
    <row r="72" spans="1:11" ht="15.6">
      <c r="A72" s="8"/>
      <c r="B72" s="8"/>
      <c r="C72" s="8"/>
      <c r="D72" s="8"/>
      <c r="E72" s="8"/>
      <c r="F72" s="8"/>
      <c r="G72" s="8"/>
      <c r="H72" s="8"/>
      <c r="I72" s="8"/>
      <c r="J72" s="8"/>
      <c r="K72" s="8"/>
    </row>
    <row r="73" spans="1:11" ht="15.75" customHeight="1">
      <c r="A73" s="569" t="s">
        <v>520</v>
      </c>
      <c r="B73" s="569"/>
      <c r="C73" s="569"/>
      <c r="D73" s="569"/>
      <c r="E73" s="569"/>
      <c r="F73" s="569"/>
      <c r="G73" s="569"/>
      <c r="H73" s="569"/>
      <c r="I73" s="569"/>
      <c r="J73" s="569"/>
      <c r="K73" s="569"/>
    </row>
    <row r="74" spans="1:11" ht="15.75" customHeight="1">
      <c r="A74" s="569"/>
      <c r="B74" s="569"/>
      <c r="C74" s="569"/>
      <c r="D74" s="569"/>
      <c r="E74" s="569"/>
      <c r="F74" s="569"/>
      <c r="G74" s="569"/>
      <c r="H74" s="569"/>
      <c r="I74" s="569"/>
      <c r="J74" s="569"/>
      <c r="K74" s="569"/>
    </row>
    <row r="75" spans="1:11" ht="15.6">
      <c r="A75" s="8"/>
      <c r="B75" s="8"/>
      <c r="C75" s="8"/>
      <c r="D75" s="8"/>
      <c r="E75" s="8"/>
      <c r="F75" s="8"/>
      <c r="G75" s="8"/>
      <c r="H75" s="8"/>
      <c r="I75" s="8"/>
      <c r="J75" s="8"/>
      <c r="K75" s="8"/>
    </row>
    <row r="76" spans="1:11" ht="15.6">
      <c r="A76" s="568" t="s">
        <v>121</v>
      </c>
      <c r="B76" s="568"/>
      <c r="C76" s="568"/>
      <c r="D76" s="568"/>
      <c r="E76" s="568"/>
      <c r="F76" s="568"/>
      <c r="G76" s="568"/>
      <c r="H76" s="568"/>
      <c r="I76" s="568"/>
      <c r="J76" s="568"/>
      <c r="K76" s="568"/>
    </row>
    <row r="77" spans="1:11" ht="15.6">
      <c r="A77" s="8"/>
      <c r="B77" s="8"/>
      <c r="C77" s="8"/>
      <c r="D77" s="8"/>
      <c r="E77" s="8"/>
      <c r="F77" s="8"/>
      <c r="G77" s="8"/>
      <c r="H77" s="8"/>
      <c r="J77" s="8"/>
      <c r="K77" s="8"/>
    </row>
    <row r="78" spans="1:11" ht="15.6">
      <c r="A78" s="569" t="s">
        <v>122</v>
      </c>
      <c r="B78" s="569"/>
      <c r="C78" s="569"/>
      <c r="D78" s="569"/>
      <c r="E78" s="569"/>
      <c r="F78" s="569"/>
      <c r="G78" s="569"/>
      <c r="H78" s="569"/>
      <c r="I78" s="569"/>
      <c r="J78" s="569"/>
      <c r="K78" s="569"/>
    </row>
    <row r="79" spans="1:11" ht="15.6">
      <c r="A79" s="8"/>
      <c r="B79" s="8"/>
      <c r="C79" s="8"/>
      <c r="D79" s="8"/>
      <c r="E79" s="8"/>
      <c r="F79" s="8"/>
      <c r="G79" s="8"/>
      <c r="H79" s="8"/>
      <c r="I79" s="8"/>
      <c r="J79" s="8"/>
      <c r="K79" s="8"/>
    </row>
    <row r="80" spans="1:11" ht="15.6">
      <c r="A80" s="8"/>
      <c r="B80" s="8"/>
      <c r="C80" s="8"/>
      <c r="D80" s="8"/>
      <c r="E80" s="8"/>
      <c r="F80" s="152" t="str">
        <f>LOWER('PRES PLANAS'!B65)</f>
        <v>suspensión alta hendrickson</v>
      </c>
      <c r="G80" s="8"/>
      <c r="I80" s="8"/>
      <c r="J80" s="8"/>
      <c r="K80" s="8"/>
    </row>
    <row r="81" spans="1:11" ht="15.6">
      <c r="A81" s="8"/>
      <c r="B81" s="8"/>
      <c r="C81" s="8"/>
      <c r="D81" s="8"/>
      <c r="E81" s="8"/>
      <c r="F81" s="8" t="s">
        <v>124</v>
      </c>
      <c r="G81" s="8"/>
      <c r="H81" s="8"/>
      <c r="I81" s="8"/>
      <c r="J81" s="8"/>
      <c r="K81" s="8"/>
    </row>
    <row r="82" spans="1:11" ht="15.6">
      <c r="A82" s="560" t="str">
        <f>"Suspensión neumática HT300 marca"&amp;""&amp;MID(F80,11,50)</f>
        <v>Suspensión neumática HT300 marca alta hendrickson</v>
      </c>
      <c r="B82" s="560"/>
      <c r="C82" s="560"/>
      <c r="D82" s="560"/>
      <c r="E82" s="560"/>
      <c r="F82" s="560"/>
      <c r="G82" s="560"/>
      <c r="H82" s="560"/>
      <c r="I82" s="560"/>
      <c r="J82" s="560"/>
      <c r="K82" s="560"/>
    </row>
    <row r="83" spans="1:11" ht="15.6">
      <c r="A83" s="152" t="str">
        <f>INDEX(Tabla64[],MATCH(COTIZACION!I12,Tabla64[FOLIO],0),MATCH(Tabla64[[#Headers],[PRODUCTO]],Tabla64[#Headers],0))</f>
        <v>PLATAFORMA 2 40 FT</v>
      </c>
      <c r="B83" s="152">
        <f>INDEX(Tabla64[],MATCH(COTIZACION!I12,Tabla64[FOLIO],0),MATCH(Tabla64[[#Headers],[CANT/RETRACTIL]],Tabla64[#Headers],0))</f>
        <v>1</v>
      </c>
      <c r="C83" s="152" t="str" cm="1">
        <f t="array" ref="C83">IF(B83=1,"un",LOWER(NumLetras1(B83)))</f>
        <v>un</v>
      </c>
      <c r="D83" s="8"/>
      <c r="E83" s="8"/>
      <c r="F83" s="8"/>
      <c r="G83" s="8"/>
      <c r="H83" s="8"/>
      <c r="I83" s="8"/>
      <c r="J83" s="8"/>
      <c r="K83" s="8"/>
    </row>
    <row r="84" spans="1:11" ht="15.75" customHeight="1">
      <c r="A84" s="578" t="str" cm="1">
        <f t="array" ref="A84">"Ejes:"&amp;" "&amp;MID(A83,12,1)&amp;" "&amp;"piezas. Tubular redondo de 5” y espesor de 5/8” con capacidad de 30,000 libras. Con"&amp;" "&amp;IF(B83=1,"un",LOWER(NumLetras1(B83)))&amp;" "&amp;"eje(s) retractiles."</f>
        <v>Ejes: 2 piezas. Tubular redondo de 5” y espesor de 5/8” con capacidad de 30,000 libras. Con un eje(s) retractiles.</v>
      </c>
      <c r="B84" s="578"/>
      <c r="C84" s="578"/>
      <c r="D84" s="578"/>
      <c r="E84" s="578"/>
      <c r="F84" s="578"/>
      <c r="G84" s="578"/>
      <c r="H84" s="578"/>
      <c r="I84" s="578"/>
      <c r="J84" s="578"/>
      <c r="K84" s="578"/>
    </row>
    <row r="85" spans="1:11" ht="15.75" customHeight="1">
      <c r="A85" s="578"/>
      <c r="B85" s="578"/>
      <c r="C85" s="578"/>
      <c r="D85" s="578"/>
      <c r="E85" s="578"/>
      <c r="F85" s="578"/>
      <c r="G85" s="578"/>
      <c r="H85" s="578"/>
      <c r="I85" s="578"/>
      <c r="J85" s="578"/>
      <c r="K85" s="578"/>
    </row>
    <row r="86" spans="1:11" ht="15.6">
      <c r="A86" s="8"/>
      <c r="B86" s="8"/>
      <c r="C86" s="8"/>
      <c r="D86" s="8"/>
      <c r="E86" s="8"/>
      <c r="F86" s="8"/>
      <c r="G86" s="8"/>
      <c r="H86" s="8"/>
      <c r="I86" s="8"/>
      <c r="J86" s="8"/>
      <c r="K86" s="8"/>
    </row>
    <row r="87" spans="1:11" ht="15.75" customHeight="1">
      <c r="A87" s="566" t="s">
        <v>521</v>
      </c>
      <c r="B87" s="566"/>
      <c r="C87" s="566"/>
      <c r="D87" s="566"/>
      <c r="E87" s="566"/>
      <c r="F87" s="566"/>
      <c r="G87" s="566"/>
      <c r="H87" s="566"/>
      <c r="I87" s="566"/>
      <c r="J87" s="566"/>
      <c r="K87" s="566"/>
    </row>
    <row r="88" spans="1:11" ht="15.75" customHeight="1">
      <c r="A88" s="566"/>
      <c r="B88" s="566"/>
      <c r="C88" s="566"/>
      <c r="D88" s="566"/>
      <c r="E88" s="566"/>
      <c r="F88" s="566"/>
      <c r="G88" s="566"/>
      <c r="H88" s="566"/>
      <c r="I88" s="566"/>
      <c r="J88" s="566"/>
      <c r="K88" s="566"/>
    </row>
    <row r="89" spans="1:11" ht="15.6">
      <c r="A89" s="8"/>
      <c r="B89" s="8"/>
      <c r="C89" s="8"/>
      <c r="D89" s="8"/>
      <c r="E89" s="8"/>
      <c r="F89" s="8"/>
      <c r="G89" s="8"/>
      <c r="H89" s="8"/>
      <c r="I89" s="8"/>
      <c r="J89" s="8"/>
      <c r="K89" s="8"/>
    </row>
    <row r="90" spans="1:11" ht="15.6">
      <c r="A90" s="574" t="str">
        <f>"Patines:"&amp;" "&amp;eQUIPAMIENTO!X9&amp;""&amp;" "&amp;"juegos de patín mecánico 2 velocidades, con tirantes de ángulo de acero negro de 2”*2”. "</f>
        <v xml:space="preserve">Patines:  juegos de patín mecánico 2 velocidades, con tirantes de ángulo de acero negro de 2”*2”. </v>
      </c>
      <c r="B90" s="574"/>
      <c r="C90" s="574"/>
      <c r="D90" s="574"/>
      <c r="E90" s="574"/>
      <c r="F90" s="574"/>
      <c r="G90" s="574"/>
      <c r="H90" s="574"/>
      <c r="I90" s="574"/>
      <c r="J90" s="574"/>
      <c r="K90" s="574"/>
    </row>
    <row r="91" spans="1:11" ht="15.6">
      <c r="A91" s="8"/>
      <c r="B91" s="8"/>
      <c r="C91" s="8"/>
      <c r="D91" s="8"/>
      <c r="E91" s="8"/>
      <c r="F91" s="8"/>
      <c r="G91" s="8"/>
      <c r="H91" s="8"/>
      <c r="I91" s="8"/>
      <c r="J91" s="8"/>
      <c r="K91" s="8"/>
    </row>
    <row r="92" spans="1:11" ht="15.6">
      <c r="A92" s="8"/>
      <c r="B92" s="8"/>
      <c r="C92" s="8"/>
      <c r="D92" s="8"/>
      <c r="E92" s="8"/>
      <c r="F92" s="8"/>
      <c r="G92" s="8"/>
      <c r="H92" s="8"/>
      <c r="I92" s="8"/>
      <c r="J92" s="8"/>
      <c r="K92" s="8"/>
    </row>
    <row r="93" spans="1:11" ht="15.6">
      <c r="A93" s="8"/>
      <c r="B93" s="8"/>
      <c r="C93" s="8"/>
      <c r="D93" s="8"/>
      <c r="E93" s="229" t="s">
        <v>129</v>
      </c>
      <c r="F93" s="8"/>
      <c r="G93" s="8"/>
      <c r="H93" s="8"/>
      <c r="I93" s="8"/>
      <c r="J93" s="8"/>
      <c r="K93" s="8"/>
    </row>
    <row r="94" spans="1:11" ht="15.6">
      <c r="A94" s="230" t="s">
        <v>130</v>
      </c>
      <c r="B94" s="8"/>
      <c r="C94" s="8"/>
      <c r="D94" s="8"/>
      <c r="E94" s="8"/>
      <c r="F94" s="8"/>
      <c r="G94" s="8"/>
      <c r="H94" s="8"/>
      <c r="I94" s="8"/>
      <c r="J94" s="8"/>
      <c r="K94" s="8"/>
    </row>
    <row r="95" spans="1:11" ht="15.6">
      <c r="A95" s="8"/>
      <c r="B95" s="8"/>
      <c r="C95" s="8"/>
      <c r="D95" s="8"/>
      <c r="E95" s="8"/>
      <c r="F95" s="8"/>
      <c r="G95" s="8"/>
      <c r="H95" s="8"/>
      <c r="I95" s="8"/>
      <c r="J95" s="8"/>
      <c r="K95" s="8"/>
    </row>
    <row r="96" spans="1:11" ht="15.6">
      <c r="A96" s="228" t="s">
        <v>125</v>
      </c>
      <c r="B96" s="8"/>
      <c r="C96" s="8"/>
      <c r="D96" s="8"/>
      <c r="E96" s="8"/>
      <c r="F96" s="8"/>
      <c r="G96" s="8"/>
      <c r="H96" s="8"/>
      <c r="I96" s="8"/>
      <c r="J96" s="8"/>
      <c r="K96" s="8"/>
    </row>
    <row r="97" spans="1:11" ht="15.6">
      <c r="A97" s="8"/>
      <c r="B97" s="8"/>
      <c r="C97" s="8"/>
      <c r="D97" s="8"/>
      <c r="E97" s="8"/>
      <c r="F97" s="8"/>
      <c r="G97" s="8"/>
      <c r="H97" s="8"/>
      <c r="I97" s="8"/>
      <c r="J97" s="8"/>
      <c r="K97" s="8"/>
    </row>
    <row r="98" spans="1:11" ht="15.6">
      <c r="A98" s="225" t="s">
        <v>126</v>
      </c>
      <c r="B98" s="8"/>
      <c r="C98" s="8"/>
      <c r="D98" s="8"/>
      <c r="E98" s="8"/>
      <c r="F98" s="8"/>
      <c r="G98" s="8"/>
      <c r="H98" s="8"/>
      <c r="I98" s="8"/>
      <c r="J98" s="8"/>
      <c r="K98" s="8"/>
    </row>
    <row r="99" spans="1:11" ht="15.6">
      <c r="A99" s="8"/>
      <c r="B99" s="8"/>
      <c r="C99" s="8"/>
      <c r="D99" s="8"/>
      <c r="E99" s="8"/>
      <c r="F99" s="8"/>
      <c r="G99" s="8"/>
      <c r="H99" s="8"/>
      <c r="I99" s="8"/>
      <c r="J99" s="8"/>
      <c r="K99" s="8"/>
    </row>
    <row r="100" spans="1:11" ht="15.6">
      <c r="A100" s="225" t="s">
        <v>127</v>
      </c>
      <c r="B100" s="8"/>
      <c r="C100" s="8"/>
      <c r="D100" s="8"/>
      <c r="E100" s="8"/>
      <c r="F100" s="8"/>
      <c r="G100" s="8"/>
      <c r="H100" s="8"/>
      <c r="I100" s="8"/>
      <c r="J100" s="8"/>
      <c r="K100" s="8"/>
    </row>
    <row r="101" spans="1:11" ht="15.6">
      <c r="A101" s="8"/>
      <c r="B101" s="8"/>
      <c r="C101" s="8"/>
      <c r="D101" s="8"/>
      <c r="E101" s="8"/>
      <c r="F101" s="8"/>
      <c r="G101" s="8"/>
      <c r="H101" s="8"/>
      <c r="I101" s="8"/>
      <c r="J101" s="8"/>
      <c r="K101" s="8"/>
    </row>
    <row r="102" spans="1:11" ht="15.6">
      <c r="A102" s="8"/>
      <c r="B102" s="8"/>
      <c r="C102" s="8"/>
      <c r="D102" s="8"/>
      <c r="E102" s="8"/>
      <c r="F102" s="8"/>
      <c r="G102" s="8"/>
      <c r="H102" s="8"/>
      <c r="I102" s="8"/>
      <c r="J102" s="8"/>
      <c r="K102" s="8"/>
    </row>
    <row r="103" spans="1:11" ht="15.6">
      <c r="A103" s="8"/>
      <c r="B103" s="8"/>
      <c r="C103" s="8"/>
      <c r="D103" s="8"/>
      <c r="E103" s="229" t="s">
        <v>128</v>
      </c>
      <c r="F103" s="8"/>
      <c r="G103" s="8"/>
      <c r="H103" s="8"/>
      <c r="I103" s="8"/>
      <c r="J103" s="8"/>
      <c r="K103" s="8"/>
    </row>
    <row r="104" spans="1:11" ht="15.75" customHeight="1">
      <c r="A104" s="568" t="s">
        <v>522</v>
      </c>
      <c r="B104" s="568"/>
      <c r="C104" s="568"/>
      <c r="D104" s="568"/>
      <c r="E104" s="568"/>
      <c r="F104" s="568"/>
      <c r="G104" s="568"/>
      <c r="H104" s="568"/>
      <c r="I104" s="568"/>
      <c r="J104" s="568"/>
      <c r="K104" s="568"/>
    </row>
    <row r="105" spans="1:11" ht="15.75" customHeight="1">
      <c r="A105" s="568"/>
      <c r="B105" s="568"/>
      <c r="C105" s="568"/>
      <c r="D105" s="568"/>
      <c r="E105" s="568"/>
      <c r="F105" s="568"/>
      <c r="G105" s="568"/>
      <c r="H105" s="568"/>
      <c r="I105" s="568"/>
      <c r="J105" s="568"/>
      <c r="K105" s="568"/>
    </row>
    <row r="106" spans="1:11" ht="15.75" customHeight="1">
      <c r="A106" s="284"/>
      <c r="B106" s="284"/>
      <c r="C106" s="284"/>
      <c r="D106" s="284"/>
      <c r="E106" s="284"/>
      <c r="F106" s="284"/>
      <c r="G106" s="284"/>
      <c r="H106" s="284"/>
      <c r="I106" s="284"/>
      <c r="J106" s="284"/>
      <c r="K106" s="284"/>
    </row>
    <row r="107" spans="1:11" ht="15.6">
      <c r="A107" s="8"/>
      <c r="B107" s="8"/>
      <c r="C107" s="8"/>
      <c r="D107" s="8"/>
      <c r="E107" s="8"/>
      <c r="F107" s="8"/>
      <c r="G107" s="8"/>
      <c r="H107" s="8"/>
      <c r="I107" s="8"/>
      <c r="J107" s="8"/>
      <c r="K107" s="8"/>
    </row>
    <row r="108" spans="1:11" ht="15.6">
      <c r="A108" s="8"/>
      <c r="B108" s="8"/>
      <c r="C108" s="8"/>
      <c r="D108" s="8"/>
      <c r="E108" s="8"/>
      <c r="F108" s="8"/>
      <c r="G108" s="8"/>
      <c r="H108" s="8"/>
      <c r="I108" s="8"/>
      <c r="J108" s="8"/>
      <c r="K108" s="8"/>
    </row>
    <row r="109" spans="1:11" ht="15.6">
      <c r="A109" s="8"/>
      <c r="B109" s="8"/>
      <c r="C109" s="8"/>
      <c r="D109" s="8"/>
      <c r="E109" s="8"/>
      <c r="F109" s="8"/>
      <c r="G109" s="8"/>
      <c r="H109" s="8"/>
      <c r="I109" s="8"/>
      <c r="J109" s="8"/>
      <c r="K109" s="8"/>
    </row>
    <row r="110" spans="1:11" ht="15.6">
      <c r="A110" s="8"/>
      <c r="B110" s="8"/>
      <c r="C110" s="8"/>
      <c r="D110" s="8"/>
      <c r="E110" s="8"/>
      <c r="F110" s="8"/>
      <c r="G110" s="8"/>
      <c r="H110" s="8"/>
      <c r="I110" s="8"/>
      <c r="J110" s="8"/>
      <c r="K110" s="8"/>
    </row>
    <row r="111" spans="1:11" ht="15.6">
      <c r="A111" s="8"/>
      <c r="B111" s="8"/>
      <c r="C111" s="8"/>
      <c r="D111" s="8"/>
      <c r="E111" s="8"/>
      <c r="F111" s="8"/>
      <c r="G111" s="8"/>
      <c r="H111" s="8"/>
      <c r="I111" s="8"/>
      <c r="J111" s="8"/>
      <c r="K111" s="8"/>
    </row>
    <row r="112" spans="1:11" ht="15.6">
      <c r="A112" s="8"/>
      <c r="B112" s="8"/>
      <c r="C112" s="8"/>
      <c r="D112" s="8"/>
      <c r="E112" s="8"/>
      <c r="F112" s="8"/>
      <c r="G112" s="8"/>
      <c r="H112" s="8"/>
      <c r="I112" s="8"/>
      <c r="J112" s="8"/>
      <c r="K112" s="8"/>
    </row>
    <row r="113" spans="1:13" ht="15.6">
      <c r="A113" s="8"/>
      <c r="B113" s="8"/>
      <c r="C113" s="8"/>
      <c r="D113" s="8"/>
      <c r="E113" s="8"/>
      <c r="F113" s="8"/>
      <c r="G113" s="8"/>
      <c r="H113" s="8"/>
      <c r="I113" s="8"/>
      <c r="J113" s="8"/>
      <c r="K113" s="8"/>
    </row>
    <row r="114" spans="1:13" ht="15.6">
      <c r="A114" s="8"/>
      <c r="B114" s="8"/>
      <c r="C114" s="8"/>
      <c r="D114" s="8"/>
      <c r="E114" s="8"/>
      <c r="F114" s="8"/>
      <c r="G114" s="8"/>
      <c r="H114" s="8"/>
      <c r="I114" s="8"/>
      <c r="J114" s="8"/>
      <c r="K114" s="8"/>
    </row>
    <row r="115" spans="1:13" ht="15.6">
      <c r="A115" s="8"/>
      <c r="B115" s="8"/>
      <c r="C115" s="8"/>
      <c r="D115" s="8"/>
      <c r="E115" s="8"/>
      <c r="F115" s="8"/>
      <c r="G115" s="8"/>
      <c r="H115" s="8"/>
      <c r="I115" s="8"/>
      <c r="J115" s="8"/>
      <c r="K115" s="8"/>
    </row>
    <row r="116" spans="1:13" ht="15.6">
      <c r="B116" s="8"/>
      <c r="C116" s="8"/>
      <c r="D116" s="8"/>
      <c r="E116" s="8"/>
      <c r="F116" s="8"/>
      <c r="G116" s="8"/>
      <c r="H116" s="8"/>
      <c r="I116" s="8"/>
      <c r="J116" s="8"/>
      <c r="K116" s="8"/>
    </row>
    <row r="117" spans="1:13" ht="15.6">
      <c r="A117" s="275" t="s">
        <v>385</v>
      </c>
      <c r="B117" s="8"/>
      <c r="C117" s="8"/>
      <c r="D117" s="8"/>
      <c r="E117" s="8"/>
      <c r="F117" s="8"/>
      <c r="G117" s="231" t="s">
        <v>134</v>
      </c>
      <c r="H117" s="8"/>
      <c r="I117" s="8"/>
      <c r="J117" s="8"/>
      <c r="K117" s="8"/>
    </row>
    <row r="118" spans="1:13" ht="15.6">
      <c r="A118">
        <f>'PRES PLANAS'!A66</f>
        <v>2</v>
      </c>
      <c r="B118" s="8" t="str">
        <f>"• "&amp;INDEX(Tabla64[],MATCH(COTIZACION!I12,Tabla64[FOLIO],0),MATCH(Tabla64[[#Headers],[EJES]],Tabla64[#Headers],0))</f>
        <v>• EJES FLEET MASTER</v>
      </c>
      <c r="C118" s="8"/>
      <c r="E118" s="8"/>
      <c r="F118" s="8"/>
      <c r="G118" s="276" t="str">
        <f>IF(M123="• ","• SIN RIEL","")</f>
        <v/>
      </c>
      <c r="H118" s="8"/>
      <c r="I118" s="8"/>
      <c r="J118" s="8"/>
      <c r="K118" s="8"/>
    </row>
    <row r="119" spans="1:13" ht="15.6">
      <c r="A119">
        <f>'PRES PLANAS'!A65</f>
        <v>2</v>
      </c>
      <c r="B119" s="8" t="str">
        <f>"• "&amp;INDEX(Tabla64[],MATCH(COTIZACION!I12,Tabla64[FOLIO],0),MATCH(Tabla64[[#Headers],[SUSPENSION]],Tabla64[#Headers],0))</f>
        <v>• SUSPENSIÓN FLEET MASTER</v>
      </c>
      <c r="C119" s="8"/>
      <c r="D119" s="8"/>
      <c r="E119" s="8"/>
      <c r="F119" s="8"/>
      <c r="G119" s="276" t="str">
        <f>IF(M124="• ","• SIN GANCHO","")</f>
        <v/>
      </c>
      <c r="H119" s="8"/>
      <c r="I119" s="8"/>
      <c r="J119" s="8"/>
      <c r="K119" s="8"/>
    </row>
    <row r="120" spans="1:13" ht="15.6">
      <c r="A120" s="247">
        <f>'PRES PLANAS'!A67</f>
        <v>2</v>
      </c>
      <c r="B120" s="8" t="str">
        <f>"• "&amp;INDEX(Tabla64[],MATCH(COTIZACION!I12,Tabla64[FOLIO],0),MATCH(Tabla64[[#Headers],[PATINES]],Tabla64[#Headers],0))</f>
        <v>• PATIN AMPRO</v>
      </c>
      <c r="C120" s="8"/>
      <c r="D120" s="8"/>
      <c r="E120" s="8"/>
      <c r="F120" s="8"/>
      <c r="G120" s="276" t="str">
        <f>IF(M125="• ","• SIN FRENTE","")</f>
        <v/>
      </c>
      <c r="H120" s="8"/>
      <c r="I120" s="8"/>
      <c r="J120" s="8"/>
      <c r="K120" s="8"/>
    </row>
    <row r="121" spans="1:13" ht="15.6">
      <c r="A121">
        <f>'PRES PLANAS'!F31</f>
        <v>1</v>
      </c>
      <c r="B121" s="274" t="str">
        <f>"• "&amp;INDEX(Tabla64[],MATCH(COTIZACION!I12,Tabla64[FOLIO],0),MATCH(Tabla64[[#Headers],[PISO]],Tabla64[#Headers],0))</f>
        <v xml:space="preserve">• PISO DE PLÁSTICO, </v>
      </c>
      <c r="C121" s="8"/>
      <c r="D121" s="8"/>
      <c r="E121" s="8"/>
      <c r="F121" s="8"/>
      <c r="G121" s="276" t="str">
        <f>IF(M126="• ","• SIN REDILAS","")</f>
        <v/>
      </c>
      <c r="H121" s="8"/>
      <c r="I121" s="8"/>
      <c r="J121" s="8"/>
      <c r="K121" s="8"/>
    </row>
    <row r="122" spans="1:13" ht="15.6">
      <c r="A122" s="31" t="str">
        <f>'PRES PLANAS'!F62</f>
        <v>1</v>
      </c>
      <c r="B122" s="8" t="str">
        <f>"• "&amp;'PRES PLANAS'!G62</f>
        <v>• CANASTILLA</v>
      </c>
      <c r="C122" s="8"/>
      <c r="D122" s="8"/>
      <c r="E122" s="8"/>
      <c r="F122" s="8"/>
      <c r="G122" s="276" t="str">
        <f>IF(M127="• ","• SIN RETRACTIL","")</f>
        <v/>
      </c>
      <c r="H122" s="8"/>
      <c r="I122" s="8"/>
      <c r="J122" s="8"/>
      <c r="K122" s="8"/>
    </row>
    <row r="123" spans="1:13" ht="15.6">
      <c r="A123" s="31" t="str">
        <f>'PRES PLANAS'!F63</f>
        <v>1</v>
      </c>
      <c r="B123" s="8" t="str">
        <f>"• "&amp;'PRES PLANAS'!G63</f>
        <v>• BICiCLETERA</v>
      </c>
      <c r="C123" s="8"/>
      <c r="D123" s="8"/>
      <c r="E123" s="8"/>
      <c r="F123" s="8"/>
      <c r="G123" s="276" t="str">
        <f>IF(M128="• ","• SIN RINES","")</f>
        <v>• SIN RINES</v>
      </c>
      <c r="H123" s="8"/>
      <c r="I123" s="8"/>
      <c r="J123" s="8"/>
      <c r="K123" s="8"/>
      <c r="M123" s="285" t="str">
        <f>"• "&amp;IF(INDEX(Tabla64[],MATCH(COTIZACION!I12,Tabla64[FOLIO],0),MATCH(Tabla64[[#Headers],[RIEL]],Tabla64[#Headers],0))="SIN RIEL","",INDEX(Tabla64[],MATCH(COTIZACION!I12,Tabla64[FOLIO],0),MATCH(Tabla64[[#Headers],[RIEL]],Tabla64[#Headers],0)))</f>
        <v>• CON RIEL</v>
      </c>
    </row>
    <row r="124" spans="1:13" ht="15.6">
      <c r="A124" s="31" t="str">
        <f>'PRES PLANAS'!F64</f>
        <v>16</v>
      </c>
      <c r="B124" s="8" t="str">
        <f>"• "&amp;'PRES PLANAS'!G64</f>
        <v>• PLAFONES DE CARRITO ROJOS P/ESTRIBO</v>
      </c>
      <c r="C124" s="8"/>
      <c r="D124" s="8"/>
      <c r="E124" s="8"/>
      <c r="F124" s="8"/>
      <c r="G124" s="276" t="str">
        <f>IF(M129="• ","• SIN RINES","")</f>
        <v>• SIN RINES</v>
      </c>
      <c r="H124" s="8"/>
      <c r="J124" s="8"/>
      <c r="K124" s="8"/>
      <c r="M124" s="285" t="str">
        <f>"• "&amp;IF(INDEX(Tabla64[],MATCH(COTIZACION!I12,Tabla64[FOLIO],0),MATCH(Tabla64[[#Headers],[GANCHO]],Tabla64[#Headers],0))="SIN GANCHO","",INDEX(Tabla64[],MATCH(COTIZACION!I12,Tabla64[FOLIO],0),MATCH(Tabla64[[#Headers],[GANCHO]],Tabla64[#Headers],0)))</f>
        <v>• GANCHO HOLLAND</v>
      </c>
    </row>
    <row r="125" spans="1:13" ht="15.6">
      <c r="A125" s="31" t="str">
        <f>'PRES PLANAS'!F65</f>
        <v>20</v>
      </c>
      <c r="B125" s="8" t="str">
        <f>"• "&amp;'PRES PLANAS'!G65</f>
        <v>• PLAFONES DE CARRITO AMBAR LATERALES</v>
      </c>
      <c r="C125" s="8"/>
      <c r="D125" s="8"/>
      <c r="E125" s="8"/>
      <c r="F125" s="8"/>
      <c r="H125" s="8"/>
      <c r="J125" s="8"/>
      <c r="K125" s="8"/>
      <c r="M125" s="285" t="str">
        <f>"• "&amp;IF(INDEX(Tabla64[],MATCH(COTIZACION!I12,Tabla64[FOLIO],0),MATCH(Tabla64[[#Headers],[FRENTE]],Tabla64[#Headers],0))="SIN FRENTE","",INDEX(Tabla64[],MATCH(COTIZACION!I12,Tabla64[FOLIO],0),MATCH(Tabla64[[#Headers],[FRENTE]],Tabla64[#Headers],0)))</f>
        <v>• BURRO A 1.20 M</v>
      </c>
    </row>
    <row r="126" spans="1:13" ht="15.6">
      <c r="A126" s="31" t="str">
        <f>'PRES PLANAS'!F66</f>
        <v>0</v>
      </c>
      <c r="B126" s="8" t="str">
        <f>"• "&amp;'PRES PLANAS'!G66</f>
        <v xml:space="preserve">•  </v>
      </c>
      <c r="C126" s="8"/>
      <c r="D126" s="8"/>
      <c r="E126" s="8"/>
      <c r="F126" s="8"/>
      <c r="H126" s="8"/>
      <c r="J126" s="8"/>
      <c r="K126" s="8"/>
      <c r="M126" s="285" t="str">
        <f>"• "&amp;IF(INDEX(Tabla64[],MATCH(COTIZACION!I12,Tabla64[FOLIO],0),MATCH(Tabla64[[#Headers],[REDILAS]],Tabla64[#Headers],0))="SIN REDILAS","",INDEX(Tabla64[],MATCH(COTIZACION!I12,Tabla64[FOLIO],0),MATCH(Tabla64[[#Headers],[REDILAS]],Tabla64[#Headers],0)))</f>
        <v>• REDILAS DE 80 CM</v>
      </c>
    </row>
    <row r="127" spans="1:13" ht="15.6">
      <c r="A127" s="31" t="str">
        <f>'PRES PLANAS'!F67</f>
        <v>0</v>
      </c>
      <c r="B127" s="8" t="str">
        <f>"• "&amp;'PRES PLANAS'!G67</f>
        <v xml:space="preserve">•  </v>
      </c>
      <c r="C127" s="8"/>
      <c r="D127" s="8"/>
      <c r="E127" s="8"/>
      <c r="F127" s="8"/>
      <c r="H127" s="8"/>
      <c r="J127" s="8"/>
      <c r="K127" s="8"/>
      <c r="M127" s="285" t="str">
        <f>"• "&amp;IF(INDEX(Tabla64[],MATCH(COTIZACION!I12,Tabla64[FOLIO],0),MATCH(Tabla64[[#Headers],[RETRACTIL]],Tabla64[#Headers],0))="SIN SISTEMA RETRACTIL","",INDEX(Tabla64[],MATCH(COTIZACION!I12,Tabla64[FOLIO],0),MATCH(Tabla64[[#Headers],[RETRACTIL]],Tabla64[#Headers],0)))</f>
        <v>• SISTEMA RETRÁCTIL</v>
      </c>
    </row>
    <row r="128" spans="1:13" ht="15.6">
      <c r="B128" s="8"/>
      <c r="C128" s="8"/>
      <c r="D128" s="8"/>
      <c r="E128" s="8"/>
      <c r="F128" s="8"/>
      <c r="H128" s="8"/>
      <c r="J128" s="8"/>
      <c r="K128" s="8"/>
      <c r="M128" s="286" t="str">
        <f>"• "&amp;IF(INDEX(Tabla64[],MATCH(COTIZACION!I12,Tabla64[FOLIO],0),MATCH(Tabla64[[#Headers],[RINES]],Tabla64[#Headers],0))="SIN RINES","",INDEX(Tabla64[],MATCH(COTIZACION!I12,Tabla64[FOLIO],0),MATCH(Tabla64[[#Headers],[RINES]],Tabla64[#Headers],0)))</f>
        <v xml:space="preserve">• </v>
      </c>
    </row>
    <row r="129" spans="1:13" ht="15.6">
      <c r="C129" s="8"/>
      <c r="D129" s="8"/>
      <c r="E129" s="8"/>
      <c r="F129" s="8"/>
      <c r="H129" s="8"/>
      <c r="J129" s="8"/>
      <c r="K129" s="8"/>
      <c r="M129" s="286" t="str">
        <f>"• "&amp;IF(INDEX(Tabla64[],MATCH(COTIZACION!I12,Tabla64[FOLIO],0),MATCH(Tabla64[[#Headers],[LLANTAS]],Tabla64[#Headers],0))="SIN LLANTAS","",INDEX(Tabla64[],MATCH(COTIZACION!I12,Tabla64[FOLIO],0),MATCH(Tabla64[[#Headers],[LLANTAS]],Tabla64[#Headers],0)))</f>
        <v xml:space="preserve">• </v>
      </c>
    </row>
    <row r="130" spans="1:13" ht="15.6">
      <c r="C130" s="8"/>
      <c r="D130" s="8"/>
      <c r="E130" s="8"/>
      <c r="F130" s="8"/>
      <c r="G130" s="8"/>
      <c r="H130" s="8"/>
      <c r="J130" s="8"/>
      <c r="K130" s="8"/>
    </row>
    <row r="131" spans="1:13" ht="15.6">
      <c r="C131" s="8"/>
      <c r="D131" s="8"/>
      <c r="E131" s="8"/>
      <c r="F131" s="8"/>
      <c r="G131" s="8"/>
      <c r="H131" s="8"/>
      <c r="I131" s="8"/>
      <c r="J131" s="8"/>
      <c r="K131" s="8"/>
    </row>
    <row r="132" spans="1:13" ht="15.6">
      <c r="C132" s="8"/>
      <c r="D132" s="8"/>
      <c r="E132" s="8"/>
      <c r="F132" s="8"/>
      <c r="G132" s="8"/>
      <c r="H132" s="8"/>
      <c r="I132" s="8"/>
      <c r="J132" s="8"/>
      <c r="K132" s="8"/>
    </row>
    <row r="133" spans="1:13" ht="15.6">
      <c r="C133" s="8"/>
      <c r="D133" s="8"/>
      <c r="E133" s="8"/>
      <c r="F133" s="8"/>
      <c r="G133" s="8"/>
      <c r="H133" s="8"/>
      <c r="I133" s="8"/>
      <c r="J133" s="8"/>
      <c r="K133" s="8"/>
    </row>
    <row r="134" spans="1:13" ht="15.6">
      <c r="C134" s="8"/>
      <c r="D134" s="8"/>
      <c r="E134" s="8"/>
      <c r="F134" s="8"/>
      <c r="G134" s="8"/>
      <c r="H134" s="8"/>
      <c r="I134" s="8"/>
      <c r="J134" s="8"/>
      <c r="K134" s="8"/>
    </row>
    <row r="135" spans="1:13" ht="15.6">
      <c r="A135" s="8"/>
      <c r="B135" s="8"/>
      <c r="C135" s="8"/>
      <c r="D135" s="8"/>
      <c r="E135" s="573" t="s">
        <v>135</v>
      </c>
      <c r="F135" s="573"/>
      <c r="G135" s="573"/>
      <c r="H135" s="573"/>
      <c r="I135" s="32" t="str">
        <f>INDEX(Tabla64[],MATCH(COTIZACION!I12,Tabla64[FOLIO],0),MATCH(Tabla64[[#Headers],[CANTIDAD/PROD]],Tabla64[#Headers],0))</f>
        <v>1</v>
      </c>
      <c r="J135" s="32"/>
      <c r="K135" s="8"/>
    </row>
    <row r="136" spans="1:13" ht="15.6">
      <c r="A136" s="8"/>
      <c r="B136" s="8"/>
      <c r="C136" s="8"/>
      <c r="D136" s="8"/>
      <c r="E136" s="8"/>
      <c r="F136" s="8"/>
      <c r="G136" s="8"/>
      <c r="H136" s="31" t="s">
        <v>136</v>
      </c>
      <c r="I136" s="561">
        <v>568517</v>
      </c>
      <c r="J136" s="561"/>
      <c r="K136" s="8"/>
    </row>
    <row r="137" spans="1:13" ht="15.6">
      <c r="A137" s="8"/>
      <c r="B137" s="8"/>
      <c r="C137" s="8"/>
      <c r="D137" s="8"/>
      <c r="E137" s="8"/>
      <c r="F137" s="8"/>
      <c r="G137" s="8"/>
      <c r="H137" s="31" t="s">
        <v>137</v>
      </c>
      <c r="I137" s="561">
        <f>I136*16%</f>
        <v>90962.72</v>
      </c>
      <c r="J137" s="561"/>
      <c r="K137" s="8"/>
    </row>
    <row r="138" spans="1:13" ht="15.6">
      <c r="A138" s="8"/>
      <c r="B138" s="8"/>
      <c r="C138" s="8"/>
      <c r="D138" s="8"/>
      <c r="E138" s="8"/>
      <c r="F138" s="8"/>
      <c r="G138" s="8"/>
      <c r="H138" s="31" t="s">
        <v>138</v>
      </c>
      <c r="I138" s="561">
        <f>I136+I137</f>
        <v>659479.72</v>
      </c>
      <c r="J138" s="561"/>
      <c r="K138" s="8"/>
    </row>
    <row r="139" spans="1:13" ht="15.6">
      <c r="A139" s="8"/>
      <c r="B139" s="8"/>
      <c r="C139" s="8" t="str" cm="1">
        <f t="array" ref="C139">NumLetras(I138)</f>
        <v xml:space="preserve"> SEISCIENTOS CINCUENTA Y NUEVE MIL CUATROCIENTOS SETENTA Y NUEVE 72/100 M.N.</v>
      </c>
      <c r="E139" s="8"/>
      <c r="F139" s="8"/>
      <c r="G139" s="8"/>
      <c r="H139" s="8"/>
      <c r="I139" s="8"/>
      <c r="J139" s="8"/>
      <c r="K139" s="8"/>
    </row>
    <row r="140" spans="1:13" ht="15.6">
      <c r="A140" s="574" t="s">
        <v>523</v>
      </c>
      <c r="B140" s="574"/>
      <c r="C140" s="574"/>
      <c r="D140" s="574"/>
      <c r="E140" s="574"/>
      <c r="F140" s="574"/>
      <c r="G140" s="574"/>
      <c r="H140" s="574"/>
      <c r="I140" s="574"/>
      <c r="J140" s="574"/>
      <c r="K140" s="574"/>
    </row>
    <row r="141" spans="1:13" ht="15.6">
      <c r="A141" s="574" t="s">
        <v>524</v>
      </c>
      <c r="B141" s="574"/>
      <c r="C141" s="574"/>
      <c r="D141" s="574"/>
      <c r="E141" s="574"/>
      <c r="F141" s="574"/>
      <c r="G141" s="574"/>
      <c r="H141" s="574"/>
      <c r="I141" s="574"/>
      <c r="J141" s="574"/>
      <c r="K141" s="574"/>
    </row>
    <row r="142" spans="1:13" ht="15.6">
      <c r="A142" s="8"/>
      <c r="B142" s="8"/>
      <c r="C142" s="8"/>
      <c r="D142" s="8"/>
      <c r="E142" s="8"/>
      <c r="F142" s="8"/>
      <c r="G142" s="8"/>
      <c r="H142" s="8"/>
      <c r="I142" s="8"/>
      <c r="J142" s="8"/>
      <c r="K142" s="8"/>
    </row>
    <row r="143" spans="1:13" ht="15.6">
      <c r="A143" s="577" t="s">
        <v>139</v>
      </c>
      <c r="B143" s="577"/>
      <c r="C143" s="577"/>
      <c r="D143" s="577"/>
      <c r="E143" s="577"/>
      <c r="F143" s="577"/>
      <c r="G143" s="577"/>
      <c r="H143" s="577"/>
      <c r="I143" s="577"/>
      <c r="J143" s="577"/>
      <c r="K143" s="577"/>
    </row>
    <row r="144" spans="1:13" ht="15.6">
      <c r="A144" s="8"/>
      <c r="B144" s="8"/>
      <c r="C144" s="8"/>
      <c r="D144" s="8"/>
      <c r="E144" s="8"/>
      <c r="F144" s="8"/>
      <c r="G144" s="8"/>
      <c r="H144" s="8"/>
      <c r="I144" s="8"/>
      <c r="J144" s="8"/>
      <c r="K144" s="8"/>
    </row>
    <row r="145" spans="1:11" ht="15.6">
      <c r="A145" s="575" t="s">
        <v>140</v>
      </c>
      <c r="B145" s="575"/>
      <c r="C145" s="575"/>
      <c r="D145" s="575"/>
      <c r="E145" s="575"/>
      <c r="F145" s="575"/>
      <c r="G145" s="575"/>
      <c r="H145" s="575"/>
      <c r="I145" s="575"/>
      <c r="J145" s="575"/>
      <c r="K145" s="575"/>
    </row>
    <row r="146" spans="1:11" ht="15.6">
      <c r="A146" s="8"/>
      <c r="B146" s="8"/>
      <c r="C146" s="8"/>
      <c r="D146" s="8"/>
      <c r="E146" s="8"/>
      <c r="F146" s="8"/>
      <c r="G146" s="8"/>
      <c r="H146" s="8"/>
      <c r="I146" s="8"/>
      <c r="J146" s="8"/>
      <c r="K146" s="8"/>
    </row>
    <row r="147" spans="1:11" ht="15.6">
      <c r="A147" s="577" t="s">
        <v>141</v>
      </c>
      <c r="B147" s="577"/>
      <c r="C147" s="577"/>
      <c r="D147" s="577"/>
      <c r="E147" s="577"/>
      <c r="F147" s="577"/>
      <c r="G147" s="577"/>
      <c r="H147" s="577"/>
      <c r="I147" s="577"/>
      <c r="J147" s="577"/>
      <c r="K147" s="577"/>
    </row>
    <row r="148" spans="1:11" ht="15.6">
      <c r="A148" s="577" t="s">
        <v>517</v>
      </c>
      <c r="B148" s="577"/>
      <c r="C148" s="577"/>
      <c r="D148" s="577"/>
      <c r="E148" s="577"/>
      <c r="F148" s="577"/>
      <c r="G148" s="577"/>
      <c r="H148" s="577"/>
      <c r="I148" s="577"/>
      <c r="J148" s="577"/>
      <c r="K148" s="577"/>
    </row>
    <row r="149" spans="1:11" ht="15.6">
      <c r="A149" s="577" t="s">
        <v>518</v>
      </c>
      <c r="B149" s="577"/>
      <c r="C149" s="577"/>
      <c r="D149" s="577"/>
      <c r="E149" s="577"/>
      <c r="F149" s="577"/>
      <c r="G149" s="577"/>
      <c r="H149" s="577"/>
      <c r="I149" s="577"/>
      <c r="J149" s="577"/>
      <c r="K149" s="577"/>
    </row>
    <row r="150" spans="1:11" ht="15.6">
      <c r="A150" s="577" t="s">
        <v>142</v>
      </c>
      <c r="B150" s="577"/>
      <c r="C150" s="577"/>
      <c r="D150" s="577"/>
      <c r="E150" s="577"/>
      <c r="F150" s="577"/>
      <c r="G150" s="577"/>
      <c r="H150" s="577"/>
      <c r="I150" s="577"/>
      <c r="J150" s="577"/>
      <c r="K150" s="577"/>
    </row>
    <row r="151" spans="1:11" ht="15.6">
      <c r="A151" s="8"/>
      <c r="B151" s="8"/>
      <c r="C151" s="8"/>
      <c r="D151" s="8"/>
      <c r="E151" s="8"/>
      <c r="F151" s="8"/>
      <c r="G151" s="8"/>
      <c r="H151" s="8"/>
      <c r="I151" s="8"/>
      <c r="J151" s="8"/>
      <c r="K151" s="8"/>
    </row>
    <row r="152" spans="1:11" ht="15.6">
      <c r="A152" s="577" t="s">
        <v>143</v>
      </c>
      <c r="B152" s="577"/>
      <c r="C152" s="577"/>
      <c r="D152" s="577"/>
      <c r="E152" s="577"/>
      <c r="F152" s="577"/>
      <c r="G152" s="577"/>
      <c r="H152" s="577"/>
      <c r="I152" s="577"/>
      <c r="J152" s="577"/>
      <c r="K152" s="577"/>
    </row>
    <row r="153" spans="1:11" ht="15.6">
      <c r="A153" s="8"/>
      <c r="B153" s="8"/>
      <c r="C153" s="8"/>
      <c r="D153" s="8"/>
      <c r="E153" s="8"/>
      <c r="F153" s="8"/>
      <c r="G153" s="8"/>
      <c r="H153" s="8"/>
      <c r="I153" s="8"/>
      <c r="J153" s="8"/>
      <c r="K153" s="8"/>
    </row>
    <row r="154" spans="1:11" ht="15.6">
      <c r="A154" s="8"/>
      <c r="B154" s="8"/>
      <c r="C154" s="8"/>
      <c r="D154" s="8"/>
      <c r="E154" s="8"/>
      <c r="F154" s="8"/>
      <c r="G154" s="8"/>
      <c r="H154" s="8"/>
      <c r="I154" s="8"/>
      <c r="J154" s="8"/>
      <c r="K154" s="8"/>
    </row>
    <row r="155" spans="1:11" ht="15.6">
      <c r="A155" s="576" t="s">
        <v>270</v>
      </c>
      <c r="B155" s="576"/>
      <c r="C155" s="576"/>
      <c r="D155" s="576"/>
      <c r="E155" s="576"/>
      <c r="F155" s="576"/>
      <c r="G155" s="576"/>
      <c r="H155" s="576"/>
      <c r="I155" s="576"/>
      <c r="J155" s="576"/>
      <c r="K155" s="576"/>
    </row>
    <row r="156" spans="1:11" ht="15.6">
      <c r="A156" s="577" t="s">
        <v>525</v>
      </c>
      <c r="B156" s="577"/>
      <c r="C156" s="577"/>
      <c r="D156" s="577"/>
      <c r="E156" s="577"/>
      <c r="F156" s="577"/>
      <c r="G156" s="577"/>
      <c r="H156" s="577"/>
      <c r="I156" s="577"/>
      <c r="J156" s="577"/>
      <c r="K156" s="577"/>
    </row>
    <row r="157" spans="1:11" ht="15.6">
      <c r="A157" s="577" t="s">
        <v>526</v>
      </c>
      <c r="B157" s="577"/>
      <c r="C157" s="577"/>
      <c r="D157" s="577"/>
      <c r="E157" s="577"/>
      <c r="F157" s="577"/>
      <c r="G157" s="577"/>
      <c r="H157" s="577"/>
      <c r="I157" s="577"/>
      <c r="J157" s="577"/>
      <c r="K157" s="577"/>
    </row>
    <row r="158" spans="1:11" ht="15.6">
      <c r="A158" s="8"/>
      <c r="B158" s="8"/>
      <c r="C158" s="8"/>
      <c r="D158" s="8"/>
      <c r="E158" s="8"/>
      <c r="F158" s="8"/>
      <c r="G158" s="8"/>
      <c r="H158" s="8"/>
      <c r="I158" s="8"/>
      <c r="J158" s="8"/>
      <c r="K158" s="8"/>
    </row>
    <row r="170" spans="2:12">
      <c r="H170" t="str">
        <f>IF(F172="Dolly","CONCEPTO",B176)</f>
        <v xml:space="preserve">CONCEPTO: SEMI REMOLQUE </v>
      </c>
    </row>
    <row r="172" spans="2:12">
      <c r="B172" t="str">
        <f>IF(F172="Dolly","CONCEPTO",B176)</f>
        <v xml:space="preserve">CONCEPTO: SEMI REMOLQUE </v>
      </c>
      <c r="E172" t="s">
        <v>279</v>
      </c>
      <c r="F172" t="str">
        <f>Ajustes!B10</f>
        <v>PLATAFORMA</v>
      </c>
    </row>
    <row r="173" spans="2:12">
      <c r="B173" s="572" t="str">
        <f>_xlfn.CONCAT("CON"," ",'END PRESUPUESTO'!F55,","," ",'END PRESUPUESTO'!F56,","," ",'END PRESUPUESTO'!F57,","," ",'END PRESUPUESTO'!F58,","," ",'END PRESUPUESTO'!F59,","," ",'END PRESUPUESTO'!F60,","," ",'END PRESUPUESTO'!F61,","," ",'END PRESUPUESTO'!F62,","," ",'END PRESUPUESTO'!F63,","," ",'END PRESUPUESTO'!F64,","," ",'END PRESUPUESTO'!F65)</f>
        <v>CON REFLEJANTE Y ROTULACION, TOPES HULE 3 BARRENOS, TORN PERNO, TORNILLOS, Total general, GANCHO HOLLAND, CONCHA MADERA DE  m, REDILAS SIN REDILAS, SISTEMA RETRÁCTIL RETRACTIL, RINES RINES DE ACERO, LLANTAS LLANTAS BF GOODRICH CON 8 LLANT(S)</v>
      </c>
      <c r="C173" s="572"/>
      <c r="D173" s="572"/>
      <c r="E173" s="572"/>
      <c r="F173" s="572"/>
      <c r="G173" s="572"/>
      <c r="H173" s="572"/>
      <c r="I173" s="572"/>
      <c r="J173" s="572"/>
      <c r="K173" s="572"/>
      <c r="L173" s="572"/>
    </row>
    <row r="174" spans="2:12">
      <c r="B174" s="572"/>
      <c r="C174" s="572"/>
      <c r="D174" s="572"/>
      <c r="E174" s="572"/>
      <c r="F174" s="572"/>
      <c r="G174" s="572"/>
      <c r="H174" s="572"/>
      <c r="I174" s="572"/>
      <c r="J174" s="572"/>
      <c r="K174" s="572"/>
      <c r="L174" s="572"/>
    </row>
    <row r="175" spans="2:12">
      <c r="B175" s="572"/>
      <c r="C175" s="572"/>
      <c r="D175" s="572"/>
      <c r="E175" s="572"/>
      <c r="F175" s="572"/>
      <c r="G175" s="572"/>
      <c r="H175" s="572"/>
      <c r="I175" s="572"/>
      <c r="J175" s="572"/>
      <c r="K175" s="572"/>
      <c r="L175" s="572"/>
    </row>
    <row r="176" spans="2:12">
      <c r="B176" t="s">
        <v>278</v>
      </c>
    </row>
    <row r="183" spans="2:2">
      <c r="B183" s="22" t="s">
        <v>337</v>
      </c>
    </row>
    <row r="184" spans="2:2">
      <c r="B184" t="s">
        <v>144</v>
      </c>
    </row>
    <row r="185" spans="2:2">
      <c r="B185" s="22" t="s">
        <v>116</v>
      </c>
    </row>
  </sheetData>
  <mergeCells count="35">
    <mergeCell ref="A150:K150"/>
    <mergeCell ref="A152:K152"/>
    <mergeCell ref="A104:K105"/>
    <mergeCell ref="A140:K140"/>
    <mergeCell ref="A84:K85"/>
    <mergeCell ref="A143:K143"/>
    <mergeCell ref="A90:K90"/>
    <mergeCell ref="H9:K9"/>
    <mergeCell ref="I11:J11"/>
    <mergeCell ref="A76:K76"/>
    <mergeCell ref="B173:L175"/>
    <mergeCell ref="E135:H135"/>
    <mergeCell ref="I138:J138"/>
    <mergeCell ref="A87:K88"/>
    <mergeCell ref="A141:K141"/>
    <mergeCell ref="A145:K145"/>
    <mergeCell ref="A155:K155"/>
    <mergeCell ref="A156:K156"/>
    <mergeCell ref="A157:K157"/>
    <mergeCell ref="A147:K147"/>
    <mergeCell ref="A148:K148"/>
    <mergeCell ref="A149:K149"/>
    <mergeCell ref="A78:K78"/>
    <mergeCell ref="A82:K82"/>
    <mergeCell ref="I136:J136"/>
    <mergeCell ref="I137:J137"/>
    <mergeCell ref="B12:F12"/>
    <mergeCell ref="A16:K18"/>
    <mergeCell ref="A39:K41"/>
    <mergeCell ref="A42:K43"/>
    <mergeCell ref="A45:K45"/>
    <mergeCell ref="A47:K47"/>
    <mergeCell ref="A49:K49"/>
    <mergeCell ref="A70:K71"/>
    <mergeCell ref="A73:K74"/>
  </mergeCells>
  <pageMargins left="0.62992125984251968" right="0.23622047244094491" top="0.35433070866141736" bottom="0.74803149606299213" header="0.31496062992125984" footer="0.31496062992125984"/>
  <pageSetup scale="88" fitToHeight="0" orientation="portrait" r:id="rId1"/>
  <drawing r:id="rId2"/>
  <legacyDrawing r:id="rId3"/>
  <controls>
    <mc:AlternateContent xmlns:mc="http://schemas.openxmlformats.org/markup-compatibility/2006">
      <mc:Choice Requires="x14">
        <control shapeId="91331" r:id="rId4" name="BT_EN_COTIZACION">
          <controlPr defaultSize="0" autoLine="0" r:id="rId5">
            <anchor moveWithCells="1">
              <from>
                <xdr:col>11</xdr:col>
                <xdr:colOff>647700</xdr:colOff>
                <xdr:row>2</xdr:row>
                <xdr:rowOff>121920</xdr:rowOff>
              </from>
              <to>
                <xdr:col>13</xdr:col>
                <xdr:colOff>624840</xdr:colOff>
                <xdr:row>4</xdr:row>
                <xdr:rowOff>175260</xdr:rowOff>
              </to>
            </anchor>
          </controlPr>
        </control>
      </mc:Choice>
      <mc:Fallback>
        <control shapeId="91331" r:id="rId4" name="BT_EN_COTIZACION"/>
      </mc:Fallback>
    </mc:AlternateContent>
    <mc:AlternateContent xmlns:mc="http://schemas.openxmlformats.org/markup-compatibility/2006">
      <mc:Choice Requires="x14">
        <control shapeId="91433" r:id="rId6" name="bt_GUAR_PDF_COTIZ_PLATAF">
          <controlPr defaultSize="0" autoLine="0" r:id="rId7">
            <anchor moveWithCells="1">
              <from>
                <xdr:col>12</xdr:col>
                <xdr:colOff>38100</xdr:colOff>
                <xdr:row>5</xdr:row>
                <xdr:rowOff>99060</xdr:rowOff>
              </from>
              <to>
                <xdr:col>13</xdr:col>
                <xdr:colOff>426720</xdr:colOff>
                <xdr:row>7</xdr:row>
                <xdr:rowOff>83820</xdr:rowOff>
              </to>
            </anchor>
          </controlPr>
        </control>
      </mc:Choice>
      <mc:Fallback>
        <control shapeId="91433" r:id="rId6" name="bt_GUAR_PDF_COTIZ_PLATAF"/>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4DFD0-26AC-4AA2-93EB-E629DE4E0CDD}">
  <sheetPr codeName="Hoja24"/>
  <dimension ref="A1:N60"/>
  <sheetViews>
    <sheetView tabSelected="1" zoomScale="98" zoomScaleNormal="122" zoomScaleSheetLayoutView="116" workbookViewId="0">
      <selection activeCell="N13" sqref="N13"/>
    </sheetView>
  </sheetViews>
  <sheetFormatPr baseColWidth="10" defaultRowHeight="14.4"/>
  <cols>
    <col min="1" max="1" width="12" customWidth="1"/>
    <col min="2" max="2" width="9" customWidth="1"/>
    <col min="3" max="3" width="13" customWidth="1"/>
    <col min="4" max="4" width="7.109375" customWidth="1"/>
    <col min="5" max="5" width="12.5546875" customWidth="1"/>
    <col min="6" max="6" width="12.88671875" customWidth="1"/>
    <col min="7" max="7" width="12.44140625" customWidth="1"/>
    <col min="10" max="10" width="7.33203125" customWidth="1"/>
    <col min="11" max="11" width="12.6640625" customWidth="1"/>
    <col min="12" max="12" width="23.6640625" customWidth="1"/>
  </cols>
  <sheetData>
    <row r="1" spans="1:12">
      <c r="K1" s="35" t="str">
        <f ca="1">H6&amp;" "&amp;B8</f>
        <v xml:space="preserve">C P 22-09-26-6 A quien corresponda </v>
      </c>
    </row>
    <row r="4" spans="1:12">
      <c r="J4" s="69">
        <f ca="1">TODAY()</f>
        <v>46287</v>
      </c>
      <c r="K4" s="232">
        <v>6</v>
      </c>
    </row>
    <row r="5" spans="1:12">
      <c r="K5" t="s">
        <v>1565</v>
      </c>
      <c r="L5" s="405">
        <v>1</v>
      </c>
    </row>
    <row r="6" spans="1:12">
      <c r="C6" s="91" t="s">
        <v>1204</v>
      </c>
      <c r="D6" s="91"/>
      <c r="E6" s="608">
        <f ca="1">TODAY()</f>
        <v>46287</v>
      </c>
      <c r="F6" s="608"/>
      <c r="G6" s="91" t="s">
        <v>1152</v>
      </c>
      <c r="H6" s="312" t="str">
        <f ca="1">"C P "&amp;TEXT(J4,"DD-MM-AA")&amp;"-"&amp;K4</f>
        <v>C P 22-09-26-6</v>
      </c>
      <c r="I6" s="91"/>
      <c r="K6" s="624" t="s">
        <v>1205</v>
      </c>
      <c r="L6" s="625"/>
    </row>
    <row r="7" spans="1:12">
      <c r="A7" s="91"/>
      <c r="B7" s="91"/>
      <c r="C7" s="91"/>
      <c r="D7" s="91"/>
      <c r="E7" s="91"/>
      <c r="F7" s="91"/>
      <c r="G7" s="91"/>
      <c r="H7" s="91"/>
      <c r="I7" s="91"/>
      <c r="K7" s="409" t="s">
        <v>1</v>
      </c>
      <c r="L7" s="408" t="s" vm="14">
        <v>492</v>
      </c>
    </row>
    <row r="8" spans="1:12" ht="14.1" customHeight="1">
      <c r="A8" s="91"/>
      <c r="B8" s="23" t="s">
        <v>2623</v>
      </c>
      <c r="C8" s="91"/>
      <c r="D8" s="91"/>
      <c r="F8" s="155" t="s">
        <v>1477</v>
      </c>
      <c r="G8" s="23" t="e">
        <f>INDEX(clientes[],MATCH(COTIZACION2!L7,clientes[CLIENTE],0),MATCH(clientes[[#Headers],[EMPRESA]],clientes[#Headers],0))</f>
        <v>#N/A</v>
      </c>
      <c r="I8" s="91"/>
      <c r="K8" s="592"/>
      <c r="L8" s="593"/>
    </row>
    <row r="9" spans="1:12" ht="14.1" customHeight="1">
      <c r="A9" s="338" t="s">
        <v>1224</v>
      </c>
      <c r="B9" s="613" t="e">
        <f>INDEX(clientes[],MATCH(COTIZACION2!B8,clientes[CLIENTE],0),MATCH(clientes[[#Headers],[TEL/CEL]],clientes[#Headers],0))</f>
        <v>#N/A</v>
      </c>
      <c r="C9" s="613"/>
      <c r="D9" s="613"/>
      <c r="E9" s="91"/>
      <c r="F9" s="91"/>
      <c r="G9" s="91"/>
      <c r="H9" s="91"/>
      <c r="I9" s="91"/>
    </row>
    <row r="10" spans="1:12">
      <c r="A10" s="91" t="s">
        <v>1153</v>
      </c>
      <c r="B10" s="91"/>
      <c r="C10" s="91"/>
      <c r="D10" s="91"/>
      <c r="E10" s="91"/>
      <c r="F10" s="91"/>
      <c r="G10" s="91"/>
      <c r="H10" s="91"/>
      <c r="I10" s="91"/>
      <c r="K10" s="624" t="s">
        <v>1203</v>
      </c>
      <c r="L10" s="625"/>
    </row>
    <row r="11" spans="1:12">
      <c r="A11" s="91"/>
      <c r="B11" s="91" t="s">
        <v>123</v>
      </c>
      <c r="E11" s="91"/>
      <c r="F11" s="91"/>
      <c r="G11" s="91"/>
      <c r="H11" s="91"/>
      <c r="I11" s="91"/>
      <c r="K11" s="692" t="s">
        <v>96</v>
      </c>
      <c r="L11" s="436" t="s" vm="55">
        <v>100</v>
      </c>
    </row>
    <row r="12" spans="1:12" ht="14.1" customHeight="1">
      <c r="A12" s="289">
        <v>1</v>
      </c>
      <c r="B12" s="290" t="s">
        <v>1155</v>
      </c>
      <c r="C12" s="290"/>
      <c r="D12" s="290"/>
      <c r="E12" s="291" t="s">
        <v>82</v>
      </c>
      <c r="F12" s="292" t="s">
        <v>988</v>
      </c>
      <c r="G12" s="291" t="s">
        <v>75</v>
      </c>
      <c r="H12" s="292" t="s">
        <v>991</v>
      </c>
      <c r="I12" s="293" t="str">
        <f>INDEX(Tabla24[],MATCH(COTIZACION2!L11,Tabla24[NOMBRE],0),MATCH(Tabla24[[#Headers],[Ancho]],Tabla24[#Headers],0))</f>
        <v>2.6 m</v>
      </c>
      <c r="K12" s="626"/>
      <c r="L12" s="627"/>
    </row>
    <row r="13" spans="1:12" ht="14.1" customHeight="1">
      <c r="A13" s="294"/>
      <c r="B13" s="295" t="s">
        <v>314</v>
      </c>
      <c r="C13" s="296" t="s">
        <v>995</v>
      </c>
      <c r="D13" s="297"/>
      <c r="E13" s="297"/>
      <c r="F13" s="295" t="s">
        <v>1158</v>
      </c>
      <c r="G13" s="298">
        <v>2027</v>
      </c>
      <c r="H13" s="297"/>
      <c r="I13" s="299"/>
      <c r="K13" s="2"/>
      <c r="L13" s="2"/>
    </row>
    <row r="14" spans="1:12" ht="14.1" customHeight="1">
      <c r="A14" s="91"/>
      <c r="B14" s="91" t="s">
        <v>123</v>
      </c>
      <c r="C14" s="91"/>
      <c r="D14" s="91"/>
      <c r="E14" s="91"/>
      <c r="F14" s="91"/>
      <c r="G14" s="91"/>
      <c r="H14" s="91"/>
      <c r="I14" s="91"/>
      <c r="K14" s="594" t="s">
        <v>1342</v>
      </c>
      <c r="L14" s="595"/>
    </row>
    <row r="15" spans="1:12" ht="14.1" customHeight="1">
      <c r="A15" s="602" t="s">
        <v>1159</v>
      </c>
      <c r="B15" s="603"/>
      <c r="C15" s="603"/>
      <c r="D15" s="603"/>
      <c r="E15" s="603"/>
      <c r="F15" s="603"/>
      <c r="G15" s="603"/>
      <c r="H15" s="603"/>
      <c r="I15" s="616"/>
      <c r="K15" s="614" t="s">
        <v>461</v>
      </c>
      <c r="L15" s="615"/>
    </row>
    <row r="16" spans="1:12" ht="14.1" customHeight="1">
      <c r="A16" s="617" t="s">
        <v>1164</v>
      </c>
      <c r="B16" s="618"/>
      <c r="C16" s="609" t="s">
        <v>2124</v>
      </c>
      <c r="D16" s="609"/>
      <c r="E16" s="609"/>
      <c r="F16" s="609"/>
      <c r="G16" s="609"/>
      <c r="H16" s="609"/>
      <c r="I16" s="610"/>
      <c r="K16" s="598"/>
      <c r="L16" s="599"/>
    </row>
    <row r="17" spans="1:13" ht="14.1" customHeight="1">
      <c r="A17" s="619"/>
      <c r="B17" s="620"/>
      <c r="C17" s="611"/>
      <c r="D17" s="611"/>
      <c r="E17" s="611"/>
      <c r="F17" s="611"/>
      <c r="G17" s="611"/>
      <c r="H17" s="611"/>
      <c r="I17" s="612"/>
      <c r="J17" s="35" t="s">
        <v>486</v>
      </c>
    </row>
    <row r="18" spans="1:13" ht="14.1" customHeight="1">
      <c r="A18" s="336" t="s">
        <v>989</v>
      </c>
      <c r="B18" s="332" t="str">
        <f>INDEX(Tabla24[],MATCH(COTIZACION2!L11,Tabla24[NOMBRE],0),MATCH(Tabla24[[#Headers],[NUM. DE EJES]],Tabla24[#Headers],0))&amp;" "&amp;"(Ejes)"</f>
        <v>2 (Ejes)</v>
      </c>
      <c r="C18" s="605" t="str">
        <f>"Tubular redondo de 5” y espesor de 5/8” con capacidad de 30,000 libras. En marca: "&amp;PROPER(MID(K15,5,60))</f>
        <v>Tubular redondo de 5” y espesor de 5/8” con capacidad de 30,000 libras. En marca:  Fleet Master</v>
      </c>
      <c r="D18" s="605"/>
      <c r="E18" s="605"/>
      <c r="F18" s="605"/>
      <c r="G18" s="605"/>
      <c r="H18" s="605"/>
      <c r="I18" s="606"/>
      <c r="J18" s="35" t="s">
        <v>488</v>
      </c>
      <c r="K18" s="594" t="s">
        <v>1206</v>
      </c>
      <c r="L18" s="595"/>
    </row>
    <row r="19" spans="1:13" ht="14.1" customHeight="1">
      <c r="A19" s="319" t="s">
        <v>1195</v>
      </c>
      <c r="B19" s="310"/>
      <c r="C19" s="621" t="s">
        <v>2637</v>
      </c>
      <c r="D19" s="621"/>
      <c r="E19" s="621"/>
      <c r="F19" s="318">
        <v>10</v>
      </c>
      <c r="G19" s="318" t="s">
        <v>1196</v>
      </c>
      <c r="H19" s="318"/>
      <c r="I19" s="317"/>
      <c r="K19" s="327" t="s">
        <v>486</v>
      </c>
      <c r="L19" s="328">
        <v>10</v>
      </c>
      <c r="M19" t="s">
        <v>450</v>
      </c>
    </row>
    <row r="20" spans="1:13" ht="14.1" customHeight="1">
      <c r="A20" s="622" t="s">
        <v>1174</v>
      </c>
      <c r="B20" s="623"/>
      <c r="C20" s="300" t="str">
        <f>L23</f>
        <v>Uno</v>
      </c>
      <c r="D20" s="389"/>
      <c r="E20" s="314"/>
      <c r="F20" s="314"/>
      <c r="G20" s="314"/>
      <c r="H20" s="314"/>
      <c r="I20" s="301"/>
      <c r="K20" s="598"/>
      <c r="L20" s="599"/>
    </row>
    <row r="21" spans="1:13" ht="14.1" customHeight="1">
      <c r="A21" s="622" t="s">
        <v>1160</v>
      </c>
      <c r="B21" s="623"/>
      <c r="C21" s="603" t="str">
        <f>IF(K31="SIN SUSPENSIÓN","SIN SUSPENSIÓN",PROPER(MID(K31,11,100)))</f>
        <v xml:space="preserve"> Alta Hendrickson</v>
      </c>
      <c r="D21" s="603"/>
      <c r="E21" s="603"/>
      <c r="F21" s="314"/>
      <c r="G21" s="314"/>
      <c r="H21" s="91"/>
      <c r="I21" s="301"/>
    </row>
    <row r="22" spans="1:13" ht="14.1" customHeight="1">
      <c r="A22" s="587" t="s">
        <v>1286</v>
      </c>
      <c r="B22" s="588"/>
      <c r="C22" s="302" t="s">
        <v>2648</v>
      </c>
      <c r="D22" s="302"/>
      <c r="E22" s="302"/>
      <c r="G22" s="315"/>
      <c r="H22" s="314" t="s">
        <v>1162</v>
      </c>
      <c r="I22" s="303"/>
      <c r="K22" s="579" t="s">
        <v>1207</v>
      </c>
      <c r="L22" s="580"/>
    </row>
    <row r="23" spans="1:13" ht="14.1" customHeight="1">
      <c r="A23" s="602" t="s">
        <v>1163</v>
      </c>
      <c r="B23" s="603"/>
      <c r="C23" s="332" t="s">
        <v>2633</v>
      </c>
      <c r="D23" s="332"/>
      <c r="E23" s="332"/>
      <c r="F23" s="332"/>
      <c r="G23" s="332"/>
      <c r="H23" s="332"/>
      <c r="I23" s="333"/>
      <c r="K23" s="322"/>
      <c r="L23" s="323" t="s">
        <v>1161</v>
      </c>
    </row>
    <row r="24" spans="1:13" ht="14.1" customHeight="1">
      <c r="A24" s="581" t="s">
        <v>1420</v>
      </c>
      <c r="B24" s="582"/>
      <c r="C24" s="583"/>
      <c r="D24" s="583"/>
      <c r="E24" s="583"/>
      <c r="F24" s="583"/>
      <c r="G24" s="583"/>
      <c r="H24" s="583"/>
      <c r="I24" s="584"/>
      <c r="K24" s="325"/>
      <c r="L24" s="326"/>
    </row>
    <row r="25" spans="1:13" ht="14.1" customHeight="1">
      <c r="A25" s="289" t="s">
        <v>1166</v>
      </c>
      <c r="B25" s="290"/>
      <c r="C25" s="290" t="s">
        <v>1173</v>
      </c>
      <c r="D25" s="304"/>
      <c r="E25" s="304"/>
      <c r="F25" s="304"/>
      <c r="G25" s="304"/>
      <c r="H25" s="304"/>
      <c r="I25" s="305"/>
      <c r="J25" s="35" t="s">
        <v>1161</v>
      </c>
    </row>
    <row r="26" spans="1:13" ht="14.1" customHeight="1">
      <c r="A26" s="306" t="s">
        <v>1167</v>
      </c>
      <c r="B26" s="91"/>
      <c r="C26" s="91" t="s">
        <v>1172</v>
      </c>
      <c r="D26" s="307"/>
      <c r="E26" s="307"/>
      <c r="F26" s="307"/>
      <c r="G26" s="361"/>
      <c r="H26" s="307"/>
      <c r="I26" s="308"/>
      <c r="J26" s="35" t="s">
        <v>1162</v>
      </c>
      <c r="K26" s="579" t="s">
        <v>371</v>
      </c>
      <c r="L26" s="580"/>
    </row>
    <row r="27" spans="1:13" ht="14.1" customHeight="1">
      <c r="A27" s="306" t="s">
        <v>1168</v>
      </c>
      <c r="B27" s="91"/>
      <c r="C27" s="91" t="s">
        <v>2371</v>
      </c>
      <c r="D27" s="91"/>
      <c r="E27" s="91"/>
      <c r="F27" s="91"/>
      <c r="G27" s="91"/>
      <c r="H27" s="91"/>
      <c r="I27" s="309"/>
      <c r="J27" s="35" t="s">
        <v>1257</v>
      </c>
      <c r="K27" s="322"/>
      <c r="L27" s="323" t="s">
        <v>2129</v>
      </c>
      <c r="M27" s="329"/>
    </row>
    <row r="28" spans="1:13" ht="14.1" customHeight="1">
      <c r="A28" s="294" t="s">
        <v>1170</v>
      </c>
      <c r="B28" s="297"/>
      <c r="C28" s="310" t="s">
        <v>1171</v>
      </c>
      <c r="D28" s="297"/>
      <c r="E28" s="297"/>
      <c r="F28" s="297"/>
      <c r="G28" s="297"/>
      <c r="H28" s="297"/>
      <c r="I28" s="299"/>
      <c r="K28" s="325"/>
      <c r="L28" s="326"/>
    </row>
    <row r="29" spans="1:13" ht="14.1" customHeight="1">
      <c r="A29" s="320" t="s">
        <v>2649</v>
      </c>
      <c r="B29" s="290"/>
      <c r="C29" s="290" t="str">
        <f>K39</f>
        <v>SIN FRENTE</v>
      </c>
      <c r="D29" s="290"/>
      <c r="E29" s="291"/>
      <c r="F29" s="434"/>
      <c r="G29" s="434"/>
      <c r="H29" s="434"/>
      <c r="I29" s="435"/>
    </row>
    <row r="30" spans="1:13" ht="14.1" customHeight="1">
      <c r="A30" s="587" t="s">
        <v>1421</v>
      </c>
      <c r="B30" s="588"/>
      <c r="C30" s="291" t="str">
        <f>K43</f>
        <v>SIN REDILAS</v>
      </c>
      <c r="D30" s="290"/>
      <c r="E30" s="291"/>
      <c r="F30" s="432"/>
      <c r="G30" s="432"/>
      <c r="H30" s="432"/>
      <c r="I30" s="433"/>
      <c r="K30" s="579" t="s">
        <v>1208</v>
      </c>
      <c r="L30" s="580"/>
    </row>
    <row r="31" spans="1:13" ht="14.1" customHeight="1">
      <c r="A31" s="316" t="s">
        <v>1175</v>
      </c>
      <c r="B31" s="302"/>
      <c r="C31" s="302" t="s">
        <v>1161</v>
      </c>
      <c r="D31" s="302"/>
      <c r="E31" s="291"/>
      <c r="F31" s="290"/>
      <c r="G31" s="302"/>
      <c r="H31" s="290"/>
      <c r="I31" s="303"/>
      <c r="K31" s="600" t="s">
        <v>460</v>
      </c>
      <c r="L31" s="601"/>
    </row>
    <row r="32" spans="1:13" ht="14.1" customHeight="1">
      <c r="A32" s="316" t="s">
        <v>1176</v>
      </c>
      <c r="B32" s="302"/>
      <c r="C32" s="302" t="str">
        <f>L47</f>
        <v>Uno</v>
      </c>
      <c r="D32" s="302"/>
      <c r="E32" s="388"/>
      <c r="F32" s="302"/>
      <c r="G32" s="302"/>
      <c r="H32" s="290"/>
      <c r="I32" s="303"/>
      <c r="K32" s="325"/>
      <c r="L32" s="326"/>
    </row>
    <row r="33" spans="1:14" ht="14.1" customHeight="1">
      <c r="A33" s="311" t="s">
        <v>1177</v>
      </c>
      <c r="B33" s="302"/>
      <c r="C33" s="302" t="s">
        <v>2641</v>
      </c>
      <c r="D33" s="302"/>
      <c r="E33" s="302"/>
      <c r="F33" s="424"/>
      <c r="G33" s="302"/>
      <c r="H33" s="290"/>
      <c r="I33" s="303"/>
      <c r="J33" s="35" t="s">
        <v>1161</v>
      </c>
    </row>
    <row r="34" spans="1:14" ht="14.1" customHeight="1">
      <c r="A34" s="587" t="s">
        <v>1178</v>
      </c>
      <c r="B34" s="588"/>
      <c r="C34" s="423" t="str">
        <f>K51</f>
        <v>PISO DE PLÁSTICO CAFÉ</v>
      </c>
      <c r="D34" s="302"/>
      <c r="E34" s="302"/>
      <c r="F34" s="302"/>
      <c r="G34" s="302"/>
      <c r="H34" s="314"/>
      <c r="I34" s="303"/>
      <c r="J34" s="35" t="s">
        <v>1162</v>
      </c>
      <c r="K34" s="579" t="s">
        <v>1209</v>
      </c>
      <c r="L34" s="580"/>
    </row>
    <row r="35" spans="1:14" ht="14.1" customHeight="1">
      <c r="A35" s="604" t="s">
        <v>1184</v>
      </c>
      <c r="B35" s="583"/>
      <c r="C35" s="605" t="s">
        <v>1416</v>
      </c>
      <c r="D35" s="605"/>
      <c r="E35" s="605"/>
      <c r="F35" s="605"/>
      <c r="G35" s="605"/>
      <c r="H35" s="605"/>
      <c r="I35" s="606"/>
      <c r="K35" s="330" t="s">
        <v>1162</v>
      </c>
      <c r="L35" s="334" t="s">
        <v>463</v>
      </c>
      <c r="M35" s="91"/>
    </row>
    <row r="36" spans="1:14" ht="14.1" customHeight="1">
      <c r="A36" s="316" t="s">
        <v>1186</v>
      </c>
      <c r="B36" s="313">
        <f>K55</f>
        <v>8</v>
      </c>
      <c r="C36" s="302" t="str">
        <f>L55</f>
        <v>RINES DE ACERO</v>
      </c>
      <c r="D36" s="302"/>
      <c r="E36" s="91"/>
      <c r="F36" s="388"/>
      <c r="G36" s="388" t="s">
        <v>1418</v>
      </c>
      <c r="H36" s="425" t="s">
        <v>2496</v>
      </c>
      <c r="I36" s="303"/>
      <c r="K36" s="325"/>
      <c r="L36" s="326"/>
    </row>
    <row r="37" spans="1:14" ht="14.1" customHeight="1">
      <c r="A37" s="316" t="s">
        <v>1185</v>
      </c>
      <c r="B37" s="313">
        <f>K59</f>
        <v>8</v>
      </c>
      <c r="C37" s="302" t="str">
        <f>L59</f>
        <v>LLANTAS CHINAS</v>
      </c>
      <c r="D37" s="302"/>
      <c r="E37" s="388"/>
      <c r="G37" s="388" t="s">
        <v>1422</v>
      </c>
      <c r="H37" s="302" t="str">
        <f>IF(L27="SIN GANCHO","Sin Gancho",PROPER(MID(L27,7,100)))</f>
        <v xml:space="preserve"> Holland 8/10 Barrenos</v>
      </c>
      <c r="I37" s="303"/>
    </row>
    <row r="38" spans="1:14" ht="14.1" customHeight="1">
      <c r="A38" s="311" t="s">
        <v>1187</v>
      </c>
      <c r="B38" s="314" t="s">
        <v>1189</v>
      </c>
      <c r="C38" s="302" t="s">
        <v>1189</v>
      </c>
      <c r="D38" s="302"/>
      <c r="E38" s="302"/>
      <c r="F38" s="302"/>
      <c r="G38" s="302"/>
      <c r="H38" s="302"/>
      <c r="I38" s="303"/>
      <c r="K38" s="579" t="s">
        <v>2650</v>
      </c>
      <c r="L38" s="580"/>
      <c r="N38" t="s">
        <v>1967</v>
      </c>
    </row>
    <row r="39" spans="1:14" ht="14.1" customHeight="1">
      <c r="A39" s="311" t="s">
        <v>1188</v>
      </c>
      <c r="B39" s="314" t="s">
        <v>1190</v>
      </c>
      <c r="C39" s="302" t="s">
        <v>1189</v>
      </c>
      <c r="D39" s="302"/>
      <c r="E39" s="302"/>
      <c r="F39" s="302"/>
      <c r="G39" s="302"/>
      <c r="H39" s="302"/>
      <c r="I39" s="303"/>
      <c r="K39" s="585" t="s">
        <v>402</v>
      </c>
      <c r="L39" s="586"/>
    </row>
    <row r="40" spans="1:14" ht="13.5" customHeight="1">
      <c r="A40" s="91"/>
      <c r="B40" s="91"/>
      <c r="C40" s="91"/>
      <c r="D40" s="91"/>
      <c r="E40" s="91"/>
      <c r="F40" s="91"/>
      <c r="G40" s="91"/>
      <c r="H40" s="91"/>
      <c r="I40" s="91"/>
      <c r="K40" s="325"/>
      <c r="L40" s="326"/>
    </row>
    <row r="41" spans="1:14" ht="15.6">
      <c r="A41" s="324" t="s">
        <v>1191</v>
      </c>
      <c r="B41" s="324"/>
      <c r="C41" s="596">
        <v>656000</v>
      </c>
      <c r="D41" s="596"/>
      <c r="E41" s="597" t="str" cm="1">
        <f t="array" ref="E41">""&amp;"("&amp;PROPER(NumLetras(C41))&amp;")"</f>
        <v>( Seiscientos Cincuenta Y Seis Mil 00/100 M.N.)</v>
      </c>
      <c r="F41" s="597"/>
      <c r="G41" s="597"/>
      <c r="H41" s="597"/>
      <c r="I41" s="597"/>
    </row>
    <row r="42" spans="1:14">
      <c r="A42" s="13" t="s">
        <v>1193</v>
      </c>
      <c r="B42" s="607" t="s">
        <v>2642</v>
      </c>
      <c r="C42" s="607"/>
      <c r="D42" s="607"/>
      <c r="E42" s="607"/>
      <c r="F42" s="607"/>
      <c r="G42" s="607"/>
      <c r="H42" s="607"/>
      <c r="I42" s="607"/>
      <c r="J42" s="91"/>
      <c r="K42" s="579" t="s">
        <v>154</v>
      </c>
      <c r="L42" s="580"/>
    </row>
    <row r="43" spans="1:14" ht="14.1" customHeight="1">
      <c r="A43" s="91" t="s">
        <v>1194</v>
      </c>
      <c r="K43" s="585" t="s">
        <v>399</v>
      </c>
      <c r="L43" s="586"/>
    </row>
    <row r="44" spans="1:14" ht="14.1" customHeight="1">
      <c r="A44" s="91" t="str">
        <f>"Esta cotizacion no incluye"&amp;" "&amp;IF(C37="Sin Llantas","llantas","")&amp;" "&amp;" "&amp;IF(PROPER(C36)="Sin rines","rines","")&amp;""&amp;" "&amp;IF(C29="Sin frente","sin Frente",""&amp;" "&amp;IF(C30="SIN REDILAS","Sin Redilas",""))</f>
        <v>Esta cotizacion no incluye    sin Frente</v>
      </c>
      <c r="K44" s="325"/>
      <c r="L44" s="326"/>
    </row>
    <row r="45" spans="1:14" ht="14.1" customHeight="1">
      <c r="A45" s="91"/>
      <c r="B45" s="91"/>
      <c r="C45" s="91"/>
      <c r="D45" s="91"/>
      <c r="E45" s="589" t="s">
        <v>140</v>
      </c>
      <c r="F45" s="589"/>
      <c r="G45" s="91"/>
      <c r="H45" s="91"/>
      <c r="I45" s="169"/>
    </row>
    <row r="46" spans="1:14" ht="14.1" customHeight="1">
      <c r="A46" s="589" t="s">
        <v>141</v>
      </c>
      <c r="B46" s="589"/>
      <c r="C46" s="589"/>
      <c r="D46" s="589"/>
      <c r="E46" s="589"/>
      <c r="F46" s="589"/>
      <c r="G46" s="589"/>
      <c r="H46" s="589"/>
      <c r="I46" s="589"/>
      <c r="K46" s="579" t="s">
        <v>1210</v>
      </c>
      <c r="L46" s="580"/>
    </row>
    <row r="47" spans="1:14" ht="14.1" customHeight="1">
      <c r="A47" s="589" t="s">
        <v>2577</v>
      </c>
      <c r="B47" s="589"/>
      <c r="C47" s="589"/>
      <c r="D47" s="589"/>
      <c r="E47" s="589"/>
      <c r="F47" s="589"/>
      <c r="G47" s="589"/>
      <c r="H47" s="589"/>
      <c r="I47" s="589"/>
      <c r="K47" s="330" t="s">
        <v>1161</v>
      </c>
      <c r="L47" s="331" t="s">
        <v>1161</v>
      </c>
      <c r="M47" s="329"/>
    </row>
    <row r="48" spans="1:14" ht="14.1" customHeight="1">
      <c r="A48" s="589" t="s">
        <v>2578</v>
      </c>
      <c r="B48" s="589"/>
      <c r="C48" s="589"/>
      <c r="D48" s="589"/>
      <c r="E48" s="589"/>
      <c r="F48" s="589"/>
      <c r="G48" s="589"/>
      <c r="H48" s="589"/>
      <c r="I48" s="589"/>
      <c r="K48" s="325"/>
      <c r="L48" s="326"/>
    </row>
    <row r="49" spans="1:12" ht="14.1" customHeight="1">
      <c r="A49" s="589" t="s">
        <v>142</v>
      </c>
      <c r="B49" s="589"/>
      <c r="C49" s="589"/>
      <c r="D49" s="589"/>
      <c r="E49" s="589"/>
      <c r="F49" s="589"/>
      <c r="G49" s="589"/>
      <c r="H49" s="589"/>
      <c r="I49" s="589"/>
    </row>
    <row r="50" spans="1:12" ht="14.1" customHeight="1">
      <c r="A50" s="589" t="s">
        <v>143</v>
      </c>
      <c r="B50" s="589"/>
      <c r="C50" s="589"/>
      <c r="D50" s="589"/>
      <c r="E50" s="589"/>
      <c r="F50" s="589"/>
      <c r="G50" s="589"/>
      <c r="H50" s="589"/>
      <c r="I50" s="589"/>
      <c r="K50" s="579" t="s">
        <v>1211</v>
      </c>
      <c r="L50" s="580"/>
    </row>
    <row r="51" spans="1:12" ht="14.1" customHeight="1">
      <c r="A51" s="91"/>
      <c r="B51" s="91"/>
      <c r="C51" s="91"/>
      <c r="D51" s="91"/>
      <c r="E51" s="91"/>
      <c r="F51" s="91"/>
      <c r="G51" s="91"/>
      <c r="H51" s="91"/>
      <c r="I51" s="91"/>
      <c r="K51" s="590" t="s">
        <v>2190</v>
      </c>
      <c r="L51" s="591"/>
    </row>
    <row r="52" spans="1:12" ht="14.1" customHeight="1">
      <c r="A52" s="589" t="s">
        <v>270</v>
      </c>
      <c r="B52" s="589"/>
      <c r="C52" s="589"/>
      <c r="D52" s="589"/>
      <c r="E52" s="589"/>
      <c r="F52" s="589"/>
      <c r="G52" s="589"/>
      <c r="H52" s="589"/>
      <c r="I52" s="589"/>
      <c r="K52" s="325"/>
      <c r="L52" s="326"/>
    </row>
    <row r="53" spans="1:12" ht="14.1" customHeight="1">
      <c r="A53" s="589" t="s">
        <v>525</v>
      </c>
      <c r="B53" s="589"/>
      <c r="C53" s="589"/>
      <c r="D53" s="589"/>
      <c r="E53" s="589"/>
      <c r="F53" s="589"/>
      <c r="G53" s="589"/>
      <c r="H53" s="589"/>
      <c r="I53" s="589"/>
    </row>
    <row r="54" spans="1:12" ht="14.1" customHeight="1">
      <c r="A54" s="589" t="s">
        <v>526</v>
      </c>
      <c r="B54" s="589"/>
      <c r="C54" s="589"/>
      <c r="D54" s="589"/>
      <c r="E54" s="589"/>
      <c r="F54" s="589"/>
      <c r="G54" s="589"/>
      <c r="H54" s="589"/>
      <c r="I54" s="589"/>
      <c r="K54" s="579" t="s">
        <v>1212</v>
      </c>
      <c r="L54" s="580"/>
    </row>
    <row r="55" spans="1:12">
      <c r="K55" s="335">
        <v>8</v>
      </c>
      <c r="L55" s="309" t="s">
        <v>157</v>
      </c>
    </row>
    <row r="56" spans="1:12">
      <c r="K56" s="325"/>
      <c r="L56" s="326"/>
    </row>
    <row r="58" spans="1:12">
      <c r="K58" s="579" t="s">
        <v>1213</v>
      </c>
      <c r="L58" s="580"/>
    </row>
    <row r="59" spans="1:12">
      <c r="K59" s="335">
        <v>8</v>
      </c>
      <c r="L59" s="309" t="s">
        <v>419</v>
      </c>
    </row>
    <row r="60" spans="1:12">
      <c r="K60" s="325"/>
      <c r="L60" s="326"/>
    </row>
  </sheetData>
  <mergeCells count="53">
    <mergeCell ref="E6:F6"/>
    <mergeCell ref="C16:I17"/>
    <mergeCell ref="K22:L22"/>
    <mergeCell ref="B9:D9"/>
    <mergeCell ref="K16:L16"/>
    <mergeCell ref="K15:L15"/>
    <mergeCell ref="C21:E21"/>
    <mergeCell ref="A15:I15"/>
    <mergeCell ref="A16:B17"/>
    <mergeCell ref="C18:I18"/>
    <mergeCell ref="C19:E19"/>
    <mergeCell ref="A20:B20"/>
    <mergeCell ref="A21:B21"/>
    <mergeCell ref="K6:L6"/>
    <mergeCell ref="K10:L10"/>
    <mergeCell ref="K12:L12"/>
    <mergeCell ref="A47:I47"/>
    <mergeCell ref="K8:L8"/>
    <mergeCell ref="K18:L18"/>
    <mergeCell ref="K14:L14"/>
    <mergeCell ref="C41:D41"/>
    <mergeCell ref="E41:I41"/>
    <mergeCell ref="K20:L20"/>
    <mergeCell ref="K26:L26"/>
    <mergeCell ref="K30:L30"/>
    <mergeCell ref="K31:L31"/>
    <mergeCell ref="A23:B23"/>
    <mergeCell ref="A22:B22"/>
    <mergeCell ref="A34:B34"/>
    <mergeCell ref="A35:B35"/>
    <mergeCell ref="C35:I35"/>
    <mergeCell ref="B42:I42"/>
    <mergeCell ref="A49:I49"/>
    <mergeCell ref="K50:L50"/>
    <mergeCell ref="K51:L51"/>
    <mergeCell ref="K54:L54"/>
    <mergeCell ref="A48:I48"/>
    <mergeCell ref="K58:L58"/>
    <mergeCell ref="K46:L46"/>
    <mergeCell ref="A24:B24"/>
    <mergeCell ref="C24:I24"/>
    <mergeCell ref="K34:L34"/>
    <mergeCell ref="K38:L38"/>
    <mergeCell ref="K39:L39"/>
    <mergeCell ref="A30:B30"/>
    <mergeCell ref="A46:I46"/>
    <mergeCell ref="E45:F45"/>
    <mergeCell ref="K42:L42"/>
    <mergeCell ref="K43:L43"/>
    <mergeCell ref="A54:I54"/>
    <mergeCell ref="A53:I53"/>
    <mergeCell ref="A52:I52"/>
    <mergeCell ref="A50:I50"/>
  </mergeCells>
  <dataValidations count="4">
    <dataValidation type="list" allowBlank="1" showInputMessage="1" showErrorMessage="1" sqref="C38:C39" xr:uid="{878BF9EA-1155-439A-AD76-17958B5E3A91}">
      <formula1>$B$38:$B$39</formula1>
    </dataValidation>
    <dataValidation type="list" allowBlank="1" showInputMessage="1" showErrorMessage="1" sqref="K19" xr:uid="{171A9B1B-398F-4C13-A2B7-C61EDB9CEEEF}">
      <formula1>$J$17:$J$18</formula1>
    </dataValidation>
    <dataValidation type="list" allowBlank="1" showInputMessage="1" showErrorMessage="1" sqref="L23" xr:uid="{3636029F-237F-4776-B9D0-1DEA4E0BCCFE}">
      <formula1>$J$25:$J$27</formula1>
    </dataValidation>
    <dataValidation type="list" allowBlank="1" showInputMessage="1" showErrorMessage="1" sqref="K35 K47:L47" xr:uid="{00F2BD3B-A641-4E87-9794-CD87CD08AE38}">
      <formula1>$J$33:$J$34</formula1>
    </dataValidation>
  </dataValidations>
  <pageMargins left="0.23622047244094491" right="0.23622047244094491" top="0.27559055118110237" bottom="0.15723270440251572" header="0.31496062992125984" footer="0.31496062992125984"/>
  <pageSetup scale="98" fitToWidth="0" orientation="portrait" r:id="rId3"/>
  <headerFooter>
    <oddHeader>&amp;C&amp;G</oddHeader>
  </headerFooter>
  <drawing r:id="rId4"/>
  <legacyDrawing r:id="rId5"/>
  <legacyDrawingHF r:id="rId6"/>
  <controls>
    <mc:AlternateContent xmlns:mc="http://schemas.openxmlformats.org/markup-compatibility/2006">
      <mc:Choice Requires="x14">
        <control shapeId="92234" r:id="rId7" name="Bt_cotiz2_planas_GUAR_PDF">
          <controlPr defaultSize="0" autoLine="0" r:id="rId8">
            <anchor moveWithCells="1">
              <from>
                <xdr:col>9</xdr:col>
                <xdr:colOff>121920</xdr:colOff>
                <xdr:row>0</xdr:row>
                <xdr:rowOff>83820</xdr:rowOff>
              </from>
              <to>
                <xdr:col>10</xdr:col>
                <xdr:colOff>807720</xdr:colOff>
                <xdr:row>2</xdr:row>
                <xdr:rowOff>68580</xdr:rowOff>
              </to>
            </anchor>
          </controlPr>
        </control>
      </mc:Choice>
      <mc:Fallback>
        <control shapeId="92234" r:id="rId7" name="Bt_cotiz2_planas_GUAR_PDF"/>
      </mc:Fallback>
    </mc:AlternateContent>
    <mc:AlternateContent xmlns:mc="http://schemas.openxmlformats.org/markup-compatibility/2006">
      <mc:Choice Requires="x14">
        <control shapeId="92233" r:id="rId9" name="bt_LOBBY_COTIZ2_PLANAS">
          <controlPr defaultSize="0" autoLine="0" autoPict="0" r:id="rId10">
            <anchor moveWithCells="1">
              <from>
                <xdr:col>11</xdr:col>
                <xdr:colOff>388620</xdr:colOff>
                <xdr:row>0</xdr:row>
                <xdr:rowOff>60960</xdr:rowOff>
              </from>
              <to>
                <xdr:col>12</xdr:col>
                <xdr:colOff>0</xdr:colOff>
                <xdr:row>2</xdr:row>
                <xdr:rowOff>99060</xdr:rowOff>
              </to>
            </anchor>
          </controlPr>
        </control>
      </mc:Choice>
      <mc:Fallback>
        <control shapeId="92233" r:id="rId9" name="bt_LOBBY_COTIZ2_PLANAS"/>
      </mc:Fallback>
    </mc:AlternateContent>
  </controls>
  <extLst>
    <ext xmlns:x14="http://schemas.microsoft.com/office/spreadsheetml/2009/9/main" uri="{CCE6A557-97BC-4b89-ADB6-D9C93CAAB3DF}">
      <x14:dataValidations xmlns:xm="http://schemas.microsoft.com/office/excel/2006/main" count="13">
        <x14:dataValidation type="list" allowBlank="1" showInputMessage="1" showErrorMessage="1" xr:uid="{D684F614-7A67-4F0E-9F27-90EA31E82930}">
          <x14:formula1>
            <xm:f>TARIFARIO!$B$80:$B$85</xm:f>
          </x14:formula1>
          <xm:sqref>K31</xm:sqref>
        </x14:dataValidation>
        <x14:dataValidation type="list" allowBlank="1" showInputMessage="1" showErrorMessage="1" xr:uid="{AAC7E2BC-4F61-400E-8C9C-D21B7D139A0C}">
          <x14:formula1>
            <xm:f>TARIFARIO!$B$94:$B$96</xm:f>
          </x14:formula1>
          <xm:sqref>L35</xm:sqref>
        </x14:dataValidation>
        <x14:dataValidation type="list" allowBlank="1" showInputMessage="1" showErrorMessage="1" xr:uid="{3B68D26F-4A7B-4B17-979F-509F50FC8812}">
          <x14:formula1>
            <xm:f>TARIFARIO!$B$121:$B$130</xm:f>
          </x14:formula1>
          <xm:sqref>K51</xm:sqref>
        </x14:dataValidation>
        <x14:dataValidation type="list" allowBlank="1" showInputMessage="1" showErrorMessage="1" xr:uid="{854A17EB-3072-46E5-9CEB-78E28D99084A}">
          <x14:formula1>
            <xm:f>'DATOS DE EQUIPAMIENTO'!$AH$11:$AH$23</xm:f>
          </x14:formula1>
          <xm:sqref>K55 L19</xm:sqref>
        </x14:dataValidation>
        <x14:dataValidation type="list" allowBlank="1" showInputMessage="1" showErrorMessage="1" xr:uid="{A946B942-D75E-42EF-8396-CBB07AFCB0BB}">
          <x14:formula1>
            <xm:f>'DATOS DE EQUIPAMIENTO'!$AL$11:$AL$23</xm:f>
          </x14:formula1>
          <xm:sqref>K59</xm:sqref>
        </x14:dataValidation>
        <x14:dataValidation type="list" allowBlank="1" showInputMessage="1" showErrorMessage="1" xr:uid="{76DF81C0-1CCC-4907-84D6-34616F668F81}">
          <x14:formula1>
            <xm:f>TARIFARIO!$B$180:$B$183</xm:f>
          </x14:formula1>
          <xm:sqref>L55</xm:sqref>
        </x14:dataValidation>
        <x14:dataValidation type="list" allowBlank="1" showInputMessage="1" showErrorMessage="1" xr:uid="{523FE9CA-A5F9-4C6B-A611-C576F19F2FDC}">
          <x14:formula1>
            <xm:f>TARIFARIO!$B$89:$B$91</xm:f>
          </x14:formula1>
          <xm:sqref>K15</xm:sqref>
        </x14:dataValidation>
        <x14:dataValidation type="list" allowBlank="1" showInputMessage="1" showErrorMessage="1" xr:uid="{DCDA4D2E-920D-41D7-9D58-B82A24F63AEE}">
          <x14:formula1>
            <xm:f>TARIFARIO!$B$69:$B$71</xm:f>
          </x14:formula1>
          <xm:sqref>M19</xm:sqref>
        </x14:dataValidation>
        <x14:dataValidation type="list" allowBlank="1" showInputMessage="1" showErrorMessage="1" xr:uid="{D9C90B57-7BF8-4124-AFA1-F7CEE4E1534E}">
          <x14:formula1>
            <xm:f>TARIFARIO!$B$151:$B$156</xm:f>
          </x14:formula1>
          <xm:sqref>K43:L43</xm:sqref>
        </x14:dataValidation>
        <x14:dataValidation type="list" allowBlank="1" showInputMessage="1" showErrorMessage="1" xr:uid="{FC95598F-348D-4D53-B004-6485C4605A68}">
          <x14:formula1>
            <xm:f>TARIFARIO!$B$134:$B$137</xm:f>
          </x14:formula1>
          <xm:sqref>L27</xm:sqref>
        </x14:dataValidation>
        <x14:dataValidation type="list" allowBlank="1" showInputMessage="1" showErrorMessage="1" xr:uid="{1FDD48C0-4FA0-4648-8B39-6743287B73D9}">
          <x14:formula1>
            <xm:f>TARIFARIO!$B$187:$B$195</xm:f>
          </x14:formula1>
          <xm:sqref>L59</xm:sqref>
        </x14:dataValidation>
        <x14:dataValidation type="list" allowBlank="1" showInputMessage="1" showErrorMessage="1" xr:uid="{D631B779-5369-411F-993B-071A3928E6A8}">
          <x14:formula1>
            <xm:f>TARIFARIO!$B$160:$B$172</xm:f>
          </x14:formula1>
          <xm:sqref>M35</xm:sqref>
        </x14:dataValidation>
        <x14:dataValidation type="list" allowBlank="1" showInputMessage="1" showErrorMessage="1" xr:uid="{84AB10FC-310C-4411-BD01-E406CDF410F7}">
          <x14:formula1>
            <xm:f>TARIFARIO!$B$160:$B$175</xm:f>
          </x14:formula1>
          <xm:sqref>K39:L39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809B4-E2CD-4CD6-83C5-CCF31AE88BDD}">
  <sheetPr codeName="Hoja411">
    <tabColor rgb="FF00B050"/>
  </sheetPr>
  <dimension ref="A1:AQ41"/>
  <sheetViews>
    <sheetView showGridLines="0" topLeftCell="J1" zoomScaleNormal="100" workbookViewId="0">
      <selection activeCell="AR20" sqref="AR20"/>
    </sheetView>
  </sheetViews>
  <sheetFormatPr baseColWidth="10" defaultRowHeight="14.4"/>
  <cols>
    <col min="2" max="2" width="29.6640625" customWidth="1"/>
    <col min="7" max="7" width="12.44140625" bestFit="1" customWidth="1"/>
    <col min="8" max="8" width="19.33203125" customWidth="1"/>
    <col min="9" max="9" width="7.6640625" customWidth="1"/>
    <col min="10" max="10" width="4.33203125" customWidth="1"/>
    <col min="11" max="11" width="5.6640625" hidden="1" customWidth="1"/>
    <col min="12" max="12" width="5.88671875" hidden="1" customWidth="1"/>
    <col min="15" max="15" width="4.44140625" customWidth="1"/>
    <col min="16" max="16" width="3.6640625" customWidth="1"/>
    <col min="17" max="17" width="12.88671875" customWidth="1"/>
    <col min="18" max="18" width="30.44140625" customWidth="1"/>
    <col min="19" max="19" width="10.6640625" customWidth="1"/>
    <col min="20" max="20" width="3.88671875" customWidth="1"/>
    <col min="21" max="21" width="3.33203125" customWidth="1"/>
    <col min="22" max="22" width="0.109375" hidden="1" customWidth="1"/>
    <col min="23" max="23" width="11.44140625" hidden="1" customWidth="1"/>
    <col min="24" max="24" width="5.88671875" hidden="1" customWidth="1"/>
    <col min="25" max="25" width="9.109375" hidden="1" customWidth="1"/>
    <col min="26" max="26" width="6.33203125" hidden="1" customWidth="1"/>
    <col min="27" max="27" width="6.6640625" hidden="1" customWidth="1"/>
    <col min="28" max="28" width="9.88671875" hidden="1" customWidth="1"/>
    <col min="29" max="29" width="10.109375" hidden="1" customWidth="1"/>
    <col min="30" max="30" width="10" hidden="1" customWidth="1"/>
    <col min="31" max="31" width="11.44140625" hidden="1" customWidth="1"/>
    <col min="32" max="32" width="19.88671875" hidden="1" customWidth="1"/>
    <col min="33" max="33" width="7.109375" hidden="1" customWidth="1"/>
    <col min="34" max="34" width="6.5546875" hidden="1" customWidth="1"/>
    <col min="35" max="39" width="11.44140625" hidden="1" customWidth="1"/>
    <col min="40" max="40" width="0.109375" hidden="1" customWidth="1"/>
    <col min="41" max="41" width="11.44140625" hidden="1" customWidth="1"/>
    <col min="42" max="42" width="20.33203125" hidden="1" customWidth="1"/>
    <col min="43" max="43" width="11.44140625" hidden="1" customWidth="1"/>
  </cols>
  <sheetData>
    <row r="1" spans="1:42">
      <c r="M1" s="531" t="s">
        <v>109</v>
      </c>
      <c r="N1" s="531"/>
      <c r="Y1" t="s">
        <v>383</v>
      </c>
    </row>
    <row r="2" spans="1:42">
      <c r="M2" s="531" t="str">
        <f ca="1">"FOL"&amp;"-"&amp;TEXT(N3,"dd-mm-aa")&amp;"-"&amp;O2</f>
        <v>FOL-22-09-26-2</v>
      </c>
      <c r="N2" s="531"/>
      <c r="O2" s="342">
        <v>2</v>
      </c>
      <c r="AE2" s="116" t="s">
        <v>109</v>
      </c>
      <c r="AF2" t="str">
        <f ca="1">M2</f>
        <v>FOL-22-09-26-2</v>
      </c>
    </row>
    <row r="3" spans="1:42">
      <c r="N3" s="340">
        <f ca="1">TODAY()</f>
        <v>46287</v>
      </c>
      <c r="W3" s="530" t="s">
        <v>384</v>
      </c>
      <c r="X3" s="530"/>
      <c r="AB3" t="str">
        <f>_xlfn.CONCAT(W4," ",X4,)</f>
        <v>EJES AMPRO</v>
      </c>
      <c r="AC3" s="7">
        <f>Y4</f>
        <v>24421</v>
      </c>
      <c r="AE3" s="118" t="s">
        <v>1</v>
      </c>
      <c r="AF3" t="str" vm="39">
        <f>B5</f>
        <v>GRUPO LOZAGUI SA DE CV</v>
      </c>
    </row>
    <row r="4" spans="1:42">
      <c r="N4" s="341" t="str">
        <f ca="1">TEXT(N3,"dd-mm-aa")&amp;"-"&amp;O2</f>
        <v>22-09-26-2</v>
      </c>
      <c r="W4" s="116" t="s">
        <v>41</v>
      </c>
      <c r="X4" t="str" cm="1">
        <f t="array" ref="X4">INDEX(EJES[EJES],'DATOS DE EQUIPAMIENTO'!B8)</f>
        <v>AMPRO</v>
      </c>
      <c r="Y4" s="6">
        <f>INDEX(EJES[],MATCH(X4,EJES[EJES],0),MATCH(Y1,EJES[#Headers],0))</f>
        <v>24421</v>
      </c>
      <c r="AB4" t="str">
        <f>_xlfn.CONCAT(W6," ",X6,)</f>
        <v xml:space="preserve"> </v>
      </c>
      <c r="AC4" s="7" t="e">
        <f>Y6</f>
        <v>#N/A</v>
      </c>
      <c r="AE4" s="118" t="s">
        <v>560</v>
      </c>
      <c r="AF4" t="str" cm="1">
        <f t="array" ref="AF4">INDEX(Tabla24[NOMBRE],PRODUCTOS!BF7)</f>
        <v>PLATAFORMA 2 40 FT</v>
      </c>
    </row>
    <row r="5" spans="1:42">
      <c r="A5" s="288" t="s">
        <v>1</v>
      </c>
      <c r="B5" s="9" t="s" vm="39">
        <v>701</v>
      </c>
      <c r="Q5" s="134" t="s">
        <v>1</v>
      </c>
      <c r="R5" s="135"/>
      <c r="W5" s="530"/>
      <c r="X5" s="530"/>
      <c r="AA5" s="123" t="str">
        <f>_xlfn.CONCAT(" ",X9," ","PATN(S)")</f>
        <v xml:space="preserve">  PATN(S)</v>
      </c>
      <c r="AB5" t="str">
        <f>_xlfn.CONCAT(W8," ",X8," ","/"," ","CON"," ",AA5)</f>
        <v xml:space="preserve">  / CON   PATN(S)</v>
      </c>
      <c r="AC5" s="7" t="e">
        <f>Y8</f>
        <v>#N/A</v>
      </c>
      <c r="AE5" s="118" t="s">
        <v>561</v>
      </c>
      <c r="AF5" t="str">
        <f>X26</f>
        <v>1</v>
      </c>
    </row>
    <row r="6" spans="1:42">
      <c r="Q6" s="134" t="s">
        <v>263</v>
      </c>
      <c r="R6" s="135"/>
      <c r="W6" s="118"/>
      <c r="Y6" s="6" t="e">
        <f>INDEX(SUSPENSION[],MATCH(X6,SUSPENSION[SUSPENSION],0),MATCH(Y1,SUSPENSION[#Headers],0))</f>
        <v>#N/A</v>
      </c>
      <c r="AB6" t="str">
        <f>_xlfn.CONCAT(W10," ",X10)</f>
        <v xml:space="preserve"> </v>
      </c>
      <c r="AC6" s="7" t="e">
        <f>Y10</f>
        <v>#N/A</v>
      </c>
      <c r="AE6" s="118" t="s">
        <v>41</v>
      </c>
      <c r="AF6" t="str" cm="1">
        <f t="array" ref="AF6">INDEX(Tabla39[MATERIAL / ACCESORIO],TARIFARIO!A89)</f>
        <v>EJES FLEET MASTER</v>
      </c>
    </row>
    <row r="7" spans="1:42">
      <c r="Q7" s="134" t="s">
        <v>387</v>
      </c>
      <c r="R7" s="135"/>
      <c r="W7" s="530"/>
      <c r="X7" s="530"/>
      <c r="AA7" t="str">
        <f>_xlfn.CONCAT("CON"," ",X12," ","WIN")</f>
        <v>CON 10 WIN</v>
      </c>
      <c r="AB7" t="str">
        <f>_xlfn.CONCAT(X11," ",W11)</f>
        <v xml:space="preserve"> </v>
      </c>
      <c r="AC7" s="7" t="e">
        <f>Y11</f>
        <v>#N/A</v>
      </c>
      <c r="AE7" s="118" t="s">
        <v>153</v>
      </c>
      <c r="AF7" t="str">
        <f>X18</f>
        <v>SISTEMA RETRÁCTIL</v>
      </c>
    </row>
    <row r="8" spans="1:42">
      <c r="Q8" s="134" t="s">
        <v>388</v>
      </c>
      <c r="R8" s="135"/>
      <c r="W8" s="120"/>
      <c r="Y8" t="e">
        <f>Y9*X9</f>
        <v>#N/A</v>
      </c>
      <c r="AB8" t="str">
        <f>_xlfn.CONCAT(W13," ",X13)</f>
        <v>GANCHO HOLLAND</v>
      </c>
      <c r="AC8" s="7">
        <f>Y13</f>
        <v>7100</v>
      </c>
      <c r="AE8" s="118" t="s">
        <v>562</v>
      </c>
      <c r="AF8" s="247">
        <f>X19</f>
        <v>1</v>
      </c>
    </row>
    <row r="9" spans="1:42">
      <c r="Q9" s="134" t="s">
        <v>389</v>
      </c>
      <c r="R9" s="135"/>
      <c r="W9" s="119"/>
      <c r="X9" s="129"/>
      <c r="Y9" s="127" t="e">
        <f>INDEX(PATINES[],MATCH(X8,PATINES[PATINES],0),MATCH($Y$1,PATINES[#Headers],0))</f>
        <v>#N/A</v>
      </c>
      <c r="AA9" t="str">
        <f>_xlfn.CONCAT("DE"," ",X16," ","m")</f>
        <v>DE  m</v>
      </c>
      <c r="AB9" t="str">
        <f>_xlfn.CONCAT(X15," ",AA9)</f>
        <v>CONCHA MADERA DE  m</v>
      </c>
      <c r="AC9" s="7">
        <f>Y15</f>
        <v>6240</v>
      </c>
      <c r="AE9" s="118" t="s">
        <v>363</v>
      </c>
      <c r="AF9" t="str" cm="1">
        <f t="array" ref="AF9">INDEX(SUSPENSIÓN[MATERIAL / ACCESORIO],TARIFARIO!A80)</f>
        <v>SUSPENSIÓN ALTA HENDRICKSON</v>
      </c>
    </row>
    <row r="10" spans="1:42">
      <c r="Q10" s="134" t="s">
        <v>262</v>
      </c>
      <c r="R10" s="136"/>
      <c r="W10" s="118"/>
      <c r="Y10" s="6" t="e">
        <f>INDEX(PISO[],MATCH(X10,PISO[PISO],0),MATCH(PISO[[#Headers],[PRECIO $ C/U]],PISO[#Headers],0))</f>
        <v>#N/A</v>
      </c>
      <c r="AB10" t="str">
        <f>_xlfn.CONCAT(W17," ",X17)</f>
        <v>REDILAS SIN REDILAS</v>
      </c>
      <c r="AC10" s="7">
        <f>Y17</f>
        <v>0</v>
      </c>
      <c r="AE10" s="118" t="s">
        <v>367</v>
      </c>
      <c r="AF10" t="str" cm="1">
        <f t="array" ref="AF10">INDEX(Tabla40[MATERIAL / ACCESORIO],TARIFARIO!A94)</f>
        <v>PATÍN HJ</v>
      </c>
    </row>
    <row r="11" spans="1:42">
      <c r="Q11" s="134" t="s">
        <v>145</v>
      </c>
      <c r="R11" s="135"/>
      <c r="W11" s="118"/>
      <c r="Y11" s="127" t="e">
        <f>INDEX(RIEL[],MATCH(X11,RIEL[RIEL],0),MATCH($Y$1,RIEL[#Headers],0))</f>
        <v>#N/A</v>
      </c>
      <c r="AA11" t="str">
        <f>_xlfn.CONCAT("CON"," ",X19," ","RETRAC.")</f>
        <v>CON 1 RETRAC.</v>
      </c>
      <c r="AB11" t="str">
        <f>_xlfn.CONCAT(X18," ",W18)</f>
        <v>SISTEMA RETRÁCTIL RETRACTIL</v>
      </c>
      <c r="AC11" s="7">
        <f>Y18</f>
        <v>15000</v>
      </c>
      <c r="AE11" s="118" t="s">
        <v>563</v>
      </c>
      <c r="AF11" cm="1">
        <f t="array" ref="AF11">INDEX(PATINES[CANTIDAD],'DATOS DE EQUIPAMIENTO'!I8)</f>
        <v>2</v>
      </c>
    </row>
    <row r="12" spans="1:42">
      <c r="Q12" s="134" t="s">
        <v>95</v>
      </c>
      <c r="R12" s="137"/>
      <c r="W12" s="119"/>
      <c r="X12" s="121" t="s">
        <v>556</v>
      </c>
      <c r="AA12" t="str">
        <f>_xlfn.CONCAT("CON"," ",X21," ","RIN(S)")</f>
        <v>CON 8 RIN(S)</v>
      </c>
      <c r="AB12" t="str">
        <f>_xlfn.CONCAT(W20," ",X20,)</f>
        <v>RINES RINES DE ACERO</v>
      </c>
      <c r="AC12" s="7">
        <f>Y20</f>
        <v>18400</v>
      </c>
      <c r="AE12" s="118" t="s">
        <v>71</v>
      </c>
      <c r="AF12" t="str" cm="1">
        <f t="array" ref="AF12">INDEX(RIEL[RIEL],'DATOS DE EQUIPAMIENTO'!O8)</f>
        <v>CON RIEL</v>
      </c>
    </row>
    <row r="13" spans="1:42">
      <c r="D13" t="s">
        <v>123</v>
      </c>
      <c r="W13" s="118" t="s">
        <v>371</v>
      </c>
      <c r="X13" t="str" cm="1">
        <f t="array" ref="X13">INDEX(GANCHO[GANCHO],'DATOS DE EQUIPAMIENTO'!R8)</f>
        <v>HOLLAND</v>
      </c>
      <c r="Y13" s="6">
        <f>INDEX(GANCHO[],MATCH(X13,GANCHO[GANCHO],0),MATCH($Y$1,GANCHO[#Headers],0))</f>
        <v>7100</v>
      </c>
      <c r="AA13" t="str">
        <f>_xlfn.CONCAT("CON"," ",X23," ","LLANT(S)")</f>
        <v>CON 8 LLANT(S)</v>
      </c>
      <c r="AB13" t="str">
        <f>_xlfn.CONCAT(W22," ",X22," ",AA13)</f>
        <v>LLANTAS LLANTAS BF GOODRICH CON 8 LLANT(S)</v>
      </c>
      <c r="AC13" s="7">
        <f>Y22</f>
        <v>36000</v>
      </c>
      <c r="AE13" s="118" t="s">
        <v>564</v>
      </c>
      <c r="AF13" s="248" t="str">
        <f>X12</f>
        <v>10</v>
      </c>
    </row>
    <row r="14" spans="1:42">
      <c r="W14" s="157" t="s">
        <v>380</v>
      </c>
      <c r="X14" s="128" cm="1">
        <f t="array" ref="X14">INDEX(GANCHO[CANTIDAD],'DATOS DE EQUIPAMIENTO'!S8)</f>
        <v>1</v>
      </c>
      <c r="AE14" s="118" t="s">
        <v>194</v>
      </c>
      <c r="AF14" t="str" cm="1">
        <f t="array" ref="AF14">INDEX(TARIFARIO!B69:B71,TARIFARIO!A69)</f>
        <v>MATRACA CORREDIZA</v>
      </c>
    </row>
    <row r="15" spans="1:42">
      <c r="W15" s="118" t="s">
        <v>374</v>
      </c>
      <c r="X15" t="str" cm="1">
        <f t="array" ref="X15">INDEX(FRENTE[FRENTE],'DATOS DE EQUIPAMIENTO'!W8)</f>
        <v>CONCHA MADERA</v>
      </c>
      <c r="Y15" s="6">
        <f>INDEX(FRENTE[],MATCH(X15,FRENTE[FRENTE],0),MATCH($Y$1,FRENTE[#Headers],0))</f>
        <v>6240</v>
      </c>
      <c r="AE15" s="118" t="s">
        <v>452</v>
      </c>
      <c r="AF15" t="str" cm="1">
        <f t="array" ref="AF15">INDEX(ABS[MATERIAL / ACCESORIO],TARIFARIO!A75)</f>
        <v>KIT DE ABS Y CONEXIONES 2 EJES</v>
      </c>
    </row>
    <row r="16" spans="1:42">
      <c r="W16" s="119" t="s">
        <v>381</v>
      </c>
      <c r="X16" s="167" t="s">
        <v>492</v>
      </c>
      <c r="Y16" s="6"/>
      <c r="AB16" t="s">
        <v>397</v>
      </c>
      <c r="AE16" s="118" t="s">
        <v>379</v>
      </c>
      <c r="AF16" t="str" cm="1">
        <f t="array" ref="AF16">INDEX(Tabla50[MATERIAL / ACCESORIO],TARIFARIO!A178)</f>
        <v>RINES DE ACERO</v>
      </c>
      <c r="AO16" s="118" t="s">
        <v>379</v>
      </c>
      <c r="AP16" cm="1">
        <f t="array" ref="AP16">INDEX(TARIFARIO!B180:B184,TARIFARIO!A180)</f>
        <v>0</v>
      </c>
    </row>
    <row r="17" spans="22:42">
      <c r="W17" s="118" t="s">
        <v>154</v>
      </c>
      <c r="X17" t="str" cm="1">
        <f t="array" ref="X17">INDEX(REDILAS[REDILAS],'DATOS DE EQUIPAMIENTO'!Z8)</f>
        <v>SIN REDILAS</v>
      </c>
      <c r="Y17" s="6">
        <f>INDEX(REDILAS[],MATCH(X17,REDILAS[REDILAS],0),MATCH($Y$1,REDILAS[#Headers],0))</f>
        <v>0</v>
      </c>
      <c r="AE17" s="118" t="s">
        <v>565</v>
      </c>
      <c r="AF17" cm="1">
        <f t="array" ref="AF17">INDEX(RINES[CANTIDAD],'DATOS DE EQUIPAMIENTO'!AH8)</f>
        <v>8</v>
      </c>
      <c r="AO17" s="118" t="s">
        <v>565</v>
      </c>
      <c r="AP17" cm="1">
        <f t="array" ref="AP17">INDEX(RINES[CANTIDAD],'DATOS DE EQUIPAMIENTO'!AH7)</f>
        <v>0</v>
      </c>
    </row>
    <row r="18" spans="22:42">
      <c r="W18" s="118" t="s">
        <v>153</v>
      </c>
      <c r="X18" t="str" cm="1">
        <f t="array" ref="X18">INDEX(RETRACTIL[RETRACTIL],'DATOS DE EQUIPAMIENTO'!AC8)</f>
        <v>SISTEMA RETRÁCTIL</v>
      </c>
      <c r="Y18" s="6">
        <f>IFERROR(X19*Y19,"$")</f>
        <v>15000</v>
      </c>
      <c r="AE18" s="118" t="s">
        <v>340</v>
      </c>
      <c r="AF18" t="str" cm="1">
        <f t="array" ref="AF18">INDEX(Tabla51[MATERIAL / ACCESORIO],TARIFARIO!A185)</f>
        <v>LLANTAS CHINAS</v>
      </c>
      <c r="AO18" s="118" t="s">
        <v>340</v>
      </c>
      <c r="AP18" t="str" cm="1">
        <f t="array" ref="AP18">INDEX(Tabla51[MATERIAL / ACCESORIO],TARIFARIO!A188)</f>
        <v xml:space="preserve"> </v>
      </c>
    </row>
    <row r="19" spans="22:42">
      <c r="W19" s="119" t="s">
        <v>380</v>
      </c>
      <c r="X19" s="156" cm="1">
        <f t="array" ref="X19">INDEX(RETRACTIL[CANTIDAD],'DATOS DE EQUIPAMIENTO'!AD8)</f>
        <v>1</v>
      </c>
      <c r="Y19" s="127">
        <f>INDEX(RETRACTIL[],MATCH(X18,RETRACTIL[RETRACTIL],0),MATCH($Y$1,RETRACTIL[#Headers],0))</f>
        <v>15000</v>
      </c>
      <c r="AE19" s="118" t="s">
        <v>566</v>
      </c>
      <c r="AF19">
        <f>X23</f>
        <v>8</v>
      </c>
      <c r="AO19" s="118" t="s">
        <v>566</v>
      </c>
      <c r="AP19" cm="1">
        <f t="array" ref="AP19">INDEX(Tabla29[CANTIDAD],'DATOS DE EQUIPAMIENTO'!AL7)</f>
        <v>0</v>
      </c>
    </row>
    <row r="20" spans="22:42">
      <c r="W20" s="118" t="s">
        <v>379</v>
      </c>
      <c r="X20" t="str" cm="1">
        <f t="array" ref="X20">INDEX(RINES[RINES],'DATOS DE EQUIPAMIENTO'!AG8)</f>
        <v>RINES DE ACERO</v>
      </c>
      <c r="Y20" s="6">
        <f>X21*Y21</f>
        <v>18400</v>
      </c>
      <c r="AE20" s="118" t="s">
        <v>374</v>
      </c>
      <c r="AF20" t="str" cm="1">
        <f t="array" ref="AF20">INDEX(Tabla49[MATERIAL / ACCESORIO],TARIFARIO!A158)</f>
        <v>SIN FRENTE</v>
      </c>
      <c r="AO20" s="118" t="s">
        <v>374</v>
      </c>
      <c r="AP20" t="str" cm="1">
        <f t="array" ref="AP20">IFERROR(INDEX(Tabla49[MATERIAL / ACCESORIO],TARIFARIO!A164),"")</f>
        <v/>
      </c>
    </row>
    <row r="21" spans="22:42">
      <c r="W21" s="119" t="s">
        <v>380</v>
      </c>
      <c r="X21" s="122" cm="1">
        <f t="array" ref="X21">INDEX(RINES[CANTIDAD],'DATOS DE EQUIPAMIENTO'!AH8)</f>
        <v>8</v>
      </c>
      <c r="Y21" s="127">
        <f>INDEX(RINES[],MATCH(X20,RINES[RINES],0),MATCH($Y$1,RINES[#Headers],0))</f>
        <v>2300</v>
      </c>
      <c r="AE21" s="118" t="s">
        <v>381</v>
      </c>
      <c r="AF21" s="250" t="str">
        <f>X16</f>
        <v/>
      </c>
    </row>
    <row r="22" spans="22:42">
      <c r="W22" s="117" t="s">
        <v>340</v>
      </c>
      <c r="X22" t="str" cm="1">
        <f t="array" ref="X22">INDEX(Tabla29[LLANTAS],'DATOS DE EQUIPAMIENTO'!AK8)</f>
        <v>LLANTAS BF GOODRICH</v>
      </c>
      <c r="Y22" s="138">
        <f>X23*Y23</f>
        <v>36000</v>
      </c>
      <c r="AE22" s="118" t="s">
        <v>370</v>
      </c>
      <c r="AF22" t="str" cm="1">
        <f t="array" ref="AF22">INDEX(Tabla43[MATERIAL / ACCESORIO],'BASE DAT PLANAS'!A88)</f>
        <v>PISO DE PLÁSTICO</v>
      </c>
    </row>
    <row r="23" spans="22:42">
      <c r="W23" s="119" t="s">
        <v>380</v>
      </c>
      <c r="X23" s="125" cm="1">
        <f t="array" ref="X23">INDEX(Tabla29[CANTIDAD],'DATOS DE EQUIPAMIENTO'!AL8,0)</f>
        <v>8</v>
      </c>
      <c r="Y23" s="127">
        <f>INDEX(Tabla29[],MATCH(X22,Tabla29[LLANTAS],0),MATCH($Y$1,Tabla29[#Headers],0))</f>
        <v>4500</v>
      </c>
      <c r="AE23" s="118" t="s">
        <v>154</v>
      </c>
      <c r="AF23" t="str" cm="1">
        <f t="array" ref="AF23">INDEX(Tabla48[MATERIAL / ACCESORIO],TARIFARIO!A149)</f>
        <v>SIN REDILAS</v>
      </c>
    </row>
    <row r="24" spans="22:42">
      <c r="W24" s="39" t="s">
        <v>394</v>
      </c>
      <c r="X24" t="str" cm="1">
        <f t="array" ref="X24">INDEX(Tabla9[CLAFONES],'DATOS DE EQUIPAMIENTO'!AO8)</f>
        <v>CARRITO</v>
      </c>
      <c r="AE24" s="117" t="s">
        <v>371</v>
      </c>
      <c r="AF24" t="str" cm="1">
        <f t="array" ref="AF24">INDEX(Tabla44[MATERIAL / ACCESORIO],TARIFARIO!A134)</f>
        <v>GANCHO HOLLAND 8/10 BARRENOS</v>
      </c>
    </row>
    <row r="25" spans="22:42">
      <c r="W25" s="119" t="s">
        <v>452</v>
      </c>
      <c r="X25" t="s">
        <v>485</v>
      </c>
      <c r="AE25" s="39" t="s">
        <v>494</v>
      </c>
      <c r="AF25" t="str" cm="1">
        <f t="array" ref="AF25:AN27">'PRES PLANAS'!A4:I6</f>
        <v>SEMIREMOLQUE TIPO: PLATAFORMA 40 FT 2 EJES, CON SUSPENSIÓN ALTA HENDRICKSON, EJES FLEET MASTER, 2 PAR DE PATÍN HJ, PISO DE PLÁSTICO CAFÉ, CON RIEL, 10 MATRACA CORREDIZA, GANCHO HOLLAND 8/10 BARRENOS, SIN FRENTE, SIN REDILAS, 1 SISTEMA RETRÁCTIL, 8 RINES DE ACERO,   8 LLANTAS CHINAS,  1 CANASTILLA, 1 BICiCLETERA, 16 PLAFONES DE CARRITO ROJOS P/ESTRIBO, PLAFONES DE CARRITO AMBAR LATERALES</v>
      </c>
      <c r="AG25">
        <v>0</v>
      </c>
      <c r="AH25">
        <v>0</v>
      </c>
      <c r="AI25">
        <v>0</v>
      </c>
      <c r="AJ25">
        <v>0</v>
      </c>
      <c r="AK25">
        <v>0</v>
      </c>
      <c r="AL25">
        <v>0</v>
      </c>
      <c r="AM25">
        <v>0</v>
      </c>
      <c r="AN25">
        <v>0</v>
      </c>
    </row>
    <row r="26" spans="22:42">
      <c r="W26" s="39" t="s">
        <v>491</v>
      </c>
      <c r="X26" t="s">
        <v>485</v>
      </c>
      <c r="AF26">
        <v>0</v>
      </c>
      <c r="AG26">
        <v>0</v>
      </c>
      <c r="AH26">
        <v>0</v>
      </c>
      <c r="AI26">
        <v>0</v>
      </c>
      <c r="AJ26">
        <v>0</v>
      </c>
      <c r="AK26">
        <v>0</v>
      </c>
      <c r="AL26">
        <v>0</v>
      </c>
      <c r="AM26">
        <v>0</v>
      </c>
      <c r="AN26">
        <v>0</v>
      </c>
    </row>
    <row r="27" spans="22:42">
      <c r="W27" s="119" t="s">
        <v>429</v>
      </c>
      <c r="AF27">
        <v>0</v>
      </c>
      <c r="AG27">
        <v>0</v>
      </c>
      <c r="AH27">
        <v>0</v>
      </c>
      <c r="AI27">
        <v>0</v>
      </c>
      <c r="AJ27">
        <v>0</v>
      </c>
      <c r="AK27">
        <v>0</v>
      </c>
      <c r="AL27">
        <v>0</v>
      </c>
      <c r="AM27">
        <v>0</v>
      </c>
      <c r="AN27">
        <v>0</v>
      </c>
    </row>
    <row r="28" spans="22:42">
      <c r="W28" t="s">
        <v>485</v>
      </c>
    </row>
    <row r="29" spans="22:42">
      <c r="W29" t="s">
        <v>485</v>
      </c>
    </row>
    <row r="30" spans="22:42">
      <c r="W30" t="s">
        <v>492</v>
      </c>
    </row>
    <row r="31" spans="22:42">
      <c r="W31" t="s">
        <v>492</v>
      </c>
    </row>
    <row r="32" spans="22:42">
      <c r="V32" t="s">
        <v>429</v>
      </c>
      <c r="W32" t="s">
        <v>492</v>
      </c>
    </row>
    <row r="33" spans="22:23">
      <c r="V33" t="s">
        <v>485</v>
      </c>
      <c r="W33" t="s">
        <v>492</v>
      </c>
    </row>
    <row r="34" spans="22:23">
      <c r="V34" t="s">
        <v>485</v>
      </c>
    </row>
    <row r="35" spans="22:23">
      <c r="V35" t="s">
        <v>2638</v>
      </c>
    </row>
    <row r="36" spans="22:23">
      <c r="V36" t="s">
        <v>2639</v>
      </c>
    </row>
    <row r="37" spans="22:23">
      <c r="V37" t="s">
        <v>492</v>
      </c>
    </row>
    <row r="38" spans="22:23">
      <c r="V38" t="s">
        <v>492</v>
      </c>
    </row>
    <row r="39" spans="22:23">
      <c r="V39" t="s">
        <v>492</v>
      </c>
    </row>
    <row r="41" spans="22:23">
      <c r="V41" t="s">
        <v>1423</v>
      </c>
      <c r="W41" t="str" cm="1">
        <f t="array" ref="W41">INDEX(CLOR[COLOR],TARIFARIO!A236)</f>
        <v xml:space="preserve"> </v>
      </c>
    </row>
  </sheetData>
  <mergeCells count="5">
    <mergeCell ref="W5:X5"/>
    <mergeCell ref="W3:X3"/>
    <mergeCell ref="W7:X7"/>
    <mergeCell ref="M2:N2"/>
    <mergeCell ref="M1:N1"/>
  </mergeCells>
  <pageMargins left="0.7" right="0.7" top="0.75" bottom="0.75" header="0.3" footer="0.3"/>
  <pageSetup paperSize="9" orientation="portrait" r:id="rId2"/>
  <drawing r:id="rId3"/>
  <legacyDrawing r:id="rId4"/>
  <picture r:id="rId5"/>
  <controls>
    <mc:AlternateContent xmlns:mc="http://schemas.openxmlformats.org/markup-compatibility/2006">
      <mc:Choice Requires="x14">
        <control shapeId="11356" r:id="rId6" name="CommandButton1">
          <controlPr defaultSize="0" autoLine="0" r:id="rId7">
            <anchor>
              <from>
                <xdr:col>7</xdr:col>
                <xdr:colOff>487680</xdr:colOff>
                <xdr:row>0</xdr:row>
                <xdr:rowOff>0</xdr:rowOff>
              </from>
              <to>
                <xdr:col>9</xdr:col>
                <xdr:colOff>198120</xdr:colOff>
                <xdr:row>2</xdr:row>
                <xdr:rowOff>53340</xdr:rowOff>
              </to>
            </anchor>
          </controlPr>
        </control>
      </mc:Choice>
      <mc:Fallback>
        <control shapeId="11356" r:id="rId6" name="CommandButton1"/>
      </mc:Fallback>
    </mc:AlternateContent>
    <mc:AlternateContent xmlns:mc="http://schemas.openxmlformats.org/markup-compatibility/2006">
      <mc:Choice Requires="x14">
        <control shapeId="11354" r:id="rId8" name="TextBox4">
          <controlPr locked="0" defaultSize="0" autoLine="0" linkedCell="X26" r:id="rId9">
            <anchor moveWithCells="1">
              <from>
                <xdr:col>5</xdr:col>
                <xdr:colOff>121920</xdr:colOff>
                <xdr:row>5</xdr:row>
                <xdr:rowOff>175260</xdr:rowOff>
              </from>
              <to>
                <xdr:col>6</xdr:col>
                <xdr:colOff>38100</xdr:colOff>
                <xdr:row>7</xdr:row>
                <xdr:rowOff>99060</xdr:rowOff>
              </to>
            </anchor>
          </controlPr>
        </control>
      </mc:Choice>
      <mc:Fallback>
        <control shapeId="11354" r:id="rId8" name="TextBox4"/>
      </mc:Fallback>
    </mc:AlternateContent>
    <mc:AlternateContent xmlns:mc="http://schemas.openxmlformats.org/markup-compatibility/2006">
      <mc:Choice Requires="x14">
        <control shapeId="11307" r:id="rId10" name="TextBox1">
          <controlPr locked="0" defaultSize="0" autoLine="0" linkedCell="X12" r:id="rId11">
            <anchor moveWithCells="1">
              <from>
                <xdr:col>1</xdr:col>
                <xdr:colOff>403860</xdr:colOff>
                <xdr:row>22</xdr:row>
                <xdr:rowOff>38100</xdr:rowOff>
              </from>
              <to>
                <xdr:col>1</xdr:col>
                <xdr:colOff>1059180</xdr:colOff>
                <xdr:row>23</xdr:row>
                <xdr:rowOff>99060</xdr:rowOff>
              </to>
            </anchor>
          </controlPr>
        </control>
      </mc:Choice>
      <mc:Fallback>
        <control shapeId="11307" r:id="rId10" name="TextBox1"/>
      </mc:Fallback>
    </mc:AlternateContent>
    <mc:AlternateContent xmlns:mc="http://schemas.openxmlformats.org/markup-compatibility/2006">
      <mc:Choice Requires="x14">
        <control shapeId="11365" r:id="rId12" name="TextBox5">
          <controlPr defaultSize="0" autoLine="0" linkedCell="V33" r:id="rId13">
            <anchor moveWithCells="1">
              <from>
                <xdr:col>2</xdr:col>
                <xdr:colOff>15240</xdr:colOff>
                <xdr:row>28</xdr:row>
                <xdr:rowOff>68580</xdr:rowOff>
              </from>
              <to>
                <xdr:col>2</xdr:col>
                <xdr:colOff>716280</xdr:colOff>
                <xdr:row>29</xdr:row>
                <xdr:rowOff>114300</xdr:rowOff>
              </to>
            </anchor>
          </controlPr>
        </control>
      </mc:Choice>
      <mc:Fallback>
        <control shapeId="11365" r:id="rId12" name="TextBox5"/>
      </mc:Fallback>
    </mc:AlternateContent>
    <mc:AlternateContent xmlns:mc="http://schemas.openxmlformats.org/markup-compatibility/2006">
      <mc:Choice Requires="x14">
        <control shapeId="11366" r:id="rId14" name="TextBox6">
          <controlPr defaultSize="0" autoLine="0" linkedCell="V34" r:id="rId15">
            <anchor moveWithCells="1">
              <from>
                <xdr:col>2</xdr:col>
                <xdr:colOff>0</xdr:colOff>
                <xdr:row>30</xdr:row>
                <xdr:rowOff>38100</xdr:rowOff>
              </from>
              <to>
                <xdr:col>2</xdr:col>
                <xdr:colOff>701040</xdr:colOff>
                <xdr:row>31</xdr:row>
                <xdr:rowOff>83820</xdr:rowOff>
              </to>
            </anchor>
          </controlPr>
        </control>
      </mc:Choice>
      <mc:Fallback>
        <control shapeId="11366" r:id="rId14" name="TextBox6"/>
      </mc:Fallback>
    </mc:AlternateContent>
    <mc:AlternateContent xmlns:mc="http://schemas.openxmlformats.org/markup-compatibility/2006">
      <mc:Choice Requires="x14">
        <control shapeId="11367" r:id="rId16" name="TextBox7">
          <controlPr defaultSize="0" autoLine="0" linkedCell="V35" r:id="rId17">
            <anchor moveWithCells="1">
              <from>
                <xdr:col>2</xdr:col>
                <xdr:colOff>0</xdr:colOff>
                <xdr:row>31</xdr:row>
                <xdr:rowOff>175260</xdr:rowOff>
              </from>
              <to>
                <xdr:col>2</xdr:col>
                <xdr:colOff>701040</xdr:colOff>
                <xdr:row>33</xdr:row>
                <xdr:rowOff>38100</xdr:rowOff>
              </to>
            </anchor>
          </controlPr>
        </control>
      </mc:Choice>
      <mc:Fallback>
        <control shapeId="11367" r:id="rId16" name="TextBox7"/>
      </mc:Fallback>
    </mc:AlternateContent>
    <mc:AlternateContent xmlns:mc="http://schemas.openxmlformats.org/markup-compatibility/2006">
      <mc:Choice Requires="x14">
        <control shapeId="11368" r:id="rId18" name="TextBox8">
          <controlPr defaultSize="0" autoLine="0" autoPict="0" linkedCell="V36" r:id="rId19">
            <anchor moveWithCells="1">
              <from>
                <xdr:col>5</xdr:col>
                <xdr:colOff>701040</xdr:colOff>
                <xdr:row>28</xdr:row>
                <xdr:rowOff>91440</xdr:rowOff>
              </from>
              <to>
                <xdr:col>6</xdr:col>
                <xdr:colOff>579120</xdr:colOff>
                <xdr:row>29</xdr:row>
                <xdr:rowOff>137160</xdr:rowOff>
              </to>
            </anchor>
          </controlPr>
        </control>
      </mc:Choice>
      <mc:Fallback>
        <control shapeId="11368" r:id="rId18" name="TextBox8"/>
      </mc:Fallback>
    </mc:AlternateContent>
    <mc:AlternateContent xmlns:mc="http://schemas.openxmlformats.org/markup-compatibility/2006">
      <mc:Choice Requires="x14">
        <control shapeId="11369" r:id="rId20" name="TextBox9">
          <controlPr defaultSize="0" autoLine="0" autoPict="0" linkedCell="V37" r:id="rId21">
            <anchor moveWithCells="1">
              <from>
                <xdr:col>5</xdr:col>
                <xdr:colOff>731520</xdr:colOff>
                <xdr:row>30</xdr:row>
                <xdr:rowOff>60960</xdr:rowOff>
              </from>
              <to>
                <xdr:col>6</xdr:col>
                <xdr:colOff>609600</xdr:colOff>
                <xdr:row>31</xdr:row>
                <xdr:rowOff>106680</xdr:rowOff>
              </to>
            </anchor>
          </controlPr>
        </control>
      </mc:Choice>
      <mc:Fallback>
        <control shapeId="11369" r:id="rId20" name="TextBox9"/>
      </mc:Fallback>
    </mc:AlternateContent>
    <mc:AlternateContent xmlns:mc="http://schemas.openxmlformats.org/markup-compatibility/2006">
      <mc:Choice Requires="x14">
        <control shapeId="11370" r:id="rId22" name="TextBox10">
          <controlPr defaultSize="0" autoLine="0" autoPict="0" linkedCell="V38" r:id="rId21">
            <anchor moveWithCells="1">
              <from>
                <xdr:col>5</xdr:col>
                <xdr:colOff>739140</xdr:colOff>
                <xdr:row>32</xdr:row>
                <xdr:rowOff>45720</xdr:rowOff>
              </from>
              <to>
                <xdr:col>6</xdr:col>
                <xdr:colOff>617220</xdr:colOff>
                <xdr:row>33</xdr:row>
                <xdr:rowOff>91440</xdr:rowOff>
              </to>
            </anchor>
          </controlPr>
        </control>
      </mc:Choice>
      <mc:Fallback>
        <control shapeId="11370" r:id="rId22" name="TextBox10"/>
      </mc:Fallback>
    </mc:AlternateContent>
    <mc:AlternateContent xmlns:mc="http://schemas.openxmlformats.org/markup-compatibility/2006">
      <mc:Choice Requires="x14">
        <control shapeId="11373" r:id="rId23" name="TextBox11">
          <controlPr defaultSize="0" autoLine="0" linkedCell="V39" r:id="rId24">
            <anchor moveWithCells="1">
              <from>
                <xdr:col>1</xdr:col>
                <xdr:colOff>2026920</xdr:colOff>
                <xdr:row>33</xdr:row>
                <xdr:rowOff>175260</xdr:rowOff>
              </from>
              <to>
                <xdr:col>2</xdr:col>
                <xdr:colOff>708660</xdr:colOff>
                <xdr:row>35</xdr:row>
                <xdr:rowOff>38100</xdr:rowOff>
              </to>
            </anchor>
          </controlPr>
        </control>
      </mc:Choice>
      <mc:Fallback>
        <control shapeId="11373" r:id="rId23" name="TextBox11"/>
      </mc:Fallback>
    </mc:AlternateContent>
    <mc:AlternateContent xmlns:mc="http://schemas.openxmlformats.org/markup-compatibility/2006">
      <mc:Choice Requires="x14">
        <control shapeId="11267" r:id="rId25" name="Drop Down 3">
          <controlPr defaultSize="0" autoLine="0" autoPict="0">
            <anchor>
              <from>
                <xdr:col>1</xdr:col>
                <xdr:colOff>320040</xdr:colOff>
                <xdr:row>8</xdr:row>
                <xdr:rowOff>60960</xdr:rowOff>
              </from>
              <to>
                <xdr:col>1</xdr:col>
                <xdr:colOff>1805940</xdr:colOff>
                <xdr:row>9</xdr:row>
                <xdr:rowOff>99060</xdr:rowOff>
              </to>
            </anchor>
          </controlPr>
        </control>
      </mc:Choice>
    </mc:AlternateContent>
    <mc:AlternateContent xmlns:mc="http://schemas.openxmlformats.org/markup-compatibility/2006">
      <mc:Choice Requires="x14">
        <control shapeId="11280" r:id="rId26" name="Drop Down 16">
          <controlPr defaultSize="0" autoLine="0" autoPict="0">
            <anchor moveWithCells="1">
              <from>
                <xdr:col>1</xdr:col>
                <xdr:colOff>579120</xdr:colOff>
                <xdr:row>10</xdr:row>
                <xdr:rowOff>76200</xdr:rowOff>
              </from>
              <to>
                <xdr:col>2</xdr:col>
                <xdr:colOff>388620</xdr:colOff>
                <xdr:row>11</xdr:row>
                <xdr:rowOff>121920</xdr:rowOff>
              </to>
            </anchor>
          </controlPr>
        </control>
      </mc:Choice>
    </mc:AlternateContent>
    <mc:AlternateContent xmlns:mc="http://schemas.openxmlformats.org/markup-compatibility/2006">
      <mc:Choice Requires="x14">
        <control shapeId="11281" r:id="rId27" name="Drop Down 17">
          <controlPr defaultSize="0" autoLine="0" autoPict="0">
            <anchor moveWithCells="1">
              <from>
                <xdr:col>1</xdr:col>
                <xdr:colOff>320040</xdr:colOff>
                <xdr:row>12</xdr:row>
                <xdr:rowOff>160020</xdr:rowOff>
              </from>
              <to>
                <xdr:col>1</xdr:col>
                <xdr:colOff>1478280</xdr:colOff>
                <xdr:row>14</xdr:row>
                <xdr:rowOff>38100</xdr:rowOff>
              </to>
            </anchor>
          </controlPr>
        </control>
      </mc:Choice>
    </mc:AlternateContent>
    <mc:AlternateContent xmlns:mc="http://schemas.openxmlformats.org/markup-compatibility/2006">
      <mc:Choice Requires="x14">
        <control shapeId="11299" r:id="rId28" name="Drop Down 35">
          <controlPr defaultSize="0" autoLine="0" autoPict="0">
            <anchor moveWithCells="1">
              <from>
                <xdr:col>1</xdr:col>
                <xdr:colOff>228600</xdr:colOff>
                <xdr:row>17</xdr:row>
                <xdr:rowOff>129540</xdr:rowOff>
              </from>
              <to>
                <xdr:col>2</xdr:col>
                <xdr:colOff>541020</xdr:colOff>
                <xdr:row>18</xdr:row>
                <xdr:rowOff>175260</xdr:rowOff>
              </to>
            </anchor>
          </controlPr>
        </control>
      </mc:Choice>
    </mc:AlternateContent>
    <mc:AlternateContent xmlns:mc="http://schemas.openxmlformats.org/markup-compatibility/2006">
      <mc:Choice Requires="x14">
        <control shapeId="11304" r:id="rId29" name="Drop Down 40">
          <controlPr locked="0" defaultSize="0" autoLine="0" autoPict="0">
            <anchor moveWithCells="1">
              <from>
                <xdr:col>0</xdr:col>
                <xdr:colOff>281940</xdr:colOff>
                <xdr:row>22</xdr:row>
                <xdr:rowOff>38100</xdr:rowOff>
              </from>
              <to>
                <xdr:col>1</xdr:col>
                <xdr:colOff>213360</xdr:colOff>
                <xdr:row>23</xdr:row>
                <xdr:rowOff>121920</xdr:rowOff>
              </to>
            </anchor>
          </controlPr>
        </control>
      </mc:Choice>
    </mc:AlternateContent>
    <mc:AlternateContent xmlns:mc="http://schemas.openxmlformats.org/markup-compatibility/2006">
      <mc:Choice Requires="x14">
        <control shapeId="11305" r:id="rId30" name="Drop Down 41">
          <controlPr defaultSize="0" autoLine="0" autoPict="0">
            <anchor moveWithCells="1">
              <from>
                <xdr:col>2</xdr:col>
                <xdr:colOff>297180</xdr:colOff>
                <xdr:row>12</xdr:row>
                <xdr:rowOff>160020</xdr:rowOff>
              </from>
              <to>
                <xdr:col>3</xdr:col>
                <xdr:colOff>99060</xdr:colOff>
                <xdr:row>14</xdr:row>
                <xdr:rowOff>30480</xdr:rowOff>
              </to>
            </anchor>
          </controlPr>
        </control>
      </mc:Choice>
    </mc:AlternateContent>
    <mc:AlternateContent xmlns:mc="http://schemas.openxmlformats.org/markup-compatibility/2006">
      <mc:Choice Requires="x14">
        <control shapeId="11308" r:id="rId31" name="Drop Down 44">
          <controlPr defaultSize="0" autoLine="0" autoPict="0">
            <anchor moveWithCells="1">
              <from>
                <xdr:col>1</xdr:col>
                <xdr:colOff>312420</xdr:colOff>
                <xdr:row>23</xdr:row>
                <xdr:rowOff>160020</xdr:rowOff>
              </from>
              <to>
                <xdr:col>1</xdr:col>
                <xdr:colOff>1813560</xdr:colOff>
                <xdr:row>25</xdr:row>
                <xdr:rowOff>38100</xdr:rowOff>
              </to>
            </anchor>
          </controlPr>
        </control>
      </mc:Choice>
    </mc:AlternateContent>
    <mc:AlternateContent xmlns:mc="http://schemas.openxmlformats.org/markup-compatibility/2006">
      <mc:Choice Requires="x14">
        <control shapeId="11310" r:id="rId32" name="Drop Down 46">
          <controlPr locked="0" defaultSize="0" autoLine="0" autoPict="0">
            <anchor moveWithCells="1">
              <from>
                <xdr:col>5</xdr:col>
                <xdr:colOff>152400</xdr:colOff>
                <xdr:row>8</xdr:row>
                <xdr:rowOff>106680</xdr:rowOff>
              </from>
              <to>
                <xdr:col>7</xdr:col>
                <xdr:colOff>449580</xdr:colOff>
                <xdr:row>10</xdr:row>
                <xdr:rowOff>0</xdr:rowOff>
              </to>
            </anchor>
          </controlPr>
        </control>
      </mc:Choice>
    </mc:AlternateContent>
    <mc:AlternateContent xmlns:mc="http://schemas.openxmlformats.org/markup-compatibility/2006">
      <mc:Choice Requires="x14">
        <control shapeId="11312" r:id="rId33" name="Drop Down 48">
          <controlPr defaultSize="0" autoLine="0" autoPict="0">
            <anchor moveWithCells="1">
              <from>
                <xdr:col>5</xdr:col>
                <xdr:colOff>281940</xdr:colOff>
                <xdr:row>12</xdr:row>
                <xdr:rowOff>22860</xdr:rowOff>
              </from>
              <to>
                <xdr:col>7</xdr:col>
                <xdr:colOff>190500</xdr:colOff>
                <xdr:row>13</xdr:row>
                <xdr:rowOff>91440</xdr:rowOff>
              </to>
            </anchor>
          </controlPr>
        </control>
      </mc:Choice>
    </mc:AlternateContent>
    <mc:AlternateContent xmlns:mc="http://schemas.openxmlformats.org/markup-compatibility/2006">
      <mc:Choice Requires="x14">
        <control shapeId="11313" r:id="rId34" name="Drop Down 49">
          <controlPr locked="0" defaultSize="0" autoLine="0" autoPict="0">
            <anchor moveWithCells="1">
              <from>
                <xdr:col>5</xdr:col>
                <xdr:colOff>281940</xdr:colOff>
                <xdr:row>13</xdr:row>
                <xdr:rowOff>167640</xdr:rowOff>
              </from>
              <to>
                <xdr:col>7</xdr:col>
                <xdr:colOff>220980</xdr:colOff>
                <xdr:row>15</xdr:row>
                <xdr:rowOff>53340</xdr:rowOff>
              </to>
            </anchor>
          </controlPr>
        </control>
      </mc:Choice>
    </mc:AlternateContent>
    <mc:AlternateContent xmlns:mc="http://schemas.openxmlformats.org/markup-compatibility/2006">
      <mc:Choice Requires="x14">
        <control shapeId="11314" r:id="rId35" name="Drop Down 50">
          <controlPr locked="0" defaultSize="0" autoLine="0" autoPict="0">
            <anchor moveWithCells="1">
              <from>
                <xdr:col>7</xdr:col>
                <xdr:colOff>1173480</xdr:colOff>
                <xdr:row>13</xdr:row>
                <xdr:rowOff>160020</xdr:rowOff>
              </from>
              <to>
                <xdr:col>8</xdr:col>
                <xdr:colOff>411480</xdr:colOff>
                <xdr:row>15</xdr:row>
                <xdr:rowOff>22860</xdr:rowOff>
              </to>
            </anchor>
          </controlPr>
        </control>
      </mc:Choice>
    </mc:AlternateContent>
    <mc:AlternateContent xmlns:mc="http://schemas.openxmlformats.org/markup-compatibility/2006">
      <mc:Choice Requires="x14">
        <control shapeId="11316" r:id="rId36" name="Drop Down 52">
          <controlPr locked="0" defaultSize="0" autoLine="0" autoPict="0">
            <anchor moveWithCells="1">
              <from>
                <xdr:col>5</xdr:col>
                <xdr:colOff>99060</xdr:colOff>
                <xdr:row>16</xdr:row>
                <xdr:rowOff>68580</xdr:rowOff>
              </from>
              <to>
                <xdr:col>6</xdr:col>
                <xdr:colOff>739140</xdr:colOff>
                <xdr:row>17</xdr:row>
                <xdr:rowOff>144780</xdr:rowOff>
              </to>
            </anchor>
          </controlPr>
        </control>
      </mc:Choice>
    </mc:AlternateContent>
    <mc:AlternateContent xmlns:mc="http://schemas.openxmlformats.org/markup-compatibility/2006">
      <mc:Choice Requires="x14">
        <control shapeId="11318" r:id="rId37" name="Drop Down 54">
          <controlPr locked="0" defaultSize="0" autoLine="0" autoPict="0">
            <anchor moveWithCells="1">
              <from>
                <xdr:col>5</xdr:col>
                <xdr:colOff>167640</xdr:colOff>
                <xdr:row>20</xdr:row>
                <xdr:rowOff>99060</xdr:rowOff>
              </from>
              <to>
                <xdr:col>6</xdr:col>
                <xdr:colOff>830580</xdr:colOff>
                <xdr:row>21</xdr:row>
                <xdr:rowOff>175260</xdr:rowOff>
              </to>
            </anchor>
          </controlPr>
        </control>
      </mc:Choice>
    </mc:AlternateContent>
    <mc:AlternateContent xmlns:mc="http://schemas.openxmlformats.org/markup-compatibility/2006">
      <mc:Choice Requires="x14">
        <control shapeId="11319" r:id="rId38" name="Drop Down 55">
          <controlPr locked="0" defaultSize="0" autoLine="0" autoPict="0">
            <anchor moveWithCells="1">
              <from>
                <xdr:col>7</xdr:col>
                <xdr:colOff>899160</xdr:colOff>
                <xdr:row>20</xdr:row>
                <xdr:rowOff>76200</xdr:rowOff>
              </from>
              <to>
                <xdr:col>8</xdr:col>
                <xdr:colOff>60960</xdr:colOff>
                <xdr:row>21</xdr:row>
                <xdr:rowOff>137160</xdr:rowOff>
              </to>
            </anchor>
          </controlPr>
        </control>
      </mc:Choice>
    </mc:AlternateContent>
    <mc:AlternateContent xmlns:mc="http://schemas.openxmlformats.org/markup-compatibility/2006">
      <mc:Choice Requires="x14">
        <control shapeId="11323" r:id="rId39" name="Drop Down 59">
          <controlPr locked="0" defaultSize="0" autoLine="0" autoPict="0">
            <anchor moveWithCells="1">
              <from>
                <xdr:col>7</xdr:col>
                <xdr:colOff>784860</xdr:colOff>
                <xdr:row>16</xdr:row>
                <xdr:rowOff>53340</xdr:rowOff>
              </from>
              <to>
                <xdr:col>7</xdr:col>
                <xdr:colOff>1287780</xdr:colOff>
                <xdr:row>17</xdr:row>
                <xdr:rowOff>114300</xdr:rowOff>
              </to>
            </anchor>
          </controlPr>
        </control>
      </mc:Choice>
    </mc:AlternateContent>
    <mc:AlternateContent xmlns:mc="http://schemas.openxmlformats.org/markup-compatibility/2006">
      <mc:Choice Requires="x14">
        <control shapeId="11334" r:id="rId40" name="Drop Down 70">
          <controlPr defaultSize="0" autoLine="0" autoPict="0">
            <anchor>
              <from>
                <xdr:col>0</xdr:col>
                <xdr:colOff>601980</xdr:colOff>
                <xdr:row>28</xdr:row>
                <xdr:rowOff>68580</xdr:rowOff>
              </from>
              <to>
                <xdr:col>1</xdr:col>
                <xdr:colOff>2034540</xdr:colOff>
                <xdr:row>29</xdr:row>
                <xdr:rowOff>129540</xdr:rowOff>
              </to>
            </anchor>
          </controlPr>
        </control>
      </mc:Choice>
    </mc:AlternateContent>
    <mc:AlternateContent xmlns:mc="http://schemas.openxmlformats.org/markup-compatibility/2006">
      <mc:Choice Requires="x14">
        <control shapeId="11335" r:id="rId41" name="Drop Down 71">
          <controlPr defaultSize="0" autoLine="0" autoPict="0">
            <anchor>
              <from>
                <xdr:col>0</xdr:col>
                <xdr:colOff>594360</xdr:colOff>
                <xdr:row>30</xdr:row>
                <xdr:rowOff>30480</xdr:rowOff>
              </from>
              <to>
                <xdr:col>1</xdr:col>
                <xdr:colOff>2019300</xdr:colOff>
                <xdr:row>31</xdr:row>
                <xdr:rowOff>91440</xdr:rowOff>
              </to>
            </anchor>
          </controlPr>
        </control>
      </mc:Choice>
    </mc:AlternateContent>
    <mc:AlternateContent xmlns:mc="http://schemas.openxmlformats.org/markup-compatibility/2006">
      <mc:Choice Requires="x14">
        <control shapeId="11336" r:id="rId42" name="Drop Down 72">
          <controlPr defaultSize="0" autoLine="0" autoPict="0">
            <anchor>
              <from>
                <xdr:col>0</xdr:col>
                <xdr:colOff>594360</xdr:colOff>
                <xdr:row>31</xdr:row>
                <xdr:rowOff>175260</xdr:rowOff>
              </from>
              <to>
                <xdr:col>1</xdr:col>
                <xdr:colOff>2019300</xdr:colOff>
                <xdr:row>33</xdr:row>
                <xdr:rowOff>53340</xdr:rowOff>
              </to>
            </anchor>
          </controlPr>
        </control>
      </mc:Choice>
    </mc:AlternateContent>
    <mc:AlternateContent xmlns:mc="http://schemas.openxmlformats.org/markup-compatibility/2006">
      <mc:Choice Requires="x14">
        <control shapeId="11337" r:id="rId43" name="Drop Down 73">
          <controlPr defaultSize="0" autoLine="0" autoPict="0">
            <anchor>
              <from>
                <xdr:col>3</xdr:col>
                <xdr:colOff>38100</xdr:colOff>
                <xdr:row>28</xdr:row>
                <xdr:rowOff>76200</xdr:rowOff>
              </from>
              <to>
                <xdr:col>5</xdr:col>
                <xdr:colOff>670560</xdr:colOff>
                <xdr:row>29</xdr:row>
                <xdr:rowOff>137160</xdr:rowOff>
              </to>
            </anchor>
          </controlPr>
        </control>
      </mc:Choice>
    </mc:AlternateContent>
    <mc:AlternateContent xmlns:mc="http://schemas.openxmlformats.org/markup-compatibility/2006">
      <mc:Choice Requires="x14">
        <control shapeId="11338" r:id="rId44" name="Drop Down 74">
          <controlPr defaultSize="0" autoLine="0" autoPict="0">
            <anchor>
              <from>
                <xdr:col>3</xdr:col>
                <xdr:colOff>60960</xdr:colOff>
                <xdr:row>30</xdr:row>
                <xdr:rowOff>60960</xdr:rowOff>
              </from>
              <to>
                <xdr:col>5</xdr:col>
                <xdr:colOff>701040</xdr:colOff>
                <xdr:row>31</xdr:row>
                <xdr:rowOff>121920</xdr:rowOff>
              </to>
            </anchor>
          </controlPr>
        </control>
      </mc:Choice>
    </mc:AlternateContent>
    <mc:AlternateContent xmlns:mc="http://schemas.openxmlformats.org/markup-compatibility/2006">
      <mc:Choice Requires="x14">
        <control shapeId="11339" r:id="rId45" name="Drop Down 75">
          <controlPr defaultSize="0" autoLine="0" autoPict="0">
            <anchor>
              <from>
                <xdr:col>3</xdr:col>
                <xdr:colOff>76200</xdr:colOff>
                <xdr:row>32</xdr:row>
                <xdr:rowOff>38100</xdr:rowOff>
              </from>
              <to>
                <xdr:col>5</xdr:col>
                <xdr:colOff>708660</xdr:colOff>
                <xdr:row>33</xdr:row>
                <xdr:rowOff>99060</xdr:rowOff>
              </to>
            </anchor>
          </controlPr>
        </control>
      </mc:Choice>
    </mc:AlternateContent>
    <mc:AlternateContent xmlns:mc="http://schemas.openxmlformats.org/markup-compatibility/2006">
      <mc:Choice Requires="x14">
        <control shapeId="11348" r:id="rId46" name="Drop Down 84">
          <controlPr locked="0" defaultSize="0" autoLine="0" autoPict="0">
            <anchor>
              <from>
                <xdr:col>1</xdr:col>
                <xdr:colOff>1958340</xdr:colOff>
                <xdr:row>5</xdr:row>
                <xdr:rowOff>152400</xdr:rowOff>
              </from>
              <to>
                <xdr:col>4</xdr:col>
                <xdr:colOff>53340</xdr:colOff>
                <xdr:row>7</xdr:row>
                <xdr:rowOff>99060</xdr:rowOff>
              </to>
            </anchor>
          </controlPr>
        </control>
      </mc:Choice>
    </mc:AlternateContent>
    <mc:AlternateContent xmlns:mc="http://schemas.openxmlformats.org/markup-compatibility/2006">
      <mc:Choice Requires="x14">
        <control shapeId="11351" r:id="rId47" name="Drop Down 87">
          <controlPr locked="0" defaultSize="0" autoLine="0" autoPict="0">
            <anchor moveWithCells="1">
              <from>
                <xdr:col>1</xdr:col>
                <xdr:colOff>1249680</xdr:colOff>
                <xdr:row>22</xdr:row>
                <xdr:rowOff>30480</xdr:rowOff>
              </from>
              <to>
                <xdr:col>3</xdr:col>
                <xdr:colOff>68580</xdr:colOff>
                <xdr:row>23</xdr:row>
                <xdr:rowOff>114300</xdr:rowOff>
              </to>
            </anchor>
          </controlPr>
        </control>
      </mc:Choice>
    </mc:AlternateContent>
    <mc:AlternateContent xmlns:mc="http://schemas.openxmlformats.org/markup-compatibility/2006">
      <mc:Choice Requires="x14">
        <control shapeId="11363" r:id="rId48" name="Button 99">
          <controlPr defaultSize="0" print="0" autoFill="0" autoPict="0" macro="[0]!GUARDAR_DATOS_PLANAS">
            <anchor>
              <from>
                <xdr:col>6</xdr:col>
                <xdr:colOff>449580</xdr:colOff>
                <xdr:row>3</xdr:row>
                <xdr:rowOff>182880</xdr:rowOff>
              </from>
              <to>
                <xdr:col>7</xdr:col>
                <xdr:colOff>1257300</xdr:colOff>
                <xdr:row>7</xdr:row>
                <xdr:rowOff>0</xdr:rowOff>
              </to>
            </anchor>
          </controlPr>
        </control>
      </mc:Choice>
    </mc:AlternateContent>
    <mc:AlternateContent xmlns:mc="http://schemas.openxmlformats.org/markup-compatibility/2006">
      <mc:Choice Requires="x14">
        <control shapeId="11372" r:id="rId49" name="Drop Down 108">
          <controlPr defaultSize="0" autoLine="0" autoPict="0">
            <anchor>
              <from>
                <xdr:col>0</xdr:col>
                <xdr:colOff>579120</xdr:colOff>
                <xdr:row>33</xdr:row>
                <xdr:rowOff>167640</xdr:rowOff>
              </from>
              <to>
                <xdr:col>1</xdr:col>
                <xdr:colOff>2004060</xdr:colOff>
                <xdr:row>35</xdr:row>
                <xdr:rowOff>45720</xdr:rowOff>
              </to>
            </anchor>
          </controlPr>
        </control>
      </mc:Choice>
    </mc:AlternateContent>
    <mc:AlternateContent xmlns:mc="http://schemas.openxmlformats.org/markup-compatibility/2006">
      <mc:Choice Requires="x14">
        <control shapeId="11374" r:id="rId50" name="Drop Down 110">
          <controlPr locked="0" defaultSize="0" autoLine="0" autoPict="0">
            <anchor moveWithCells="1">
              <from>
                <xdr:col>7</xdr:col>
                <xdr:colOff>815340</xdr:colOff>
                <xdr:row>18</xdr:row>
                <xdr:rowOff>83820</xdr:rowOff>
              </from>
              <to>
                <xdr:col>7</xdr:col>
                <xdr:colOff>1310640</xdr:colOff>
                <xdr:row>19</xdr:row>
                <xdr:rowOff>144780</xdr:rowOff>
              </to>
            </anchor>
          </controlPr>
        </control>
      </mc:Choice>
    </mc:AlternateContent>
    <mc:AlternateContent xmlns:mc="http://schemas.openxmlformats.org/markup-compatibility/2006">
      <mc:Choice Requires="x14">
        <control shapeId="11375" r:id="rId51" name="Drop Down 111">
          <controlPr locked="0" defaultSize="0" autoLine="0" autoPict="0">
            <anchor moveWithCells="1">
              <from>
                <xdr:col>5</xdr:col>
                <xdr:colOff>129540</xdr:colOff>
                <xdr:row>18</xdr:row>
                <xdr:rowOff>91440</xdr:rowOff>
              </from>
              <to>
                <xdr:col>6</xdr:col>
                <xdr:colOff>762000</xdr:colOff>
                <xdr:row>19</xdr:row>
                <xdr:rowOff>167640</xdr:rowOff>
              </to>
            </anchor>
          </controlPr>
        </control>
      </mc:Choice>
    </mc:AlternateContent>
    <mc:AlternateContent xmlns:mc="http://schemas.openxmlformats.org/markup-compatibility/2006">
      <mc:Choice Requires="x14">
        <control shapeId="11376" r:id="rId52" name="Drop Down 112">
          <controlPr locked="0" defaultSize="0" autoLine="0" autoPict="0">
            <anchor moveWithCells="1">
              <from>
                <xdr:col>7</xdr:col>
                <xdr:colOff>906780</xdr:colOff>
                <xdr:row>22</xdr:row>
                <xdr:rowOff>121920</xdr:rowOff>
              </from>
              <to>
                <xdr:col>8</xdr:col>
                <xdr:colOff>68580</xdr:colOff>
                <xdr:row>23</xdr:row>
                <xdr:rowOff>182880</xdr:rowOff>
              </to>
            </anchor>
          </controlPr>
        </control>
      </mc:Choice>
    </mc:AlternateContent>
    <mc:AlternateContent xmlns:mc="http://schemas.openxmlformats.org/markup-compatibility/2006">
      <mc:Choice Requires="x14">
        <control shapeId="11377" r:id="rId53" name="Drop Down 113">
          <controlPr locked="0" defaultSize="0" autoLine="0" autoPict="0">
            <anchor moveWithCells="1">
              <from>
                <xdr:col>5</xdr:col>
                <xdr:colOff>175260</xdr:colOff>
                <xdr:row>22</xdr:row>
                <xdr:rowOff>137160</xdr:rowOff>
              </from>
              <to>
                <xdr:col>6</xdr:col>
                <xdr:colOff>838200</xdr:colOff>
                <xdr:row>24</xdr:row>
                <xdr:rowOff>38100</xdr:rowOff>
              </to>
            </anchor>
          </controlPr>
        </control>
      </mc:Choice>
    </mc:AlternateContent>
    <mc:AlternateContent xmlns:mc="http://schemas.openxmlformats.org/markup-compatibility/2006">
      <mc:Choice Requires="x14">
        <control shapeId="11378" r:id="rId54" name="Drop Down 114">
          <controlPr locked="0" defaultSize="0" autoLine="0" autoPict="0">
            <anchor moveWithCells="1">
              <from>
                <xdr:col>5</xdr:col>
                <xdr:colOff>152400</xdr:colOff>
                <xdr:row>10</xdr:row>
                <xdr:rowOff>91440</xdr:rowOff>
              </from>
              <to>
                <xdr:col>7</xdr:col>
                <xdr:colOff>449580</xdr:colOff>
                <xdr:row>11</xdr:row>
                <xdr:rowOff>175260</xdr:rowOff>
              </to>
            </anchor>
          </controlPr>
        </control>
      </mc:Choice>
    </mc:AlternateContent>
    <mc:AlternateContent xmlns:mc="http://schemas.openxmlformats.org/markup-compatibility/2006">
      <mc:Choice Requires="x14">
        <control shapeId="11379" r:id="rId55" name="Drop Down 115">
          <controlPr defaultSize="0" autoLine="0" autoPict="0">
            <anchor>
              <from>
                <xdr:col>7</xdr:col>
                <xdr:colOff>182880</xdr:colOff>
                <xdr:row>25</xdr:row>
                <xdr:rowOff>121920</xdr:rowOff>
              </from>
              <to>
                <xdr:col>12</xdr:col>
                <xdr:colOff>236220</xdr:colOff>
                <xdr:row>27</xdr:row>
                <xdr:rowOff>0</xdr:rowOff>
              </to>
            </anchor>
          </controlPr>
        </control>
      </mc:Choice>
    </mc:AlternateContent>
    <mc:AlternateContent xmlns:mc="http://schemas.openxmlformats.org/markup-compatibility/2006">
      <mc:Choice Requires="x14">
        <control shapeId="11380" r:id="rId56" name="Drop Down 116">
          <controlPr defaultSize="0" autoLine="0" autoPict="0">
            <anchor moveWithCells="1">
              <from>
                <xdr:col>1</xdr:col>
                <xdr:colOff>327660</xdr:colOff>
                <xdr:row>15</xdr:row>
                <xdr:rowOff>53340</xdr:rowOff>
              </from>
              <to>
                <xdr:col>1</xdr:col>
                <xdr:colOff>1485900</xdr:colOff>
                <xdr:row>16</xdr:row>
                <xdr:rowOff>114300</xdr:rowOff>
              </to>
            </anchor>
          </controlPr>
        </control>
      </mc:Choice>
    </mc:AlternateContent>
    <mc:AlternateContent xmlns:mc="http://schemas.openxmlformats.org/markup-compatibility/2006">
      <mc:Choice Requires="x14">
        <control shapeId="11381" r:id="rId57" name="Drop Down 117">
          <controlPr defaultSize="0" autoLine="0" autoPict="0">
            <anchor moveWithCells="1">
              <from>
                <xdr:col>2</xdr:col>
                <xdr:colOff>304800</xdr:colOff>
                <xdr:row>15</xdr:row>
                <xdr:rowOff>53340</xdr:rowOff>
              </from>
              <to>
                <xdr:col>3</xdr:col>
                <xdr:colOff>106680</xdr:colOff>
                <xdr:row>16</xdr:row>
                <xdr:rowOff>99060</xdr:rowOff>
              </to>
            </anchor>
          </controlPr>
        </control>
      </mc:Choice>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FB2E9-B9DB-4ED1-BE59-993BB282F596}">
  <sheetPr codeName="Hoja27"/>
  <dimension ref="A5:H48"/>
  <sheetViews>
    <sheetView view="pageLayout" topLeftCell="A7" zoomScaleNormal="100" workbookViewId="0">
      <selection activeCell="D13" sqref="D13"/>
    </sheetView>
  </sheetViews>
  <sheetFormatPr baseColWidth="10" defaultRowHeight="14.4"/>
  <cols>
    <col min="6" max="6" width="16.109375" customWidth="1"/>
    <col min="7" max="7" width="14.109375" bestFit="1" customWidth="1"/>
  </cols>
  <sheetData>
    <row r="5" spans="1:8">
      <c r="F5" s="640">
        <f ca="1">TODAY()</f>
        <v>46287</v>
      </c>
      <c r="G5" s="640"/>
      <c r="H5" s="640"/>
    </row>
    <row r="6" spans="1:8">
      <c r="G6" s="155" t="str">
        <f ca="1">"C-"&amp;TEXT(F5,"dd-MM-AA")</f>
        <v>C-22-09-26</v>
      </c>
    </row>
    <row r="8" spans="1:8">
      <c r="A8" s="629" t="s">
        <v>112</v>
      </c>
      <c r="B8" s="629"/>
      <c r="C8" s="629"/>
      <c r="D8" s="629"/>
      <c r="E8" s="629"/>
      <c r="F8" s="629"/>
      <c r="G8" s="629"/>
      <c r="H8" s="629"/>
    </row>
    <row r="10" spans="1:8">
      <c r="A10" t="s">
        <v>1270</v>
      </c>
      <c r="B10" s="62" t="s">
        <v>1541</v>
      </c>
      <c r="C10" s="62"/>
      <c r="D10" s="62"/>
    </row>
    <row r="11" spans="1:8">
      <c r="B11" t="s">
        <v>1559</v>
      </c>
    </row>
    <row r="12" spans="1:8">
      <c r="A12" t="s">
        <v>1269</v>
      </c>
    </row>
    <row r="14" spans="1:8" ht="15" customHeight="1">
      <c r="A14" s="639" t="s">
        <v>1557</v>
      </c>
      <c r="B14" s="639"/>
      <c r="C14" s="639"/>
      <c r="D14" s="639"/>
      <c r="E14" s="639"/>
      <c r="F14" s="639"/>
      <c r="G14" s="639"/>
      <c r="H14" s="639"/>
    </row>
    <row r="15" spans="1:8">
      <c r="A15" s="639"/>
      <c r="B15" s="639"/>
      <c r="C15" s="639"/>
      <c r="D15" s="639"/>
      <c r="E15" s="639"/>
      <c r="F15" s="639"/>
      <c r="G15" s="639"/>
      <c r="H15" s="639"/>
    </row>
    <row r="17" spans="1:7">
      <c r="A17" t="s">
        <v>1271</v>
      </c>
    </row>
    <row r="18" spans="1:7" ht="13.5" customHeight="1">
      <c r="B18" s="237" t="s">
        <v>1272</v>
      </c>
      <c r="C18" s="641" t="s">
        <v>1273</v>
      </c>
      <c r="D18" s="642"/>
      <c r="E18" s="643"/>
      <c r="F18" s="404" t="s">
        <v>1274</v>
      </c>
      <c r="G18" s="403" t="s">
        <v>1275</v>
      </c>
    </row>
    <row r="19" spans="1:7" hidden="1">
      <c r="B19" s="630">
        <v>4</v>
      </c>
      <c r="C19" s="354" t="s">
        <v>1277</v>
      </c>
      <c r="D19" s="347"/>
      <c r="E19" s="355"/>
      <c r="F19" s="636">
        <v>370000</v>
      </c>
      <c r="G19" s="644">
        <f>B19*F19</f>
        <v>1480000</v>
      </c>
    </row>
    <row r="20" spans="1:7" hidden="1">
      <c r="B20" s="631"/>
      <c r="C20" s="322" t="s">
        <v>1279</v>
      </c>
      <c r="E20" s="323"/>
      <c r="F20" s="637"/>
      <c r="G20" s="645"/>
    </row>
    <row r="21" spans="1:7" hidden="1">
      <c r="B21" s="631"/>
      <c r="C21" s="322" t="s">
        <v>1276</v>
      </c>
      <c r="E21" s="323"/>
      <c r="F21" s="637"/>
      <c r="G21" s="645"/>
    </row>
    <row r="22" spans="1:7" hidden="1">
      <c r="B22" s="632"/>
      <c r="C22" s="348" t="s">
        <v>1278</v>
      </c>
      <c r="D22" s="62"/>
      <c r="E22" s="356"/>
      <c r="F22" s="638"/>
      <c r="G22" s="646"/>
    </row>
    <row r="23" spans="1:7">
      <c r="B23" s="630">
        <v>1</v>
      </c>
      <c r="C23" s="354" t="s">
        <v>1280</v>
      </c>
      <c r="D23" s="347"/>
      <c r="E23" s="355"/>
      <c r="F23" s="636">
        <v>670000</v>
      </c>
      <c r="G23" s="633">
        <f>B23*F23</f>
        <v>670000</v>
      </c>
    </row>
    <row r="24" spans="1:7">
      <c r="B24" s="631"/>
      <c r="C24" s="322" t="s">
        <v>532</v>
      </c>
      <c r="E24" s="323"/>
      <c r="F24" s="637"/>
      <c r="G24" s="634"/>
    </row>
    <row r="25" spans="1:7">
      <c r="B25" s="631"/>
      <c r="C25" s="322" t="s">
        <v>1281</v>
      </c>
      <c r="E25" s="323"/>
      <c r="F25" s="637"/>
      <c r="G25" s="634"/>
    </row>
    <row r="26" spans="1:7">
      <c r="B26" s="631"/>
      <c r="C26" s="322" t="s">
        <v>1556</v>
      </c>
      <c r="E26" s="323"/>
      <c r="F26" s="637"/>
      <c r="G26" s="634"/>
    </row>
    <row r="27" spans="1:7">
      <c r="B27" s="631"/>
      <c r="C27" s="322" t="s">
        <v>1550</v>
      </c>
      <c r="E27" s="323"/>
      <c r="F27" s="637"/>
      <c r="G27" s="634"/>
    </row>
    <row r="28" spans="1:7">
      <c r="B28" s="631"/>
      <c r="C28" s="322" t="s">
        <v>1551</v>
      </c>
      <c r="E28" s="323"/>
      <c r="F28" s="637"/>
      <c r="G28" s="634"/>
    </row>
    <row r="29" spans="1:7">
      <c r="B29" s="631"/>
      <c r="C29" s="322" t="s">
        <v>1552</v>
      </c>
      <c r="E29" s="323"/>
      <c r="F29" s="637"/>
      <c r="G29" s="634"/>
    </row>
    <row r="30" spans="1:7">
      <c r="B30" s="631"/>
      <c r="C30" s="322" t="s">
        <v>1555</v>
      </c>
      <c r="E30" s="323"/>
      <c r="F30" s="637"/>
      <c r="G30" s="634"/>
    </row>
    <row r="31" spans="1:7">
      <c r="B31" s="631"/>
      <c r="C31" s="322" t="s">
        <v>1282</v>
      </c>
      <c r="E31" s="323"/>
      <c r="F31" s="637"/>
      <c r="G31" s="634"/>
    </row>
    <row r="32" spans="1:7">
      <c r="B32" s="631"/>
      <c r="C32" s="322" t="s">
        <v>1283</v>
      </c>
      <c r="E32" s="323"/>
      <c r="F32" s="637"/>
      <c r="G32" s="634"/>
    </row>
    <row r="33" spans="1:8">
      <c r="B33" s="631"/>
      <c r="C33" s="322" t="s">
        <v>1553</v>
      </c>
      <c r="E33" s="323"/>
      <c r="F33" s="637"/>
      <c r="G33" s="634"/>
    </row>
    <row r="34" spans="1:8">
      <c r="B34" s="632"/>
      <c r="C34" s="348" t="s">
        <v>1554</v>
      </c>
      <c r="D34" s="62"/>
      <c r="E34" s="356"/>
      <c r="F34" s="638"/>
      <c r="G34" s="635"/>
    </row>
    <row r="35" spans="1:8" ht="0.75" customHeight="1">
      <c r="F35" s="352" t="s">
        <v>2</v>
      </c>
      <c r="G35" s="353">
        <f>G23</f>
        <v>670000</v>
      </c>
    </row>
    <row r="36" spans="1:8" hidden="1">
      <c r="F36" s="237" t="s">
        <v>1284</v>
      </c>
      <c r="G36" s="349">
        <f>G35*16%</f>
        <v>107200</v>
      </c>
    </row>
    <row r="37" spans="1:8">
      <c r="F37" s="350" t="s">
        <v>84</v>
      </c>
      <c r="G37" s="351">
        <f>G23</f>
        <v>670000</v>
      </c>
    </row>
    <row r="39" spans="1:8">
      <c r="A39" s="628" t="s">
        <v>1558</v>
      </c>
      <c r="B39" s="628"/>
      <c r="C39" s="628"/>
      <c r="D39" s="628"/>
      <c r="E39" s="628"/>
      <c r="F39" s="628"/>
      <c r="G39" s="628"/>
      <c r="H39" s="628"/>
    </row>
    <row r="40" spans="1:8">
      <c r="A40" s="628"/>
      <c r="B40" s="628"/>
      <c r="C40" s="628"/>
      <c r="D40" s="628"/>
      <c r="E40" s="628"/>
      <c r="F40" s="628"/>
      <c r="G40" s="628"/>
      <c r="H40" s="628"/>
    </row>
    <row r="41" spans="1:8">
      <c r="A41" s="628"/>
      <c r="B41" s="628"/>
      <c r="C41" s="628"/>
      <c r="D41" s="628"/>
      <c r="E41" s="628"/>
      <c r="F41" s="628"/>
      <c r="G41" s="628"/>
      <c r="H41" s="628"/>
    </row>
    <row r="42" spans="1:8">
      <c r="A42" s="628"/>
      <c r="B42" s="628"/>
      <c r="C42" s="628"/>
      <c r="D42" s="628"/>
      <c r="E42" s="628"/>
      <c r="F42" s="628"/>
      <c r="G42" s="628"/>
      <c r="H42" s="628"/>
    </row>
    <row r="43" spans="1:8">
      <c r="A43" s="629" t="s">
        <v>143</v>
      </c>
      <c r="B43" s="629"/>
      <c r="C43" s="629"/>
      <c r="D43" s="629"/>
      <c r="E43" s="629"/>
      <c r="F43" s="629"/>
      <c r="G43" s="629"/>
      <c r="H43" s="629"/>
    </row>
    <row r="45" spans="1:8">
      <c r="D45" s="62"/>
      <c r="E45" s="62"/>
      <c r="F45" s="62"/>
    </row>
    <row r="46" spans="1:8">
      <c r="A46" s="629" t="s">
        <v>270</v>
      </c>
      <c r="B46" s="629"/>
      <c r="C46" s="629"/>
      <c r="D46" s="629"/>
      <c r="E46" s="629"/>
      <c r="F46" s="629"/>
      <c r="G46" s="629"/>
      <c r="H46" s="629"/>
    </row>
    <row r="47" spans="1:8">
      <c r="A47" s="629" t="s">
        <v>525</v>
      </c>
      <c r="B47" s="629"/>
      <c r="C47" s="629"/>
      <c r="D47" s="629"/>
      <c r="E47" s="629"/>
      <c r="F47" s="629"/>
      <c r="G47" s="629"/>
      <c r="H47" s="629"/>
    </row>
    <row r="48" spans="1:8">
      <c r="A48" s="629" t="s">
        <v>1285</v>
      </c>
      <c r="B48" s="629"/>
      <c r="C48" s="629"/>
      <c r="D48" s="629"/>
      <c r="E48" s="629"/>
      <c r="F48" s="629"/>
      <c r="G48" s="629"/>
      <c r="H48" s="629"/>
    </row>
  </sheetData>
  <mergeCells count="15">
    <mergeCell ref="F5:H5"/>
    <mergeCell ref="C18:E18"/>
    <mergeCell ref="B19:B22"/>
    <mergeCell ref="F19:F22"/>
    <mergeCell ref="G19:G22"/>
    <mergeCell ref="B23:B34"/>
    <mergeCell ref="G23:G34"/>
    <mergeCell ref="F23:F34"/>
    <mergeCell ref="A8:H8"/>
    <mergeCell ref="A14:H15"/>
    <mergeCell ref="A39:H42"/>
    <mergeCell ref="A43:H43"/>
    <mergeCell ref="A48:H48"/>
    <mergeCell ref="A47:H47"/>
    <mergeCell ref="A46:H46"/>
  </mergeCells>
  <pageMargins left="0.16666666666666666" right="0.21875" top="0.42708333333333331"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10912-73C6-4D8E-B6E1-619F97132786}">
  <sheetPr codeName="Hoja29"/>
  <dimension ref="A3:J32"/>
  <sheetViews>
    <sheetView view="pageLayout" zoomScale="85" zoomScaleNormal="100" zoomScalePageLayoutView="85" workbookViewId="0">
      <selection activeCell="B25" sqref="B25"/>
    </sheetView>
  </sheetViews>
  <sheetFormatPr baseColWidth="10" defaultRowHeight="14.4"/>
  <cols>
    <col min="2" max="2" width="29.33203125" bestFit="1" customWidth="1"/>
    <col min="3" max="3" width="18.88671875" bestFit="1" customWidth="1"/>
    <col min="4" max="4" width="20.5546875" bestFit="1" customWidth="1"/>
    <col min="5" max="5" width="2.44140625" customWidth="1"/>
    <col min="6" max="6" width="8.44140625" customWidth="1"/>
    <col min="7" max="7" width="37.5546875" customWidth="1"/>
    <col min="8" max="8" width="12.5546875" customWidth="1"/>
    <col min="9" max="9" width="10.5546875" customWidth="1"/>
    <col min="10" max="10" width="20" customWidth="1"/>
  </cols>
  <sheetData>
    <row r="3" spans="1:10">
      <c r="A3" s="395" t="s">
        <v>1459</v>
      </c>
      <c r="B3" s="394"/>
      <c r="C3" s="395"/>
      <c r="D3" s="395"/>
      <c r="E3" s="390"/>
    </row>
    <row r="4" spans="1:10">
      <c r="A4" s="396" t="s">
        <v>50</v>
      </c>
      <c r="B4" s="396" t="s">
        <v>1443</v>
      </c>
      <c r="C4" s="396" t="s">
        <v>408</v>
      </c>
      <c r="D4" s="396" t="s">
        <v>84</v>
      </c>
      <c r="F4" s="396" t="s">
        <v>50</v>
      </c>
      <c r="G4" s="396" t="s">
        <v>1443</v>
      </c>
      <c r="H4" s="396" t="s">
        <v>1583</v>
      </c>
      <c r="I4" s="396" t="s">
        <v>408</v>
      </c>
      <c r="J4" s="396" t="s">
        <v>84</v>
      </c>
    </row>
    <row r="5" spans="1:10">
      <c r="A5">
        <v>15</v>
      </c>
      <c r="B5" t="s">
        <v>1444</v>
      </c>
      <c r="C5" s="6">
        <v>850.6</v>
      </c>
      <c r="D5" s="6">
        <f>A5*C5</f>
        <v>12759</v>
      </c>
      <c r="F5">
        <v>1</v>
      </c>
      <c r="G5" s="71" t="s">
        <v>1578</v>
      </c>
      <c r="H5" s="71" t="s">
        <v>1584</v>
      </c>
      <c r="I5" s="6">
        <v>2013</v>
      </c>
      <c r="J5" s="6">
        <f>F5*I5</f>
        <v>2013</v>
      </c>
    </row>
    <row r="6" spans="1:10">
      <c r="A6">
        <v>2</v>
      </c>
      <c r="B6" t="s">
        <v>1445</v>
      </c>
      <c r="C6" s="6">
        <v>1369.14</v>
      </c>
      <c r="D6" s="6">
        <f t="shared" ref="D6:D21" si="0">A6*C6</f>
        <v>2738.28</v>
      </c>
      <c r="F6">
        <v>1</v>
      </c>
      <c r="G6" t="s">
        <v>1571</v>
      </c>
      <c r="H6" s="71" t="s">
        <v>1584</v>
      </c>
      <c r="I6" s="6">
        <v>900</v>
      </c>
      <c r="J6" s="6">
        <f t="shared" ref="J6:J16" si="1">F6*I6</f>
        <v>900</v>
      </c>
    </row>
    <row r="7" spans="1:10">
      <c r="A7">
        <v>2</v>
      </c>
      <c r="B7" t="s">
        <v>1446</v>
      </c>
      <c r="C7" s="6">
        <v>1576</v>
      </c>
      <c r="D7" s="6">
        <f t="shared" si="0"/>
        <v>3152</v>
      </c>
      <c r="F7">
        <v>25</v>
      </c>
      <c r="G7" t="s">
        <v>173</v>
      </c>
      <c r="H7" s="71" t="s">
        <v>1584</v>
      </c>
      <c r="I7" s="6">
        <v>40</v>
      </c>
      <c r="J7" s="6">
        <f t="shared" si="1"/>
        <v>1000</v>
      </c>
    </row>
    <row r="8" spans="1:10">
      <c r="A8">
        <v>1</v>
      </c>
      <c r="B8" t="s">
        <v>1447</v>
      </c>
      <c r="C8" s="6">
        <v>960</v>
      </c>
      <c r="D8" s="6">
        <f t="shared" si="0"/>
        <v>960</v>
      </c>
      <c r="F8">
        <v>2</v>
      </c>
      <c r="G8" t="s">
        <v>1580</v>
      </c>
      <c r="H8" s="71" t="s">
        <v>1584</v>
      </c>
      <c r="I8" s="6"/>
      <c r="J8" s="6">
        <f t="shared" si="1"/>
        <v>0</v>
      </c>
    </row>
    <row r="9" spans="1:10" ht="28.8">
      <c r="A9">
        <v>6</v>
      </c>
      <c r="B9" t="s">
        <v>1458</v>
      </c>
      <c r="C9" s="6">
        <v>344</v>
      </c>
      <c r="D9" s="6">
        <f t="shared" si="0"/>
        <v>2064</v>
      </c>
      <c r="F9" s="398">
        <v>2</v>
      </c>
      <c r="G9" s="407" t="s">
        <v>1581</v>
      </c>
      <c r="H9" s="71" t="s">
        <v>1584</v>
      </c>
      <c r="I9" s="6"/>
      <c r="J9" s="6">
        <f t="shared" si="1"/>
        <v>0</v>
      </c>
    </row>
    <row r="10" spans="1:10">
      <c r="A10">
        <v>3</v>
      </c>
      <c r="B10" t="s">
        <v>1448</v>
      </c>
      <c r="C10" s="6">
        <v>215</v>
      </c>
      <c r="D10" s="6">
        <f t="shared" si="0"/>
        <v>645</v>
      </c>
      <c r="F10" s="398">
        <v>2</v>
      </c>
      <c r="G10" s="407" t="s">
        <v>1599</v>
      </c>
      <c r="H10" s="71" t="s">
        <v>1584</v>
      </c>
      <c r="I10" s="6">
        <v>377.08</v>
      </c>
      <c r="J10" s="6">
        <f t="shared" si="1"/>
        <v>754.16</v>
      </c>
    </row>
    <row r="11" spans="1:10">
      <c r="A11">
        <v>3</v>
      </c>
      <c r="B11" t="s">
        <v>1449</v>
      </c>
      <c r="C11" s="6">
        <v>600</v>
      </c>
      <c r="D11" s="6">
        <f t="shared" si="0"/>
        <v>1800</v>
      </c>
      <c r="F11" s="398">
        <v>1</v>
      </c>
      <c r="G11" s="407" t="s">
        <v>10</v>
      </c>
      <c r="H11" s="71" t="s">
        <v>1584</v>
      </c>
      <c r="I11" s="6">
        <v>70</v>
      </c>
      <c r="J11" s="6">
        <f t="shared" si="1"/>
        <v>70</v>
      </c>
    </row>
    <row r="12" spans="1:10">
      <c r="A12">
        <v>3</v>
      </c>
      <c r="B12" t="s">
        <v>1450</v>
      </c>
      <c r="C12" s="6">
        <v>564.25</v>
      </c>
      <c r="D12" s="6">
        <f t="shared" si="0"/>
        <v>1692.75</v>
      </c>
      <c r="F12">
        <v>3</v>
      </c>
      <c r="G12" t="s">
        <v>1582</v>
      </c>
      <c r="H12" s="71" t="s">
        <v>88</v>
      </c>
      <c r="I12" s="6"/>
      <c r="J12" s="6">
        <f t="shared" si="1"/>
        <v>0</v>
      </c>
    </row>
    <row r="13" spans="1:10">
      <c r="A13">
        <v>1</v>
      </c>
      <c r="B13" t="s">
        <v>1451</v>
      </c>
      <c r="C13" s="6">
        <v>2537</v>
      </c>
      <c r="D13" s="6">
        <f t="shared" si="0"/>
        <v>2537</v>
      </c>
      <c r="F13">
        <v>3</v>
      </c>
      <c r="G13" t="s">
        <v>1585</v>
      </c>
      <c r="H13" s="71" t="s">
        <v>88</v>
      </c>
      <c r="I13" s="6">
        <v>1369</v>
      </c>
      <c r="J13" s="6">
        <f t="shared" si="1"/>
        <v>4107</v>
      </c>
    </row>
    <row r="14" spans="1:10">
      <c r="A14">
        <v>16</v>
      </c>
      <c r="B14" t="s">
        <v>1452</v>
      </c>
      <c r="C14" s="6">
        <v>250</v>
      </c>
      <c r="D14" s="6">
        <f t="shared" si="0"/>
        <v>4000</v>
      </c>
      <c r="F14">
        <v>1</v>
      </c>
      <c r="G14" t="s">
        <v>1579</v>
      </c>
      <c r="H14" s="71" t="s">
        <v>88</v>
      </c>
      <c r="I14" s="6">
        <v>830</v>
      </c>
      <c r="J14" s="6">
        <f>F14*I14</f>
        <v>830</v>
      </c>
    </row>
    <row r="15" spans="1:10">
      <c r="A15">
        <v>4</v>
      </c>
      <c r="B15" t="s">
        <v>1453</v>
      </c>
      <c r="C15" s="6">
        <v>301</v>
      </c>
      <c r="D15" s="6">
        <f t="shared" si="0"/>
        <v>1204</v>
      </c>
      <c r="F15">
        <v>21</v>
      </c>
      <c r="G15" t="s">
        <v>1586</v>
      </c>
      <c r="H15" s="71" t="s">
        <v>88</v>
      </c>
      <c r="I15" s="6"/>
      <c r="J15" s="6">
        <f t="shared" si="1"/>
        <v>0</v>
      </c>
    </row>
    <row r="16" spans="1:10">
      <c r="A16">
        <v>2</v>
      </c>
      <c r="B16" t="s">
        <v>1454</v>
      </c>
      <c r="C16" s="6">
        <v>10000</v>
      </c>
      <c r="D16" s="6">
        <f t="shared" si="0"/>
        <v>20000</v>
      </c>
      <c r="F16">
        <v>2.4</v>
      </c>
      <c r="G16" t="s">
        <v>1587</v>
      </c>
      <c r="H16" s="71" t="s">
        <v>88</v>
      </c>
      <c r="I16" s="6">
        <v>33.33</v>
      </c>
      <c r="J16" s="6">
        <f t="shared" si="1"/>
        <v>79.99199999999999</v>
      </c>
    </row>
    <row r="17" spans="1:10">
      <c r="A17">
        <v>1</v>
      </c>
      <c r="B17" t="s">
        <v>52</v>
      </c>
      <c r="C17" s="6">
        <v>955</v>
      </c>
      <c r="D17" s="6">
        <f t="shared" si="0"/>
        <v>955</v>
      </c>
      <c r="F17">
        <v>2.5</v>
      </c>
      <c r="G17" t="s">
        <v>1588</v>
      </c>
      <c r="H17" s="71" t="s">
        <v>88</v>
      </c>
      <c r="I17" s="6">
        <v>810.25</v>
      </c>
      <c r="J17" s="6">
        <f>F17*I17</f>
        <v>2025.625</v>
      </c>
    </row>
    <row r="18" spans="1:10">
      <c r="A18">
        <v>500</v>
      </c>
      <c r="B18" t="s">
        <v>1455</v>
      </c>
      <c r="C18" s="6">
        <v>2.4900000000000002</v>
      </c>
      <c r="D18" s="6">
        <f t="shared" si="0"/>
        <v>1245</v>
      </c>
      <c r="F18">
        <v>1.5</v>
      </c>
      <c r="G18" t="s">
        <v>1590</v>
      </c>
      <c r="H18" s="71" t="s">
        <v>88</v>
      </c>
      <c r="I18" s="6"/>
      <c r="J18" s="6"/>
    </row>
    <row r="19" spans="1:10">
      <c r="A19">
        <v>4</v>
      </c>
      <c r="B19" t="s">
        <v>1456</v>
      </c>
      <c r="C19" s="6">
        <v>475</v>
      </c>
      <c r="D19" s="6">
        <f t="shared" si="0"/>
        <v>1900</v>
      </c>
      <c r="G19" t="s">
        <v>1596</v>
      </c>
      <c r="H19" s="71" t="s">
        <v>88</v>
      </c>
      <c r="I19" s="6"/>
      <c r="J19" s="6"/>
    </row>
    <row r="20" spans="1:10">
      <c r="A20">
        <v>10</v>
      </c>
      <c r="B20" t="s">
        <v>1457</v>
      </c>
      <c r="C20" s="6">
        <v>226.32</v>
      </c>
      <c r="D20" s="6">
        <f t="shared" si="0"/>
        <v>2263.1999999999998</v>
      </c>
      <c r="F20">
        <v>1</v>
      </c>
      <c r="G20" t="s">
        <v>1597</v>
      </c>
      <c r="H20" t="s">
        <v>88</v>
      </c>
      <c r="I20" s="6"/>
      <c r="J20" s="6"/>
    </row>
    <row r="21" spans="1:10">
      <c r="A21">
        <v>1</v>
      </c>
      <c r="B21" t="s">
        <v>432</v>
      </c>
      <c r="C21" s="6">
        <v>10000</v>
      </c>
      <c r="D21" s="6">
        <f t="shared" si="0"/>
        <v>10000</v>
      </c>
      <c r="F21">
        <v>80</v>
      </c>
      <c r="G21" t="s">
        <v>1589</v>
      </c>
      <c r="H21" s="71" t="s">
        <v>505</v>
      </c>
      <c r="I21" s="6">
        <v>3.1875</v>
      </c>
      <c r="J21" s="6">
        <f t="shared" ref="J21:J29" si="2">F21*I21</f>
        <v>255</v>
      </c>
    </row>
    <row r="22" spans="1:10">
      <c r="F22">
        <v>6</v>
      </c>
      <c r="G22" t="s">
        <v>1591</v>
      </c>
      <c r="I22" s="6">
        <v>261</v>
      </c>
      <c r="J22" s="6">
        <f t="shared" si="2"/>
        <v>1566</v>
      </c>
    </row>
    <row r="23" spans="1:10">
      <c r="F23">
        <v>3</v>
      </c>
      <c r="G23" t="s">
        <v>1592</v>
      </c>
      <c r="I23" s="6">
        <v>114</v>
      </c>
      <c r="J23" s="6">
        <f t="shared" si="2"/>
        <v>342</v>
      </c>
    </row>
    <row r="24" spans="1:10">
      <c r="F24">
        <v>1</v>
      </c>
      <c r="G24" t="s">
        <v>1593</v>
      </c>
      <c r="H24" s="71" t="s">
        <v>1594</v>
      </c>
      <c r="I24" s="6">
        <v>4250</v>
      </c>
      <c r="J24" s="6">
        <f t="shared" si="2"/>
        <v>4250</v>
      </c>
    </row>
    <row r="25" spans="1:10" ht="23.4">
      <c r="B25" s="391" t="s">
        <v>84</v>
      </c>
      <c r="C25" s="392">
        <f>SUM(C5:C21)</f>
        <v>31225.8</v>
      </c>
      <c r="D25" s="392">
        <f>SUM(D5:D21)</f>
        <v>69915.23</v>
      </c>
      <c r="F25" s="155">
        <v>0.5</v>
      </c>
      <c r="G25" t="s">
        <v>1595</v>
      </c>
      <c r="H25" s="71" t="s">
        <v>1594</v>
      </c>
      <c r="I25" s="6">
        <v>308</v>
      </c>
      <c r="J25" s="6">
        <f t="shared" si="2"/>
        <v>154</v>
      </c>
    </row>
    <row r="26" spans="1:10">
      <c r="F26">
        <v>10</v>
      </c>
      <c r="G26" t="s">
        <v>1598</v>
      </c>
      <c r="I26" s="6">
        <v>0</v>
      </c>
      <c r="J26" s="6">
        <f t="shared" si="2"/>
        <v>0</v>
      </c>
    </row>
    <row r="27" spans="1:10">
      <c r="F27">
        <v>2</v>
      </c>
      <c r="G27" t="s">
        <v>61</v>
      </c>
      <c r="H27" s="91" t="s">
        <v>1602</v>
      </c>
      <c r="I27" s="6">
        <v>203</v>
      </c>
      <c r="J27" s="6">
        <f t="shared" si="2"/>
        <v>406</v>
      </c>
    </row>
    <row r="28" spans="1:10">
      <c r="F28">
        <v>1</v>
      </c>
      <c r="G28" t="s">
        <v>1600</v>
      </c>
      <c r="H28" t="s">
        <v>505</v>
      </c>
      <c r="I28" s="6">
        <v>895</v>
      </c>
      <c r="J28" s="6">
        <f t="shared" si="2"/>
        <v>895</v>
      </c>
    </row>
    <row r="29" spans="1:10">
      <c r="F29">
        <v>1</v>
      </c>
      <c r="G29" t="s">
        <v>1601</v>
      </c>
      <c r="H29" t="s">
        <v>505</v>
      </c>
      <c r="I29" s="6">
        <v>995</v>
      </c>
      <c r="J29" s="6">
        <f t="shared" si="2"/>
        <v>995</v>
      </c>
    </row>
    <row r="32" spans="1:10">
      <c r="I32" t="s">
        <v>2</v>
      </c>
      <c r="J32" s="7">
        <f>SUM(J5:J30)</f>
        <v>20642.777000000002</v>
      </c>
    </row>
  </sheetData>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A19D6-6681-4ABC-8862-18D495A95DA2}">
  <sheetPr codeName="Hoja30"/>
  <dimension ref="A5:I53"/>
  <sheetViews>
    <sheetView view="pageLayout" zoomScale="115" zoomScaleNormal="100" zoomScalePageLayoutView="115" workbookViewId="0">
      <selection activeCell="C39" sqref="C39"/>
    </sheetView>
  </sheetViews>
  <sheetFormatPr baseColWidth="10" defaultRowHeight="14.4"/>
  <sheetData>
    <row r="5" spans="1:8">
      <c r="H5" s="69">
        <v>45288</v>
      </c>
    </row>
    <row r="6" spans="1:8">
      <c r="F6" s="410" t="s">
        <v>1656</v>
      </c>
      <c r="G6" s="410"/>
      <c r="H6" s="411">
        <f ca="1">TODAY()</f>
        <v>46287</v>
      </c>
    </row>
    <row r="7" spans="1:8">
      <c r="F7" s="412" t="s">
        <v>1462</v>
      </c>
      <c r="G7" s="412"/>
      <c r="H7" s="413" t="s">
        <v>1657</v>
      </c>
    </row>
    <row r="8" spans="1:8">
      <c r="A8" s="397"/>
    </row>
    <row r="9" spans="1:8">
      <c r="A9" s="414"/>
      <c r="B9" s="410" t="s">
        <v>112</v>
      </c>
      <c r="C9" s="410"/>
      <c r="D9" s="410"/>
      <c r="E9" s="410"/>
    </row>
    <row r="10" spans="1:8">
      <c r="A10" s="415"/>
      <c r="B10" s="410"/>
      <c r="C10" s="410"/>
      <c r="D10" s="410"/>
      <c r="E10" s="410"/>
    </row>
    <row r="11" spans="1:8">
      <c r="A11" s="416" t="s">
        <v>113</v>
      </c>
      <c r="B11" s="417" t="s">
        <v>1658</v>
      </c>
      <c r="C11" s="410"/>
      <c r="D11" s="410"/>
      <c r="E11" s="410"/>
    </row>
    <row r="12" spans="1:8">
      <c r="A12" s="410"/>
      <c r="B12" s="410"/>
      <c r="C12" s="410"/>
      <c r="D12" s="410"/>
      <c r="E12" s="410"/>
    </row>
    <row r="13" spans="1:8">
      <c r="A13" s="416" t="s">
        <v>1461</v>
      </c>
      <c r="B13" s="410"/>
      <c r="C13" s="410"/>
      <c r="D13" s="410"/>
      <c r="E13" s="410"/>
    </row>
    <row r="14" spans="1:8">
      <c r="A14" s="410" t="s">
        <v>1463</v>
      </c>
      <c r="B14" s="410"/>
      <c r="C14" s="410"/>
      <c r="D14" s="410"/>
      <c r="E14" s="410"/>
    </row>
    <row r="15" spans="1:8">
      <c r="A15" s="410"/>
      <c r="B15" s="410"/>
      <c r="C15" s="410"/>
      <c r="D15" s="410"/>
      <c r="E15" s="410"/>
    </row>
    <row r="29" spans="1:8">
      <c r="A29" s="418" t="s">
        <v>135</v>
      </c>
      <c r="B29" s="410"/>
      <c r="C29" s="410"/>
      <c r="D29" s="410">
        <v>1</v>
      </c>
      <c r="E29" s="410"/>
      <c r="F29" s="410"/>
      <c r="G29" s="410"/>
      <c r="H29" s="410"/>
    </row>
    <row r="30" spans="1:8">
      <c r="A30" s="410"/>
      <c r="B30" s="410"/>
      <c r="C30" s="410"/>
      <c r="D30" s="410"/>
      <c r="E30" s="410"/>
      <c r="F30" s="410"/>
      <c r="G30" s="410"/>
      <c r="H30" s="410"/>
    </row>
    <row r="31" spans="1:8">
      <c r="A31" s="410"/>
      <c r="B31" s="410"/>
      <c r="C31" s="410"/>
      <c r="D31" s="410"/>
      <c r="E31" s="410"/>
      <c r="F31" s="419" t="s">
        <v>1464</v>
      </c>
      <c r="G31" s="647">
        <v>60344.83</v>
      </c>
      <c r="H31" s="647"/>
    </row>
    <row r="32" spans="1:8">
      <c r="A32" s="410"/>
      <c r="B32" s="410"/>
      <c r="C32" s="410"/>
      <c r="D32" s="410"/>
      <c r="E32" s="410"/>
      <c r="F32" s="419" t="s">
        <v>1465</v>
      </c>
      <c r="G32" s="647">
        <f>G31*16%</f>
        <v>9655.1728000000003</v>
      </c>
      <c r="H32" s="647"/>
    </row>
    <row r="33" spans="1:9">
      <c r="A33" s="410"/>
      <c r="B33" s="410"/>
      <c r="C33" s="410"/>
      <c r="D33" s="410"/>
      <c r="E33" s="410"/>
      <c r="F33" s="419" t="s">
        <v>84</v>
      </c>
      <c r="G33" s="647">
        <f>G31*1.16</f>
        <v>70000.002800000002</v>
      </c>
      <c r="H33" s="647"/>
    </row>
    <row r="34" spans="1:9">
      <c r="A34" s="410"/>
      <c r="B34" s="410"/>
      <c r="C34" s="410"/>
      <c r="D34" s="410"/>
      <c r="E34" s="410"/>
      <c r="F34" s="410"/>
      <c r="G34" s="410"/>
      <c r="H34" s="410"/>
    </row>
    <row r="35" spans="1:9">
      <c r="A35" s="420" t="s">
        <v>523</v>
      </c>
      <c r="B35" s="420"/>
      <c r="C35" s="412"/>
      <c r="D35" s="412"/>
      <c r="E35" s="412"/>
      <c r="F35" s="412"/>
      <c r="G35" s="412"/>
      <c r="H35" s="412"/>
      <c r="I35" s="393"/>
    </row>
    <row r="36" spans="1:9">
      <c r="A36" s="420" t="s">
        <v>524</v>
      </c>
      <c r="B36" s="420"/>
      <c r="C36" s="412"/>
      <c r="D36" s="412"/>
      <c r="E36" s="412"/>
      <c r="F36" s="412"/>
      <c r="G36" s="412"/>
      <c r="H36" s="412"/>
      <c r="I36" s="393"/>
    </row>
    <row r="37" spans="1:9">
      <c r="A37" s="420" t="s">
        <v>1460</v>
      </c>
      <c r="B37" s="412"/>
      <c r="C37" s="412"/>
      <c r="D37" s="412"/>
      <c r="E37" s="412"/>
      <c r="F37" s="412"/>
      <c r="G37" s="412"/>
      <c r="H37" s="412"/>
      <c r="I37" s="393"/>
    </row>
    <row r="38" spans="1:9">
      <c r="A38" s="410"/>
      <c r="B38" s="410"/>
      <c r="C38" s="410"/>
      <c r="D38" s="410"/>
      <c r="E38" s="410"/>
      <c r="F38" s="410"/>
      <c r="G38" s="410"/>
      <c r="H38" s="410"/>
    </row>
    <row r="39" spans="1:9" ht="15.6">
      <c r="A39" s="421"/>
      <c r="B39" s="421"/>
      <c r="C39" s="421"/>
      <c r="D39" s="421"/>
      <c r="E39" s="422" t="s">
        <v>140</v>
      </c>
      <c r="F39" s="421"/>
      <c r="G39" s="421"/>
      <c r="H39" s="421"/>
      <c r="I39" s="399"/>
    </row>
    <row r="40" spans="1:9" ht="15.6">
      <c r="A40" s="421"/>
      <c r="B40" s="421"/>
      <c r="C40" s="421"/>
      <c r="D40" s="421"/>
      <c r="E40" s="422" t="s">
        <v>1466</v>
      </c>
      <c r="F40" s="421"/>
      <c r="G40" s="421"/>
      <c r="H40" s="421"/>
      <c r="I40" s="399"/>
    </row>
    <row r="41" spans="1:9" ht="15.6">
      <c r="A41" s="421"/>
      <c r="B41" s="421"/>
      <c r="C41" s="421"/>
      <c r="D41" s="421"/>
      <c r="E41" s="422" t="s">
        <v>1467</v>
      </c>
      <c r="F41" s="421"/>
      <c r="G41" s="421"/>
      <c r="H41" s="421"/>
      <c r="I41" s="399"/>
    </row>
    <row r="42" spans="1:9" ht="15.6">
      <c r="A42" s="421"/>
      <c r="B42" s="421"/>
      <c r="C42" s="421"/>
      <c r="D42" s="421"/>
      <c r="E42" s="422" t="s">
        <v>1468</v>
      </c>
      <c r="F42" s="421"/>
      <c r="G42" s="421"/>
      <c r="H42" s="421"/>
      <c r="I42" s="399"/>
    </row>
    <row r="43" spans="1:9" ht="15.6">
      <c r="A43" s="421"/>
      <c r="B43" s="421"/>
      <c r="C43" s="421"/>
      <c r="D43" s="421"/>
      <c r="E43" s="422"/>
      <c r="F43" s="421"/>
      <c r="G43" s="421"/>
      <c r="H43" s="421"/>
      <c r="I43" s="399"/>
    </row>
    <row r="44" spans="1:9" ht="15.6">
      <c r="A44" s="421"/>
      <c r="B44" s="421"/>
      <c r="C44" s="421"/>
      <c r="D44" s="421"/>
      <c r="E44" s="422" t="s">
        <v>1469</v>
      </c>
      <c r="F44" s="421"/>
      <c r="G44" s="421"/>
      <c r="H44" s="421"/>
      <c r="I44" s="399"/>
    </row>
    <row r="45" spans="1:9">
      <c r="A45" s="410"/>
      <c r="B45" s="410"/>
      <c r="C45" s="410"/>
      <c r="D45" s="410"/>
      <c r="E45" s="410"/>
      <c r="F45" s="410"/>
      <c r="G45" s="410"/>
      <c r="H45" s="410"/>
    </row>
    <row r="46" spans="1:9">
      <c r="A46" s="410"/>
      <c r="B46" s="410"/>
      <c r="C46" s="410"/>
      <c r="D46" s="410"/>
      <c r="E46" s="410"/>
      <c r="F46" s="410"/>
      <c r="G46" s="410"/>
      <c r="H46" s="410"/>
    </row>
    <row r="47" spans="1:9">
      <c r="A47" s="410"/>
      <c r="B47" s="410"/>
      <c r="C47" s="410"/>
      <c r="D47" s="410"/>
      <c r="E47" s="410"/>
      <c r="F47" s="410"/>
      <c r="G47" s="410"/>
      <c r="H47" s="410"/>
    </row>
    <row r="48" spans="1:9">
      <c r="A48" s="410"/>
      <c r="B48" s="410"/>
      <c r="C48" s="410"/>
      <c r="D48" s="410"/>
      <c r="E48" s="410"/>
      <c r="F48" s="410"/>
      <c r="G48" s="410"/>
      <c r="H48" s="410"/>
    </row>
    <row r="49" spans="1:8">
      <c r="A49" s="410"/>
      <c r="B49" s="410"/>
      <c r="C49" s="410"/>
      <c r="D49" s="410"/>
      <c r="E49" s="410"/>
      <c r="F49" s="410"/>
      <c r="G49" s="410"/>
      <c r="H49" s="410"/>
    </row>
    <row r="50" spans="1:8">
      <c r="A50" s="410"/>
      <c r="B50" s="410"/>
      <c r="C50" s="410"/>
      <c r="D50" s="410"/>
      <c r="E50" s="410"/>
      <c r="F50" s="410"/>
      <c r="G50" s="410"/>
      <c r="H50" s="410"/>
    </row>
    <row r="51" spans="1:8">
      <c r="A51" s="410"/>
      <c r="B51" s="410"/>
      <c r="C51" s="410"/>
      <c r="D51" s="410"/>
      <c r="E51" s="410"/>
      <c r="F51" s="410"/>
      <c r="G51" s="410"/>
      <c r="H51" s="410"/>
    </row>
    <row r="52" spans="1:8">
      <c r="A52" s="410"/>
      <c r="B52" s="410"/>
      <c r="C52" s="410"/>
      <c r="D52" s="410"/>
      <c r="E52" s="410"/>
      <c r="F52" s="410"/>
      <c r="G52" s="410"/>
      <c r="H52" s="410"/>
    </row>
    <row r="53" spans="1:8">
      <c r="A53" s="410"/>
      <c r="B53" s="410"/>
      <c r="C53" s="410"/>
      <c r="D53" s="410"/>
      <c r="E53" s="410"/>
      <c r="F53" s="410"/>
      <c r="G53" s="410"/>
      <c r="H53" s="410"/>
    </row>
  </sheetData>
  <mergeCells count="3">
    <mergeCell ref="G33:H33"/>
    <mergeCell ref="G32:H32"/>
    <mergeCell ref="G31:H31"/>
  </mergeCells>
  <pageMargins left="7.874015748031496E-2" right="7.874015748031496E-2" top="0" bottom="0" header="0" footer="0"/>
  <pageSetup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65B077-71E9-45AD-8CDF-3BEA535DD3DD}">
  <sheetPr codeName="Hoja18"/>
  <dimension ref="A7:H183"/>
  <sheetViews>
    <sheetView zoomScaleNormal="100" workbookViewId="0">
      <pane xSplit="9" ySplit="7" topLeftCell="J41" activePane="bottomRight" state="frozen"/>
      <selection pane="topRight" activeCell="J1" sqref="J1"/>
      <selection pane="bottomLeft" activeCell="A8" sqref="A8"/>
      <selection pane="bottomRight" activeCell="H20" sqref="H20"/>
    </sheetView>
  </sheetViews>
  <sheetFormatPr baseColWidth="10" defaultRowHeight="14.4"/>
  <cols>
    <col min="1" max="1" width="7" customWidth="1"/>
    <col min="3" max="3" width="12.5546875" customWidth="1"/>
    <col min="4" max="4" width="15" customWidth="1"/>
    <col min="5" max="5" width="12.5546875" customWidth="1"/>
    <col min="6" max="6" width="16.44140625" customWidth="1"/>
    <col min="7" max="8" width="10.44140625" customWidth="1"/>
  </cols>
  <sheetData>
    <row r="7" spans="1:8">
      <c r="H7" s="233"/>
    </row>
    <row r="8" spans="1:8">
      <c r="A8" s="629" t="s">
        <v>527</v>
      </c>
      <c r="B8" s="629"/>
      <c r="C8" s="629"/>
      <c r="D8" s="629"/>
      <c r="E8" s="629"/>
      <c r="F8" s="629"/>
      <c r="G8" s="629"/>
      <c r="H8" s="629"/>
    </row>
    <row r="9" spans="1:8">
      <c r="A9" s="35" t="str">
        <f>INDEX(Tabla64[],MATCH(CONTRATO!$E$19,Tabla64[FOLIO],0),MATCH(Tabla64[[#Headers],[CLIENTE]],Tabla64[#Headers],0))</f>
        <v>NOE CORTEZ ORTEGA</v>
      </c>
      <c r="B9" s="35" t="str">
        <f>INDEX(clientes[],MATCH(CONTRATO!$A$9,clientes[CLIENTE],0),MATCH(clientes[[#Headers],[R. F. C.  ]],clientes[#Headers],0))</f>
        <v>COON900830E40</v>
      </c>
      <c r="C9" s="35" t="str">
        <f>INDEX(clientes[],MATCH(CONTRATO!$A$9,clientes[CLIENTE],0),MATCH(clientes[[#Headers],[CALLE, No., COLONIA ]],clientes[#Headers],0))</f>
        <v>CARRETERA A CUAUTEPEC 20, EL CALVARIO</v>
      </c>
      <c r="D9" s="35" t="str">
        <f>INDEX(clientes[],MATCH(CONTRATO!$A$9,clientes[CLIENTE],0),MATCH(clientes[[#Headers],[MUNICIPIO, ESTADO, PAIS. ]],clientes[#Headers],0))</f>
        <v>AHUAZOTEPEC, PUEBLA, MEXICO</v>
      </c>
      <c r="E9" s="35">
        <f>INDEX(clientes[],MATCH(CONTRATO!$A$9,clientes[CLIENTE],0),MATCH(clientes[[#Headers],[C.P. ]],clientes[#Headers],0))</f>
        <v>73180</v>
      </c>
    </row>
    <row r="10" spans="1:8">
      <c r="A10" s="640" t="s">
        <v>528</v>
      </c>
      <c r="B10" s="640"/>
      <c r="C10" s="640"/>
      <c r="D10" s="640"/>
      <c r="E10" s="640"/>
      <c r="F10" s="640"/>
      <c r="G10" s="657">
        <f ca="1">TODAY()</f>
        <v>46287</v>
      </c>
      <c r="H10" s="657"/>
    </row>
    <row r="11" spans="1:8" ht="15" customHeight="1"/>
    <row r="12" spans="1:8" ht="15" customHeight="1">
      <c r="A12" s="658" t="str">
        <f>"Reunidos en la fecha y lugar de encabezamiento por una parte “ARMADORA LEOLCA S.A. DE C.V."&amp;"con RFC ALE1808225X5, ubicada en domicilio conocido s/n, San Miguel Ayotla, C.P. 73190,"&amp;" Ahuazotepec, Puebla, México; dominada como “el vendedor”, y por otra parte el C." &amp;" "&amp;PROPER(CONTRATO!A9)&amp;" con RFC:"&amp;" "&amp;B9&amp;" "&amp;"quien tiene su domicilio"&amp;" "&amp;PROPER(C9)&amp;","&amp;" "&amp;PROPER(D9)&amp;" "&amp;"C.P."&amp;" "&amp;E9&amp;" "&amp;"denominado como “el comprador” manifiestan haber acordado formalizar en este documento el CONTRATO DE COMPRAVENTA DE"&amp;" "&amp;"PLATAFORMA(S) CON LA SIGUIENTE DESCRIPCION:"</f>
        <v>Reunidos en la fecha y lugar de encabezamiento por una parte “ARMADORA LEOLCA S.A. DE C.V.con RFC ALE1808225X5, ubicada en domicilio conocido s/n, San Miguel Ayotla, C.P. 73190, Ahuazotepec, Puebla, México; dominada como “el vendedor”, y por otra parte el C. Noe Cortez Ortega con RFC: COON900830E40 quien tiene su domicilio Carretera A Cuautepec 20, El Calvario, Ahuazotepec, Puebla, Mexico C.P. 73180 denominado como “el comprador” manifiestan haber acordado formalizar en este documento el CONTRATO DE COMPRAVENTA DE PLATAFORMA(S) CON LA SIGUIENTE DESCRIPCION:</v>
      </c>
      <c r="B12" s="658"/>
      <c r="C12" s="658"/>
      <c r="D12" s="658"/>
      <c r="E12" s="658"/>
      <c r="F12" s="658"/>
      <c r="G12" s="658"/>
      <c r="H12" s="658"/>
    </row>
    <row r="13" spans="1:8" ht="15" customHeight="1">
      <c r="A13" s="658"/>
      <c r="B13" s="658"/>
      <c r="C13" s="658"/>
      <c r="D13" s="658"/>
      <c r="E13" s="658"/>
      <c r="F13" s="658"/>
      <c r="G13" s="658"/>
      <c r="H13" s="658"/>
    </row>
    <row r="14" spans="1:8">
      <c r="A14" s="658"/>
      <c r="B14" s="658"/>
      <c r="C14" s="658"/>
      <c r="D14" s="658"/>
      <c r="E14" s="658"/>
      <c r="F14" s="658"/>
      <c r="G14" s="658"/>
      <c r="H14" s="658"/>
    </row>
    <row r="15" spans="1:8" ht="15.75" customHeight="1">
      <c r="A15" s="658"/>
      <c r="B15" s="658"/>
      <c r="C15" s="658"/>
      <c r="D15" s="658"/>
      <c r="E15" s="658"/>
      <c r="F15" s="658"/>
      <c r="G15" s="658"/>
      <c r="H15" s="658"/>
    </row>
    <row r="16" spans="1:8" ht="15.75" customHeight="1">
      <c r="A16" s="658"/>
      <c r="B16" s="658"/>
      <c r="C16" s="658"/>
      <c r="D16" s="658"/>
      <c r="E16" s="658"/>
      <c r="F16" s="658"/>
      <c r="G16" s="658"/>
      <c r="H16" s="658"/>
    </row>
    <row r="17" spans="1:8" ht="15" customHeight="1">
      <c r="A17" s="658"/>
      <c r="B17" s="658"/>
      <c r="C17" s="658"/>
      <c r="D17" s="658"/>
      <c r="E17" s="658"/>
      <c r="F17" s="658"/>
      <c r="G17" s="658"/>
      <c r="H17" s="658"/>
    </row>
    <row r="18" spans="1:8" ht="15" customHeight="1">
      <c r="A18" s="658"/>
      <c r="B18" s="658"/>
      <c r="C18" s="658"/>
      <c r="D18" s="658"/>
      <c r="E18" s="658"/>
      <c r="F18" s="658"/>
      <c r="G18" s="658"/>
      <c r="H18" s="658"/>
    </row>
    <row r="19" spans="1:8">
      <c r="B19" s="35" t="str">
        <f>INDEX(Tabla64[],MATCH(CONTRATO!E19,Tabla64[FOLIO],0),MATCH(Tabla64[[#Headers],[PRODUCTO]],Tabla64[#Headers],0))</f>
        <v>PLATAFORMA 3 42 FT</v>
      </c>
      <c r="D19" s="155" t="s">
        <v>109</v>
      </c>
      <c r="E19" t="s">
        <v>1006</v>
      </c>
    </row>
    <row r="20" spans="1:8" ht="15" customHeight="1">
      <c r="B20" s="656" t="s">
        <v>529</v>
      </c>
      <c r="C20" s="656"/>
      <c r="D20" s="656"/>
      <c r="E20" s="656"/>
      <c r="F20" s="656"/>
      <c r="G20" s="656"/>
      <c r="H20" s="168"/>
    </row>
    <row r="21" spans="1:8" ht="15" customHeight="1">
      <c r="B21" s="278" t="s">
        <v>530</v>
      </c>
      <c r="C21" s="278" t="str">
        <f>MID(B19,1,11)</f>
        <v xml:space="preserve">PLATAFORMA </v>
      </c>
      <c r="D21" s="649" t="s">
        <v>531</v>
      </c>
      <c r="E21" s="649"/>
      <c r="F21" s="649" t="s">
        <v>532</v>
      </c>
      <c r="G21" s="649"/>
      <c r="H21" s="168"/>
    </row>
    <row r="22" spans="1:8">
      <c r="B22" s="278" t="s">
        <v>1005</v>
      </c>
      <c r="C22" s="278" t="str">
        <f>INDEX(Tabla24[],MATCH(CONTRATO!B19,Tabla24[NOMBRE],0),MATCH(Tabla24[[#Headers],[LARGO]],Tabla24[#Headers],0))</f>
        <v>42 FT</v>
      </c>
      <c r="D22" s="278" t="s">
        <v>1004</v>
      </c>
      <c r="E22" s="279">
        <f>INDEX(Tabla24[],MATCH(CONTRATO!B19,Tabla24[NOMBRE],0),MATCH(Tabla24[[#Headers],[NUM. DE EJES]],Tabla24[#Headers],0))</f>
        <v>3</v>
      </c>
      <c r="F22" s="649" t="s">
        <v>533</v>
      </c>
      <c r="G22" s="649"/>
    </row>
    <row r="23" spans="1:8">
      <c r="B23" s="649" t="str">
        <f>PROPER(INDEX(Tabla64[],MATCH(CONTRATO!E19,Tabla64[FOLIO],0),MATCH(Tabla64[[#Headers],[CANT/PATIN]],Tabla64[#Headers],0)))&amp;" "&amp;PROPER(INDEX(Tabla64[],MATCH(CONTRATO!E19,Tabla64[FOLIO],0),MATCH(Tabla64[[#Headers],[PATINES]],Tabla64[#Headers],0)))</f>
        <v>2 Patín Hj</v>
      </c>
      <c r="C23" s="649"/>
      <c r="D23" s="649" t="str">
        <f>PROPER(INDEX(Tabla64[],MATCH(CONTRATO!E19,Tabla64[FOLIO],0),MATCH('FORM PLANAS'!I7,Tabla64[#Headers],0)))</f>
        <v>Suspensión Ampro</v>
      </c>
      <c r="E23" s="649"/>
      <c r="F23" s="653" t="s">
        <v>534</v>
      </c>
      <c r="G23" s="653"/>
    </row>
    <row r="25" spans="1:8">
      <c r="B25" s="35" t="str">
        <f>INDEX(Tabla64[],MATCH(CONTRATO!E25,Tabla64[FOLIO],0),MATCH(Tabla64[[#Headers],[PRODUCTO]],Tabla64[#Headers],0))</f>
        <v>PLATAFORMA 2 40 FT</v>
      </c>
      <c r="D25" s="155" t="s">
        <v>109</v>
      </c>
      <c r="E25" t="s">
        <v>765</v>
      </c>
    </row>
    <row r="26" spans="1:8">
      <c r="B26" s="656" t="s">
        <v>535</v>
      </c>
      <c r="C26" s="656"/>
      <c r="D26" s="656"/>
      <c r="E26" s="656"/>
      <c r="F26" s="656"/>
      <c r="G26" s="656"/>
    </row>
    <row r="27" spans="1:8">
      <c r="B27" s="278" t="s">
        <v>1002</v>
      </c>
      <c r="C27" s="280" t="str">
        <f>MID(B25,1,11)</f>
        <v xml:space="preserve">PLATAFORMA </v>
      </c>
      <c r="D27" s="649" t="s">
        <v>531</v>
      </c>
      <c r="E27" s="649"/>
      <c r="F27" s="649" t="s">
        <v>532</v>
      </c>
      <c r="G27" s="649"/>
    </row>
    <row r="28" spans="1:8">
      <c r="B28" s="278" t="s">
        <v>1003</v>
      </c>
      <c r="C28" s="279" t="str">
        <f>INDEX(Tabla24[],MATCH(CONTRATO!B25,Tabla24[NOMBRE],0),MATCH(Tabla24[[#Headers],[LARGO]],Tabla24[#Headers],0))</f>
        <v>40 FT</v>
      </c>
      <c r="D28" s="278" t="s">
        <v>989</v>
      </c>
      <c r="E28" s="279">
        <f>INDEX(Tabla24[],MATCH(CONTRATO!B25,Tabla24[NOMBRE],0),MATCH(Tabla24[[#Headers],[NUM. DE EJES]],Tabla24[#Headers],0))</f>
        <v>2</v>
      </c>
      <c r="F28" s="649" t="s">
        <v>533</v>
      </c>
      <c r="G28" s="649"/>
    </row>
    <row r="29" spans="1:8">
      <c r="B29" s="651" t="str">
        <f>PROPER(INDEX(Tabla64[],MATCH(CONTRATO!E25,Tabla64[FOLIO],0),MATCH(Tabla64[[#Headers],[CANT/PATIN]],Tabla64[#Headers],0)))&amp;" "&amp;PROPER(INDEX(Tabla64[],MATCH(CONTRATO!E25,Tabla64[FOLIO],0),MATCH(Tabla64[[#Headers],[PATINES]],Tabla64[#Headers],0)))</f>
        <v>2 Patin Ampro</v>
      </c>
      <c r="C29" s="652"/>
      <c r="D29" s="649" t="str">
        <f>PROPER(INDEX(Tabla64[],MATCH(CONTRATO!E25,Tabla64[FOLIO],0),MATCH('FORM PLANAS'!I7,Tabla64[#Headers],0)))</f>
        <v>Suspensión Ampro</v>
      </c>
      <c r="E29" s="649"/>
      <c r="F29" s="653" t="s">
        <v>534</v>
      </c>
      <c r="G29" s="653"/>
    </row>
    <row r="32" spans="1:8">
      <c r="A32" t="s">
        <v>536</v>
      </c>
    </row>
    <row r="33" spans="1:8">
      <c r="A33" s="655">
        <v>560000.34</v>
      </c>
      <c r="B33" s="655"/>
    </row>
    <row r="34" spans="1:8">
      <c r="A34" s="654" t="str" cm="1">
        <f t="array" ref="A34">"Primera. - El vendedor entregará al comprador los equipos fabricados con las características anteriormente especificadas por la cantidad"&amp;" "&amp;"$"&amp;A33&amp;" "&amp; " "&amp;"M.N. cada remolque "&amp;"("&amp;NumLetras(A33)&amp;")"&amp;" El precio, pactado por los contratantes, es el justo y real, por lo que renuncian a la acción de nulidad."</f>
        <v>Primera. - El vendedor entregará al comprador los equipos fabricados con las características anteriormente especificadas por la cantidad $560000.34  M.N. cada remolque ( QUINIENTOS SESENTA MIL 34/100 M.N.) El precio, pactado por los contratantes, es el justo y real, por lo que renuncian a la acción de nulidad.</v>
      </c>
      <c r="B34" s="654"/>
      <c r="C34" s="654"/>
      <c r="D34" s="654"/>
      <c r="E34" s="654"/>
      <c r="F34" s="654"/>
      <c r="G34" s="654"/>
      <c r="H34" s="654"/>
    </row>
    <row r="35" spans="1:8">
      <c r="A35" s="654"/>
      <c r="B35" s="654"/>
      <c r="C35" s="654"/>
      <c r="D35" s="654"/>
      <c r="E35" s="654"/>
      <c r="F35" s="654"/>
      <c r="G35" s="654"/>
      <c r="H35" s="654"/>
    </row>
    <row r="36" spans="1:8">
      <c r="A36" s="654"/>
      <c r="B36" s="654"/>
      <c r="C36" s="654"/>
      <c r="D36" s="654"/>
      <c r="E36" s="654"/>
      <c r="F36" s="654"/>
      <c r="G36" s="654"/>
      <c r="H36" s="654"/>
    </row>
    <row r="38" spans="1:8">
      <c r="A38" s="564" t="s">
        <v>537</v>
      </c>
      <c r="B38" s="564"/>
      <c r="C38" s="564"/>
      <c r="D38" s="564"/>
      <c r="E38" s="564"/>
      <c r="F38" s="564"/>
      <c r="G38" s="564"/>
      <c r="H38" s="564"/>
    </row>
    <row r="39" spans="1:8">
      <c r="A39" s="564"/>
      <c r="B39" s="564"/>
      <c r="C39" s="564"/>
      <c r="D39" s="564"/>
      <c r="E39" s="564"/>
      <c r="F39" s="564"/>
      <c r="G39" s="564"/>
      <c r="H39" s="564"/>
    </row>
    <row r="40" spans="1:8">
      <c r="A40" s="564"/>
      <c r="B40" s="564"/>
      <c r="C40" s="564"/>
      <c r="D40" s="564"/>
      <c r="E40" s="564"/>
      <c r="F40" s="564"/>
      <c r="G40" s="564"/>
      <c r="H40" s="564"/>
    </row>
    <row r="41" spans="1:8">
      <c r="A41" s="564"/>
      <c r="B41" s="564"/>
      <c r="C41" s="564"/>
      <c r="D41" s="564"/>
      <c r="E41" s="564"/>
      <c r="F41" s="564"/>
      <c r="G41" s="564"/>
      <c r="H41" s="564"/>
    </row>
    <row r="51" spans="2:7" ht="15.75" customHeight="1"/>
    <row r="57" spans="2:7">
      <c r="B57" s="650" t="s">
        <v>538</v>
      </c>
      <c r="C57" s="650"/>
      <c r="D57" s="650"/>
      <c r="E57" s="650"/>
      <c r="F57" s="650"/>
      <c r="G57" s="650"/>
    </row>
    <row r="58" spans="2:7">
      <c r="B58" s="234" t="s">
        <v>539</v>
      </c>
      <c r="C58" s="235" t="s">
        <v>540</v>
      </c>
      <c r="D58" s="236" t="s">
        <v>497</v>
      </c>
      <c r="E58" s="650" t="s">
        <v>541</v>
      </c>
      <c r="F58" s="650"/>
      <c r="G58" s="650"/>
    </row>
    <row r="59" spans="2:7">
      <c r="B59" s="237"/>
      <c r="C59" s="241"/>
      <c r="D59" s="237"/>
      <c r="E59" s="238"/>
      <c r="F59" s="239"/>
      <c r="G59" s="240"/>
    </row>
    <row r="60" spans="2:7">
      <c r="B60" s="237"/>
      <c r="C60" s="241"/>
      <c r="D60" s="237"/>
      <c r="E60" s="238"/>
      <c r="F60" s="239"/>
      <c r="G60" s="240"/>
    </row>
    <row r="61" spans="2:7">
      <c r="B61" s="237"/>
      <c r="C61" s="241"/>
      <c r="D61" s="237"/>
      <c r="E61" s="238"/>
      <c r="F61" s="239"/>
      <c r="G61" s="240"/>
    </row>
    <row r="62" spans="2:7">
      <c r="B62" s="237"/>
      <c r="C62" s="241"/>
      <c r="D62" s="237"/>
      <c r="E62" s="238"/>
      <c r="F62" s="239"/>
      <c r="G62" s="240"/>
    </row>
    <row r="63" spans="2:7">
      <c r="B63" s="237"/>
      <c r="C63" s="241"/>
      <c r="D63" s="237"/>
      <c r="E63" s="238"/>
      <c r="F63" s="239"/>
      <c r="G63" s="240"/>
    </row>
    <row r="64" spans="2:7">
      <c r="B64" s="237"/>
      <c r="C64" s="241"/>
      <c r="D64" s="237"/>
      <c r="E64" s="238"/>
      <c r="F64" s="239"/>
      <c r="G64" s="240"/>
    </row>
    <row r="65" spans="2:7">
      <c r="B65" s="237"/>
      <c r="C65" s="241"/>
      <c r="D65" s="237"/>
      <c r="E65" s="238"/>
      <c r="F65" s="239"/>
      <c r="G65" s="240"/>
    </row>
    <row r="66" spans="2:7">
      <c r="B66" s="237"/>
      <c r="C66" s="241"/>
      <c r="D66" s="237"/>
      <c r="E66" s="238"/>
      <c r="F66" s="239"/>
      <c r="G66" s="240"/>
    </row>
    <row r="67" spans="2:7">
      <c r="B67" s="237"/>
      <c r="C67" s="241"/>
      <c r="D67" s="237"/>
      <c r="E67" s="238"/>
      <c r="F67" s="239"/>
      <c r="G67" s="240"/>
    </row>
    <row r="68" spans="2:7">
      <c r="B68" s="237"/>
      <c r="C68" s="241"/>
      <c r="D68" s="237"/>
      <c r="E68" s="238"/>
      <c r="F68" s="239"/>
      <c r="G68" s="240"/>
    </row>
    <row r="69" spans="2:7">
      <c r="B69" s="237"/>
      <c r="C69" s="241"/>
      <c r="D69" s="237"/>
      <c r="E69" s="238"/>
      <c r="F69" s="239"/>
      <c r="G69" s="240"/>
    </row>
    <row r="70" spans="2:7">
      <c r="B70" s="237"/>
      <c r="C70" s="241"/>
      <c r="D70" s="237"/>
      <c r="E70" s="238"/>
      <c r="F70" s="239"/>
      <c r="G70" s="240"/>
    </row>
    <row r="71" spans="2:7">
      <c r="B71" s="237"/>
      <c r="C71" s="241"/>
      <c r="D71" s="237"/>
      <c r="E71" s="238"/>
      <c r="F71" s="239"/>
      <c r="G71" s="240"/>
    </row>
    <row r="72" spans="2:7">
      <c r="B72" s="237"/>
      <c r="C72" s="241"/>
      <c r="D72" s="237"/>
      <c r="E72" s="238"/>
      <c r="F72" s="239"/>
      <c r="G72" s="240"/>
    </row>
    <row r="73" spans="2:7">
      <c r="B73" s="237"/>
      <c r="C73" s="241"/>
      <c r="D73" s="237"/>
      <c r="E73" s="238"/>
      <c r="F73" s="239"/>
      <c r="G73" s="240"/>
    </row>
    <row r="74" spans="2:7">
      <c r="B74" s="237"/>
      <c r="C74" s="241"/>
      <c r="D74" s="237"/>
      <c r="E74" s="238"/>
      <c r="F74" s="239"/>
      <c r="G74" s="240"/>
    </row>
    <row r="75" spans="2:7">
      <c r="B75" s="237"/>
      <c r="C75" s="241"/>
      <c r="D75" s="237"/>
      <c r="E75" s="238"/>
      <c r="F75" s="239"/>
      <c r="G75" s="240"/>
    </row>
    <row r="76" spans="2:7">
      <c r="B76" s="237"/>
      <c r="C76" s="241"/>
      <c r="D76" s="237"/>
      <c r="E76" s="238"/>
      <c r="F76" s="239"/>
      <c r="G76" s="240"/>
    </row>
    <row r="77" spans="2:7">
      <c r="B77" s="237"/>
      <c r="C77" s="241"/>
      <c r="D77" s="237"/>
      <c r="E77" s="238"/>
      <c r="F77" s="239"/>
      <c r="G77" s="240"/>
    </row>
    <row r="78" spans="2:7">
      <c r="B78" s="237"/>
      <c r="C78" s="241"/>
      <c r="D78" s="237"/>
      <c r="E78" s="238"/>
      <c r="F78" s="239"/>
      <c r="G78" s="240"/>
    </row>
    <row r="79" spans="2:7">
      <c r="B79" s="237"/>
      <c r="C79" s="241"/>
      <c r="D79" s="237"/>
      <c r="E79" s="238"/>
      <c r="F79" s="239"/>
      <c r="G79" s="240"/>
    </row>
    <row r="80" spans="2:7">
      <c r="B80" s="237"/>
      <c r="C80" s="241"/>
      <c r="D80" s="237"/>
      <c r="E80" s="238"/>
      <c r="F80" s="239"/>
      <c r="G80" s="240"/>
    </row>
    <row r="81" spans="2:7">
      <c r="B81" s="237"/>
      <c r="C81" s="241"/>
      <c r="D81" s="237"/>
      <c r="E81" s="238"/>
      <c r="F81" s="239"/>
      <c r="G81" s="240"/>
    </row>
    <row r="82" spans="2:7">
      <c r="B82" s="237"/>
      <c r="C82" s="241"/>
      <c r="D82" s="237"/>
      <c r="E82" s="238"/>
      <c r="F82" s="239"/>
      <c r="G82" s="240"/>
    </row>
    <row r="83" spans="2:7">
      <c r="B83" s="237"/>
      <c r="C83" s="241"/>
      <c r="D83" s="237"/>
      <c r="E83" s="238"/>
      <c r="F83" s="239"/>
      <c r="G83" s="240"/>
    </row>
    <row r="84" spans="2:7">
      <c r="B84" s="237"/>
      <c r="C84" s="241"/>
      <c r="D84" s="237"/>
      <c r="E84" s="238"/>
      <c r="F84" s="239"/>
      <c r="G84" s="240"/>
    </row>
    <row r="85" spans="2:7">
      <c r="B85" s="237"/>
      <c r="C85" s="241"/>
      <c r="D85" s="237"/>
      <c r="E85" s="238"/>
      <c r="F85" s="239"/>
      <c r="G85" s="240"/>
    </row>
    <row r="86" spans="2:7">
      <c r="B86" s="237"/>
      <c r="C86" s="241"/>
      <c r="D86" s="237"/>
      <c r="E86" s="238"/>
      <c r="F86" s="239"/>
      <c r="G86" s="240"/>
    </row>
    <row r="87" spans="2:7">
      <c r="B87" s="237"/>
      <c r="C87" s="241"/>
      <c r="D87" s="237"/>
      <c r="E87" s="238"/>
      <c r="F87" s="239"/>
      <c r="G87" s="240"/>
    </row>
    <row r="88" spans="2:7">
      <c r="B88" s="23" t="s">
        <v>84</v>
      </c>
      <c r="C88" s="6">
        <f>SUM(C59:C87)</f>
        <v>0</v>
      </c>
    </row>
    <row r="103" spans="1:8">
      <c r="A103" s="564" t="s">
        <v>542</v>
      </c>
      <c r="B103" s="564"/>
      <c r="C103" s="564"/>
      <c r="D103" s="564"/>
      <c r="E103" s="564"/>
      <c r="F103" s="564"/>
      <c r="G103" s="564"/>
      <c r="H103" s="564"/>
    </row>
    <row r="104" spans="1:8">
      <c r="A104" s="564"/>
      <c r="B104" s="564"/>
      <c r="C104" s="564"/>
      <c r="D104" s="564"/>
      <c r="E104" s="564"/>
      <c r="F104" s="564"/>
      <c r="G104" s="564"/>
      <c r="H104" s="564"/>
    </row>
    <row r="105" spans="1:8">
      <c r="A105" s="564"/>
      <c r="B105" s="564"/>
      <c r="C105" s="564"/>
      <c r="D105" s="564"/>
      <c r="E105" s="564"/>
      <c r="F105" s="564"/>
      <c r="G105" s="564"/>
      <c r="H105" s="564"/>
    </row>
    <row r="106" spans="1:8">
      <c r="A106" s="564" t="s">
        <v>543</v>
      </c>
      <c r="B106" s="564"/>
      <c r="C106" s="564"/>
      <c r="D106" s="564"/>
      <c r="E106" s="564"/>
      <c r="F106" s="564"/>
      <c r="G106" s="564"/>
      <c r="H106" s="564"/>
    </row>
    <row r="107" spans="1:8">
      <c r="A107" s="564"/>
      <c r="B107" s="564"/>
      <c r="C107" s="564"/>
      <c r="D107" s="564"/>
      <c r="E107" s="564"/>
      <c r="F107" s="564"/>
      <c r="G107" s="564"/>
      <c r="H107" s="564"/>
    </row>
    <row r="109" spans="1:8">
      <c r="A109" s="564" t="s">
        <v>544</v>
      </c>
      <c r="B109" s="564"/>
      <c r="C109" s="564"/>
      <c r="D109" s="564"/>
      <c r="E109" s="564"/>
      <c r="F109" s="564"/>
      <c r="G109" s="564"/>
      <c r="H109" s="564"/>
    </row>
    <row r="110" spans="1:8">
      <c r="A110" s="564"/>
      <c r="B110" s="564"/>
      <c r="C110" s="564"/>
      <c r="D110" s="564"/>
      <c r="E110" s="564"/>
      <c r="F110" s="564"/>
      <c r="G110" s="564"/>
      <c r="H110" s="564"/>
    </row>
    <row r="112" spans="1:8">
      <c r="A112" s="564" t="s">
        <v>545</v>
      </c>
      <c r="B112" s="564"/>
      <c r="C112" s="564"/>
      <c r="D112" s="564"/>
      <c r="E112" s="564"/>
      <c r="F112" s="564"/>
      <c r="G112" s="564"/>
      <c r="H112" s="564"/>
    </row>
    <row r="113" spans="1:8">
      <c r="A113" s="564"/>
      <c r="B113" s="564"/>
      <c r="C113" s="564"/>
      <c r="D113" s="564"/>
      <c r="E113" s="564"/>
      <c r="F113" s="564"/>
      <c r="G113" s="564"/>
      <c r="H113" s="564"/>
    </row>
    <row r="114" spans="1:8">
      <c r="A114" s="564"/>
      <c r="B114" s="564"/>
      <c r="C114" s="564"/>
      <c r="D114" s="564"/>
      <c r="E114" s="564"/>
      <c r="F114" s="564"/>
      <c r="G114" s="564"/>
      <c r="H114" s="564"/>
    </row>
    <row r="115" spans="1:8">
      <c r="A115" s="564"/>
      <c r="B115" s="564"/>
      <c r="C115" s="564"/>
      <c r="D115" s="564"/>
      <c r="E115" s="564"/>
      <c r="F115" s="564"/>
      <c r="G115" s="564"/>
      <c r="H115" s="564"/>
    </row>
    <row r="116" spans="1:8">
      <c r="A116" s="564"/>
      <c r="B116" s="564"/>
      <c r="C116" s="564"/>
      <c r="D116" s="564"/>
      <c r="E116" s="564"/>
      <c r="F116" s="564"/>
      <c r="G116" s="564"/>
      <c r="H116" s="564"/>
    </row>
    <row r="117" spans="1:8">
      <c r="A117" s="564" t="s">
        <v>546</v>
      </c>
      <c r="B117" s="564"/>
      <c r="C117" s="564"/>
      <c r="D117" s="564"/>
      <c r="E117" s="564"/>
      <c r="F117" s="564"/>
      <c r="G117" s="564"/>
      <c r="H117" s="564"/>
    </row>
    <row r="118" spans="1:8">
      <c r="A118" s="564"/>
      <c r="B118" s="564"/>
      <c r="C118" s="564"/>
      <c r="D118" s="564"/>
      <c r="E118" s="564"/>
      <c r="F118" s="564"/>
      <c r="G118" s="564"/>
      <c r="H118" s="564"/>
    </row>
    <row r="119" spans="1:8">
      <c r="A119" s="564"/>
      <c r="B119" s="564"/>
      <c r="C119" s="564"/>
      <c r="D119" s="564"/>
      <c r="E119" s="564"/>
      <c r="F119" s="564"/>
      <c r="G119" s="564"/>
      <c r="H119" s="564"/>
    </row>
    <row r="150" spans="1:8">
      <c r="A150" s="564" t="s">
        <v>547</v>
      </c>
      <c r="B150" s="564"/>
      <c r="C150" s="564"/>
      <c r="D150" s="564"/>
      <c r="E150" s="564"/>
      <c r="F150" s="564"/>
      <c r="G150" s="564"/>
      <c r="H150" s="564"/>
    </row>
    <row r="151" spans="1:8">
      <c r="A151" s="564"/>
      <c r="B151" s="564"/>
      <c r="C151" s="564"/>
      <c r="D151" s="564"/>
      <c r="E151" s="564"/>
      <c r="F151" s="564"/>
      <c r="G151" s="564"/>
      <c r="H151" s="564"/>
    </row>
    <row r="159" spans="1:8" ht="15" customHeight="1">
      <c r="B159" s="564" t="s">
        <v>549</v>
      </c>
      <c r="C159" s="564"/>
      <c r="D159" s="564"/>
      <c r="E159" s="564"/>
      <c r="F159" s="564"/>
      <c r="G159" s="564"/>
      <c r="H159" s="564"/>
    </row>
    <row r="160" spans="1:8">
      <c r="B160" s="564"/>
      <c r="C160" s="564"/>
      <c r="D160" s="564"/>
      <c r="E160" s="564"/>
      <c r="F160" s="564"/>
      <c r="G160" s="564"/>
      <c r="H160" s="564"/>
    </row>
    <row r="161" spans="1:8">
      <c r="B161" s="564"/>
      <c r="C161" s="564"/>
      <c r="D161" s="564"/>
      <c r="E161" s="564"/>
      <c r="F161" s="564"/>
      <c r="G161" s="564"/>
      <c r="H161" s="564"/>
    </row>
    <row r="162" spans="1:8">
      <c r="B162" s="564"/>
      <c r="C162" s="564"/>
      <c r="D162" s="564"/>
      <c r="E162" s="564"/>
      <c r="F162" s="564"/>
      <c r="G162" s="564"/>
      <c r="H162" s="564"/>
    </row>
    <row r="164" spans="1:8">
      <c r="B164" s="564" t="s">
        <v>548</v>
      </c>
      <c r="C164" s="564"/>
      <c r="D164" s="564"/>
      <c r="E164" s="564"/>
      <c r="F164" s="564"/>
      <c r="G164" s="564"/>
      <c r="H164" s="564"/>
    </row>
    <row r="165" spans="1:8">
      <c r="B165" s="564"/>
      <c r="C165" s="564"/>
      <c r="D165" s="564"/>
      <c r="E165" s="564"/>
      <c r="F165" s="564"/>
      <c r="G165" s="564"/>
      <c r="H165" s="564"/>
    </row>
    <row r="166" spans="1:8">
      <c r="B166" s="564"/>
      <c r="C166" s="564"/>
      <c r="D166" s="564"/>
      <c r="E166" s="564"/>
      <c r="F166" s="564"/>
      <c r="G166" s="564"/>
      <c r="H166" s="564"/>
    </row>
    <row r="167" spans="1:8">
      <c r="A167" s="564" t="s">
        <v>550</v>
      </c>
      <c r="B167" s="564"/>
      <c r="C167" s="564"/>
      <c r="D167" s="564"/>
      <c r="E167" s="564"/>
      <c r="F167" s="564"/>
      <c r="G167" s="564"/>
      <c r="H167" s="564"/>
    </row>
    <row r="168" spans="1:8">
      <c r="A168" s="564"/>
      <c r="B168" s="564"/>
      <c r="C168" s="564"/>
      <c r="D168" s="564"/>
      <c r="E168" s="564"/>
      <c r="F168" s="564"/>
      <c r="G168" s="564"/>
      <c r="H168" s="564"/>
    </row>
    <row r="170" spans="1:8">
      <c r="A170" s="564" t="s">
        <v>551</v>
      </c>
      <c r="B170" s="564"/>
      <c r="C170" s="564"/>
      <c r="D170" s="564"/>
      <c r="E170" s="564"/>
      <c r="F170" s="564"/>
      <c r="G170" s="564"/>
      <c r="H170" s="564"/>
    </row>
    <row r="171" spans="1:8">
      <c r="A171" s="564"/>
      <c r="B171" s="564"/>
      <c r="C171" s="564"/>
      <c r="D171" s="564"/>
      <c r="E171" s="564"/>
      <c r="F171" s="564"/>
      <c r="G171" s="564"/>
      <c r="H171" s="564"/>
    </row>
    <row r="172" spans="1:8">
      <c r="A172" s="564"/>
      <c r="B172" s="564"/>
      <c r="C172" s="564"/>
      <c r="D172" s="564"/>
      <c r="E172" s="564"/>
      <c r="F172" s="564"/>
      <c r="G172" s="564"/>
      <c r="H172" s="564"/>
    </row>
    <row r="181" spans="3:7">
      <c r="C181" s="62"/>
      <c r="D181" s="62"/>
      <c r="F181" s="62"/>
      <c r="G181" s="62"/>
    </row>
    <row r="182" spans="3:7">
      <c r="C182" s="648" t="s">
        <v>271</v>
      </c>
      <c r="D182" s="648"/>
      <c r="F182" s="648" t="str">
        <f>A9</f>
        <v>NOE CORTEZ ORTEGA</v>
      </c>
      <c r="G182" s="648"/>
    </row>
    <row r="183" spans="3:7">
      <c r="C183" s="530" t="s">
        <v>552</v>
      </c>
      <c r="D183" s="530"/>
      <c r="F183" s="530" t="s">
        <v>553</v>
      </c>
      <c r="G183" s="530"/>
    </row>
  </sheetData>
  <mergeCells count="37">
    <mergeCell ref="A8:H8"/>
    <mergeCell ref="G10:H10"/>
    <mergeCell ref="A10:F10"/>
    <mergeCell ref="B20:G20"/>
    <mergeCell ref="D21:E21"/>
    <mergeCell ref="F21:G21"/>
    <mergeCell ref="A12:H18"/>
    <mergeCell ref="F22:G22"/>
    <mergeCell ref="B23:C23"/>
    <mergeCell ref="D23:E23"/>
    <mergeCell ref="F23:G23"/>
    <mergeCell ref="B26:G26"/>
    <mergeCell ref="D27:E27"/>
    <mergeCell ref="F27:G27"/>
    <mergeCell ref="F28:G28"/>
    <mergeCell ref="A103:H105"/>
    <mergeCell ref="B57:G57"/>
    <mergeCell ref="E58:G58"/>
    <mergeCell ref="B29:C29"/>
    <mergeCell ref="D29:E29"/>
    <mergeCell ref="F29:G29"/>
    <mergeCell ref="A34:H36"/>
    <mergeCell ref="A38:H41"/>
    <mergeCell ref="A33:B33"/>
    <mergeCell ref="B159:H162"/>
    <mergeCell ref="B164:H166"/>
    <mergeCell ref="A167:H168"/>
    <mergeCell ref="A106:H107"/>
    <mergeCell ref="A109:H110"/>
    <mergeCell ref="A112:H116"/>
    <mergeCell ref="A117:H119"/>
    <mergeCell ref="A150:H151"/>
    <mergeCell ref="A170:H172"/>
    <mergeCell ref="C183:D183"/>
    <mergeCell ref="F182:G182"/>
    <mergeCell ref="C182:D182"/>
    <mergeCell ref="F183:G183"/>
  </mergeCells>
  <pageMargins left="0.25" right="0.25" top="0.75" bottom="0.75" header="0.3" footer="0.3"/>
  <pageSetup orientation="portrait" r:id="rId1"/>
  <drawing r:id="rId2"/>
  <legacyDrawing r:id="rId3"/>
  <controls>
    <mc:AlternateContent xmlns:mc="http://schemas.openxmlformats.org/markup-compatibility/2006">
      <mc:Choice Requires="x14">
        <control shapeId="93186" r:id="rId4" name="BT_EN_CONTRATO">
          <controlPr defaultSize="0" autoLine="0" r:id="rId5">
            <anchor moveWithCells="1">
              <from>
                <xdr:col>9</xdr:col>
                <xdr:colOff>716280</xdr:colOff>
                <xdr:row>1</xdr:row>
                <xdr:rowOff>45720</xdr:rowOff>
              </from>
              <to>
                <xdr:col>11</xdr:col>
                <xdr:colOff>693420</xdr:colOff>
                <xdr:row>3</xdr:row>
                <xdr:rowOff>99060</xdr:rowOff>
              </to>
            </anchor>
          </controlPr>
        </control>
      </mc:Choice>
      <mc:Fallback>
        <control shapeId="93186" r:id="rId4" name="BT_EN_CONTRATO"/>
      </mc:Fallback>
    </mc:AlternateContent>
    <mc:AlternateContent xmlns:mc="http://schemas.openxmlformats.org/markup-compatibility/2006">
      <mc:Choice Requires="x14">
        <control shapeId="93188" r:id="rId6" name="bt_GUARD_PDF_CONTRAT_PLANA">
          <controlPr defaultSize="0" autoLine="0" r:id="rId7">
            <anchor moveWithCells="1">
              <from>
                <xdr:col>10</xdr:col>
                <xdr:colOff>38100</xdr:colOff>
                <xdr:row>4</xdr:row>
                <xdr:rowOff>114300</xdr:rowOff>
              </from>
              <to>
                <xdr:col>11</xdr:col>
                <xdr:colOff>426720</xdr:colOff>
                <xdr:row>6</xdr:row>
                <xdr:rowOff>99060</xdr:rowOff>
              </to>
            </anchor>
          </controlPr>
        </control>
      </mc:Choice>
      <mc:Fallback>
        <control shapeId="93188" r:id="rId6" name="bt_GUARD_PDF_CONTRAT_PLANA"/>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BB930-441D-49CF-882C-C476FF33EEA6}">
  <sheetPr codeName="Hoja1">
    <pageSetUpPr fitToPage="1"/>
  </sheetPr>
  <dimension ref="A1:N216"/>
  <sheetViews>
    <sheetView showGridLines="0" zoomScaleNormal="100" workbookViewId="0">
      <pane xSplit="12" ySplit="5" topLeftCell="M138" activePane="bottomRight" state="frozen"/>
      <selection pane="topRight" activeCell="M1" sqref="M1"/>
      <selection pane="bottomLeft" activeCell="A6" sqref="A6"/>
      <selection pane="bottomRight" activeCell="O143" sqref="O143"/>
    </sheetView>
  </sheetViews>
  <sheetFormatPr baseColWidth="10" defaultColWidth="9.109375" defaultRowHeight="14.4"/>
  <cols>
    <col min="1" max="3" width="9.109375" style="3"/>
    <col min="4" max="4" width="14.33203125" style="3" bestFit="1" customWidth="1"/>
    <col min="5" max="5" width="9.88671875" customWidth="1"/>
    <col min="6" max="6" width="9.44140625" bestFit="1" customWidth="1"/>
    <col min="7" max="7" width="16.109375" customWidth="1"/>
    <col min="8" max="8" width="14.44140625" customWidth="1"/>
    <col min="9" max="9" width="9.33203125" customWidth="1"/>
    <col min="10" max="10" width="5.33203125" customWidth="1"/>
    <col min="11" max="11" width="2.33203125" customWidth="1"/>
    <col min="12" max="12" width="0.88671875" customWidth="1"/>
    <col min="14" max="14" width="10.6640625" bestFit="1" customWidth="1"/>
  </cols>
  <sheetData>
    <row r="1" spans="1:14">
      <c r="K1" s="35" t="str">
        <f>_xlfn.CONCAT(D16," ",H9)</f>
        <v>HERIBERTO ROLDAN LOZADA FOL-06-09-23-02</v>
      </c>
      <c r="N1" t="s">
        <v>1008</v>
      </c>
    </row>
    <row r="2" spans="1:14">
      <c r="N2" s="198">
        <f ca="1">TODAY()</f>
        <v>46287</v>
      </c>
    </row>
    <row r="3" spans="1:14">
      <c r="N3" t="s">
        <v>1030</v>
      </c>
    </row>
    <row r="4" spans="1:14">
      <c r="N4" s="198">
        <v>45119</v>
      </c>
    </row>
    <row r="5" spans="1:14">
      <c r="A5" s="53" t="s">
        <v>272</v>
      </c>
    </row>
    <row r="6" spans="1:14" ht="18">
      <c r="F6" s="54" t="s">
        <v>253</v>
      </c>
    </row>
    <row r="7" spans="1:14" ht="15">
      <c r="E7" s="133" t="s">
        <v>254</v>
      </c>
      <c r="G7" s="55"/>
      <c r="H7" s="662">
        <f ca="1">TODAY()</f>
        <v>46287</v>
      </c>
      <c r="I7" s="662"/>
      <c r="J7" s="662"/>
      <c r="K7" s="82"/>
    </row>
    <row r="8" spans="1:14">
      <c r="B8" s="73" t="str">
        <f>CONCATENATE("Expediente"," ",D16," ",H9)</f>
        <v>Expediente HERIBERTO ROLDAN LOZADA FOL-06-09-23-02</v>
      </c>
      <c r="H8" s="277" t="s">
        <v>109</v>
      </c>
    </row>
    <row r="9" spans="1:14">
      <c r="A9" s="56" t="s">
        <v>123</v>
      </c>
      <c r="H9" s="277" t="s">
        <v>770</v>
      </c>
    </row>
    <row r="10" spans="1:14">
      <c r="A10" s="57" t="s">
        <v>273</v>
      </c>
    </row>
    <row r="11" spans="1:14">
      <c r="A11" s="56" t="s">
        <v>123</v>
      </c>
    </row>
    <row r="12" spans="1:14">
      <c r="A12" s="56" t="s">
        <v>255</v>
      </c>
    </row>
    <row r="13" spans="1:14">
      <c r="A13" s="56" t="s">
        <v>252</v>
      </c>
    </row>
    <row r="14" spans="1:14">
      <c r="A14" s="56" t="s">
        <v>256</v>
      </c>
    </row>
    <row r="15" spans="1:14">
      <c r="A15" s="58" t="s">
        <v>272</v>
      </c>
    </row>
    <row r="16" spans="1:14">
      <c r="A16" s="56" t="s">
        <v>257</v>
      </c>
      <c r="D16" s="64" t="str">
        <f>INDEX(Tabla64[],MATCH('CARTA FACTURA'!H9,Tabla64[FOLIO],0),MATCH(Tabla64[[#Headers],[CLIENTE]],Tabla64[#Headers],0))</f>
        <v>HERIBERTO ROLDAN LOZADA</v>
      </c>
    </row>
    <row r="17" spans="1:7">
      <c r="A17" s="56" t="s">
        <v>258</v>
      </c>
      <c r="D17" s="59" t="s">
        <v>259</v>
      </c>
      <c r="F17" t="str">
        <f>INDEX(clientes[],MATCH($D$16,clientes[CLIENTE],0),MATCH(D17,'CLIENTES'!$B$9:$I$9,0))</f>
        <v>RAYON 18, CENTRO</v>
      </c>
    </row>
    <row r="18" spans="1:7">
      <c r="A18" s="56" t="s">
        <v>260</v>
      </c>
      <c r="D18" s="59" t="s">
        <v>261</v>
      </c>
      <c r="F18" t="str">
        <f>INDEX(clientes[],MATCH($D$16,clientes[CLIENTE],0),MATCH(D18,'CLIENTES'!$B$9:$I$9,0))</f>
        <v>ACAXOCHITLAN HIDALGO MEXICO</v>
      </c>
    </row>
    <row r="19" spans="1:7">
      <c r="A19" s="56" t="s">
        <v>434</v>
      </c>
      <c r="D19" s="3">
        <f>INDEX(clientes[],MATCH($D$16,clientes[CLIENTE],0),MATCH(A19,'CLIENTES'!$B$9:$I$9,0))</f>
        <v>43730</v>
      </c>
    </row>
    <row r="20" spans="1:7">
      <c r="A20" s="56" t="s">
        <v>263</v>
      </c>
      <c r="D20" s="3" t="str">
        <f>INDEX(clientes[],MATCH($D$16,clientes[CLIENTE],0),MATCH(A20,'CLIENTES'!$B$9:$I$9,0))</f>
        <v>ROLH810209855</v>
      </c>
    </row>
    <row r="21" spans="1:7">
      <c r="A21" s="3" t="str">
        <f>INDEX(Tabla64[],MATCH('CARTA FACTURA'!H9,Tabla64[FOLIO],0),MATCH(Tabla64[[#Headers],[PRODUCTO]],Tabla64[#Headers],0))</f>
        <v>PLATAFORMA 2 40 FT</v>
      </c>
    </row>
    <row r="22" spans="1:7">
      <c r="A22" s="56" t="s">
        <v>986</v>
      </c>
      <c r="D22" s="3" t="str">
        <f>INDEX(Tabla24[],MATCH('CARTA FACTURA'!A21,Tabla24[NOMBRE],0),MATCH(Tabla24[[#Headers],[TIPO]],Tabla24[#Headers],0))</f>
        <v>PLATAFORMA</v>
      </c>
    </row>
    <row r="23" spans="1:7">
      <c r="A23" s="59" t="s">
        <v>987</v>
      </c>
      <c r="D23" s="3" t="str">
        <f>INDEX(Tabla24[],MATCH('CARTA FACTURA'!A21,Tabla24[NOMBRE],0),MATCH(Tabla24[[#Headers],[LARGO]],Tabla24[#Headers],0))</f>
        <v>40 FT</v>
      </c>
    </row>
    <row r="24" spans="1:7">
      <c r="A24" s="56" t="s">
        <v>314</v>
      </c>
      <c r="D24" s="3" t="s">
        <v>995</v>
      </c>
    </row>
    <row r="25" spans="1:7">
      <c r="A25" s="59" t="s">
        <v>315</v>
      </c>
      <c r="D25" s="3">
        <v>2024</v>
      </c>
    </row>
    <row r="26" spans="1:7">
      <c r="A26" s="56" t="s">
        <v>988</v>
      </c>
      <c r="D26" s="666">
        <f>INDEX(Tabla24[],MATCH('CARTA FACTURA'!A21,Tabla24[NOMBRE],0),MATCH(Tabla24[[#Headers],[Longitud]],Tabla24[#Headers],0))</f>
        <v>12.192</v>
      </c>
      <c r="E26" s="666"/>
    </row>
    <row r="27" spans="1:7">
      <c r="A27" s="59" t="s">
        <v>989</v>
      </c>
      <c r="D27" s="3">
        <f>INDEX(Tabla24[],MATCH('CARTA FACTURA'!A21,Tabla24[NOMBRE],0),MATCH(Tabla24[[#Headers],[NUM. DE EJES]],Tabla24[#Headers],0))</f>
        <v>2</v>
      </c>
    </row>
    <row r="28" spans="1:7">
      <c r="A28" s="56"/>
      <c r="C28" s="3" t="s">
        <v>990</v>
      </c>
      <c r="G28" s="23" t="s">
        <v>1031</v>
      </c>
    </row>
    <row r="29" spans="1:7">
      <c r="A29" s="59" t="s">
        <v>991</v>
      </c>
      <c r="B29" s="3" t="s">
        <v>992</v>
      </c>
      <c r="D29" s="3" t="s">
        <v>993</v>
      </c>
      <c r="F29" s="3" t="s">
        <v>994</v>
      </c>
    </row>
    <row r="30" spans="1:7">
      <c r="A30" s="56"/>
    </row>
    <row r="31" spans="1:7">
      <c r="A31" s="56"/>
    </row>
    <row r="32" spans="1:7">
      <c r="A32" s="83" t="s">
        <v>264</v>
      </c>
    </row>
    <row r="33" spans="1:11">
      <c r="A33" s="667" t="s">
        <v>329</v>
      </c>
      <c r="B33" s="668"/>
      <c r="C33" s="668"/>
      <c r="D33" s="668"/>
      <c r="E33" s="668"/>
      <c r="F33" s="668"/>
      <c r="G33" s="668"/>
      <c r="H33" s="668"/>
      <c r="I33" s="668"/>
      <c r="J33" s="668"/>
      <c r="K33" s="668"/>
    </row>
    <row r="34" spans="1:11">
      <c r="A34" s="668"/>
      <c r="B34" s="668"/>
      <c r="C34" s="668"/>
      <c r="D34" s="668"/>
      <c r="E34" s="668"/>
      <c r="F34" s="668"/>
      <c r="G34" s="668"/>
      <c r="H34" s="668"/>
      <c r="I34" s="668"/>
      <c r="J34" s="668"/>
      <c r="K34" s="668"/>
    </row>
    <row r="35" spans="1:11">
      <c r="A35" s="56" t="s">
        <v>123</v>
      </c>
    </row>
    <row r="36" spans="1:11">
      <c r="A36" s="56" t="s">
        <v>123</v>
      </c>
      <c r="G36" t="s">
        <v>1009</v>
      </c>
    </row>
    <row r="37" spans="1:11" ht="18">
      <c r="G37" s="65" t="s">
        <v>265</v>
      </c>
      <c r="H37" s="66"/>
    </row>
    <row r="38" spans="1:11" ht="18">
      <c r="A38" s="56" t="s">
        <v>123</v>
      </c>
      <c r="G38" s="65" t="s">
        <v>266</v>
      </c>
      <c r="H38" s="66">
        <f>H37*1.16</f>
        <v>0</v>
      </c>
    </row>
    <row r="39" spans="1:11" ht="18">
      <c r="B39" s="59" t="s">
        <v>274</v>
      </c>
      <c r="D39" s="84" t="str">
        <f>NumLetras(H39)</f>
        <v xml:space="preserve"> 00/100 M.N.</v>
      </c>
      <c r="F39" s="84"/>
      <c r="G39" s="65" t="s">
        <v>267</v>
      </c>
      <c r="H39" s="66">
        <f>H37+H38</f>
        <v>0</v>
      </c>
    </row>
    <row r="40" spans="1:11">
      <c r="A40" s="56" t="s">
        <v>123</v>
      </c>
    </row>
    <row r="41" spans="1:11">
      <c r="A41" s="56" t="s">
        <v>123</v>
      </c>
      <c r="B41" s="56" t="s">
        <v>123</v>
      </c>
      <c r="F41" s="60" t="s">
        <v>268</v>
      </c>
    </row>
    <row r="43" spans="1:11">
      <c r="E43" s="3"/>
      <c r="F43" s="61" t="s">
        <v>269</v>
      </c>
    </row>
    <row r="44" spans="1:11">
      <c r="E44" s="62"/>
      <c r="F44" s="62"/>
      <c r="G44" s="62"/>
    </row>
    <row r="45" spans="1:11">
      <c r="F45" s="60" t="s">
        <v>270</v>
      </c>
    </row>
    <row r="46" spans="1:11">
      <c r="F46" s="63" t="s">
        <v>271</v>
      </c>
    </row>
    <row r="47" spans="1:11">
      <c r="F47" s="63"/>
    </row>
    <row r="48" spans="1:11">
      <c r="F48" s="63"/>
    </row>
    <row r="49" spans="6:6">
      <c r="F49" s="63"/>
    </row>
    <row r="50" spans="6:6">
      <c r="F50" s="63"/>
    </row>
    <row r="51" spans="6:6">
      <c r="F51" s="63"/>
    </row>
    <row r="52" spans="6:6">
      <c r="F52" s="63"/>
    </row>
    <row r="53" spans="6:6">
      <c r="F53" s="63"/>
    </row>
    <row r="54" spans="6:6">
      <c r="F54" s="63"/>
    </row>
    <row r="55" spans="6:6">
      <c r="F55" s="63"/>
    </row>
    <row r="56" spans="6:6">
      <c r="F56" s="63"/>
    </row>
    <row r="57" spans="6:6">
      <c r="F57" s="63"/>
    </row>
    <row r="75" spans="8:8">
      <c r="H75" s="69"/>
    </row>
    <row r="104" spans="5:7">
      <c r="F104" s="60" t="s">
        <v>268</v>
      </c>
    </row>
    <row r="105" spans="5:7">
      <c r="F105" s="61" t="s">
        <v>269</v>
      </c>
    </row>
    <row r="106" spans="5:7">
      <c r="E106" s="62"/>
      <c r="F106" s="62"/>
      <c r="G106" s="62"/>
    </row>
    <row r="107" spans="5:7">
      <c r="E107" s="3"/>
      <c r="F107" s="60" t="s">
        <v>270</v>
      </c>
    </row>
    <row r="108" spans="5:7">
      <c r="F108" s="63" t="s">
        <v>271</v>
      </c>
    </row>
    <row r="109" spans="5:7">
      <c r="F109" s="63"/>
    </row>
    <row r="110" spans="5:7">
      <c r="F110" s="63"/>
    </row>
    <row r="111" spans="5:7">
      <c r="F111" s="63"/>
    </row>
    <row r="112" spans="5:7">
      <c r="F112" s="63"/>
    </row>
    <row r="113" spans="1:10">
      <c r="F113" s="63"/>
    </row>
    <row r="121" spans="1:10">
      <c r="D121" s="3" t="s">
        <v>311</v>
      </c>
    </row>
    <row r="123" spans="1:10" ht="15.6">
      <c r="G123" s="3" t="s">
        <v>320</v>
      </c>
      <c r="H123" s="663">
        <f ca="1">N2</f>
        <v>46287</v>
      </c>
      <c r="I123" s="663"/>
      <c r="J123" s="663"/>
    </row>
    <row r="124" spans="1:10">
      <c r="H124" t="s">
        <v>109</v>
      </c>
    </row>
    <row r="125" spans="1:10">
      <c r="H125" t="str">
        <f>H9</f>
        <v>FOL-06-09-23-02</v>
      </c>
    </row>
    <row r="126" spans="1:10">
      <c r="I126" s="35" t="str">
        <f>LOWER(F17)</f>
        <v>rayon 18, centro</v>
      </c>
    </row>
    <row r="128" spans="1:10">
      <c r="A128" s="3" t="s">
        <v>312</v>
      </c>
    </row>
    <row r="130" spans="1:11">
      <c r="A130" s="564" t="str">
        <f>"Se extiende la presente con la finalidad de hacer constar que REMOLQUES LEOLCA S.A. DE C.V. dan cumplimiento a la Norma Oficial Mexicana NOM-012-SCT-2-2014 para el semirremolque  que  se describe a favor de"&amp;" "&amp; PROPER(D16)&amp;" con domicilio en:"&amp;" "&amp;PROPER(F17)&amp;" "&amp;" C.P:"&amp;" "&amp;D19&amp;" con R.F.C.:"&amp;" "&amp;D20</f>
        <v>Se extiende la presente con la finalidad de hacer constar que REMOLQUES LEOLCA S.A. DE C.V. dan cumplimiento a la Norma Oficial Mexicana NOM-012-SCT-2-2014 para el semirremolque  que  se describe a favor de Heriberto Roldan Lozada con domicilio en: Rayon 18, Centro  C.P: 43730 con R.F.C.: ROLH810209855</v>
      </c>
      <c r="B130" s="671"/>
      <c r="C130" s="671"/>
      <c r="D130" s="671"/>
      <c r="E130" s="671"/>
      <c r="F130" s="671"/>
      <c r="G130" s="671"/>
      <c r="H130" s="671"/>
      <c r="I130" s="671"/>
      <c r="J130" s="671"/>
      <c r="K130" s="671"/>
    </row>
    <row r="131" spans="1:11">
      <c r="A131" s="671"/>
      <c r="B131" s="671"/>
      <c r="C131" s="671"/>
      <c r="D131" s="671"/>
      <c r="E131" s="671"/>
      <c r="F131" s="671"/>
      <c r="G131" s="671"/>
      <c r="H131" s="671"/>
      <c r="I131" s="671"/>
      <c r="J131" s="671"/>
      <c r="K131" s="671"/>
    </row>
    <row r="132" spans="1:11">
      <c r="A132" s="671"/>
      <c r="B132" s="671"/>
      <c r="C132" s="671"/>
      <c r="D132" s="671"/>
      <c r="E132" s="671"/>
      <c r="F132" s="671"/>
      <c r="G132" s="671"/>
      <c r="H132" s="671"/>
      <c r="I132" s="671"/>
      <c r="J132" s="671"/>
      <c r="K132" s="671"/>
    </row>
    <row r="133" spans="1:11">
      <c r="A133" s="671"/>
      <c r="B133" s="671"/>
      <c r="C133" s="671"/>
      <c r="D133" s="671"/>
      <c r="E133" s="671"/>
      <c r="F133" s="671"/>
      <c r="G133" s="671"/>
      <c r="H133" s="671"/>
      <c r="I133" s="671"/>
      <c r="J133" s="671"/>
      <c r="K133" s="671"/>
    </row>
    <row r="134" spans="1:11">
      <c r="A134" s="564" t="s">
        <v>996</v>
      </c>
      <c r="B134" s="564"/>
      <c r="C134" s="564"/>
      <c r="D134" s="564"/>
      <c r="E134" s="564"/>
      <c r="F134" s="564"/>
      <c r="G134" s="564"/>
      <c r="H134" s="564"/>
      <c r="I134" s="564"/>
      <c r="J134" s="564"/>
      <c r="K134" s="564"/>
    </row>
    <row r="135" spans="1:11">
      <c r="A135" s="564"/>
      <c r="B135" s="564"/>
      <c r="C135" s="564"/>
      <c r="D135" s="564"/>
      <c r="E135" s="564"/>
      <c r="F135" s="564"/>
      <c r="G135" s="564"/>
      <c r="H135" s="564"/>
      <c r="I135" s="564"/>
      <c r="J135" s="564"/>
      <c r="K135" s="564"/>
    </row>
    <row r="136" spans="1:11">
      <c r="A136" s="564"/>
      <c r="B136" s="564"/>
      <c r="C136" s="564"/>
      <c r="D136" s="564"/>
      <c r="E136" s="564"/>
      <c r="F136" s="564"/>
      <c r="G136" s="564"/>
      <c r="H136" s="564"/>
      <c r="I136" s="564"/>
      <c r="J136" s="564"/>
      <c r="K136" s="564"/>
    </row>
    <row r="137" spans="1:11">
      <c r="C137" s="73"/>
    </row>
    <row r="138" spans="1:11">
      <c r="A138" s="3" t="s">
        <v>313</v>
      </c>
      <c r="C138" s="3" t="str">
        <f>"SEMI REMOLQUE TIPO:"&amp;" "&amp;D22&amp;" "&amp;D23&amp;" "&amp;UPPER(MID(F29,12,12))</f>
        <v>SEMI REMOLQUE TIPO: PLATAFORMA 40 FT  NEUMATICA</v>
      </c>
    </row>
    <row r="139" spans="1:11">
      <c r="A139" s="3" t="s">
        <v>314</v>
      </c>
      <c r="C139" s="64" t="str">
        <f>Ajustes!B16</f>
        <v>"REMOLQUES LEOLCA"</v>
      </c>
    </row>
    <row r="140" spans="1:11">
      <c r="A140" s="3" t="s">
        <v>315</v>
      </c>
      <c r="C140" s="3">
        <f>D25</f>
        <v>2024</v>
      </c>
    </row>
    <row r="141" spans="1:11">
      <c r="A141" s="3" t="s">
        <v>316</v>
      </c>
      <c r="B141" s="64" t="str">
        <f>G28</f>
        <v>3A9HU38581RM299032</v>
      </c>
    </row>
    <row r="143" spans="1:11">
      <c r="A143" s="665" t="str">
        <f>Ajustes!I10</f>
        <v xml:space="preserve"> TRES   -A- NUEVE   -H-U- TRES   - OCHO   - CINCO   - OCHO   - UNO   -R-M- DOS   - NUEVE   - NUEVE   -CERO- TRES   - DOS   </v>
      </c>
      <c r="B143" s="665"/>
      <c r="C143" s="665"/>
      <c r="D143" s="665"/>
      <c r="E143" s="665"/>
      <c r="F143" s="665"/>
      <c r="G143" s="665"/>
      <c r="H143" s="665"/>
      <c r="I143" s="665"/>
      <c r="J143" s="665"/>
    </row>
    <row r="147" spans="1:11">
      <c r="G147" s="3"/>
    </row>
    <row r="148" spans="1:11">
      <c r="E148" s="35" t="s">
        <v>997</v>
      </c>
      <c r="F148" s="35">
        <f>INDEX(Tabla64[],MATCH('CARTA FACTURA'!H125,Tabla64[FOLIO],0),MATCH(Tabla64[[#Headers],[CANT/LLANTA]],Tabla64[#Headers],0))</f>
        <v>8</v>
      </c>
      <c r="G148" s="3"/>
    </row>
    <row r="149" spans="1:11">
      <c r="G149" s="3"/>
    </row>
    <row r="150" spans="1:11">
      <c r="G150" s="3"/>
      <c r="I150" s="3"/>
    </row>
    <row r="151" spans="1:11">
      <c r="I151" s="3"/>
    </row>
    <row r="152" spans="1:11">
      <c r="A152" s="564" t="s">
        <v>998</v>
      </c>
      <c r="B152" s="671"/>
      <c r="C152" s="671"/>
      <c r="D152" s="671"/>
      <c r="E152" s="671"/>
      <c r="F152" s="671"/>
      <c r="G152" s="671"/>
      <c r="H152" s="671"/>
      <c r="I152" s="671"/>
      <c r="J152" s="671"/>
      <c r="K152" s="671"/>
    </row>
    <row r="153" spans="1:11">
      <c r="A153" s="671"/>
      <c r="B153" s="671"/>
      <c r="C153" s="671"/>
      <c r="D153" s="671"/>
      <c r="E153" s="671"/>
      <c r="F153" s="671"/>
      <c r="G153" s="671"/>
      <c r="H153" s="671"/>
      <c r="I153" s="671"/>
      <c r="J153" s="671"/>
      <c r="K153" s="671"/>
    </row>
    <row r="154" spans="1:11">
      <c r="A154" s="671"/>
      <c r="B154" s="671"/>
      <c r="C154" s="671"/>
      <c r="D154" s="671"/>
      <c r="E154" s="671"/>
      <c r="F154" s="671"/>
      <c r="G154" s="671"/>
      <c r="H154" s="671"/>
      <c r="I154" s="671"/>
      <c r="J154" s="671"/>
      <c r="K154" s="671"/>
    </row>
    <row r="155" spans="1:11">
      <c r="A155" s="671"/>
      <c r="B155" s="671"/>
      <c r="C155" s="671"/>
      <c r="D155" s="671"/>
      <c r="E155" s="671"/>
      <c r="F155" s="671"/>
      <c r="G155" s="671"/>
      <c r="H155" s="671"/>
      <c r="I155" s="671"/>
      <c r="J155" s="671"/>
      <c r="K155" s="671"/>
    </row>
    <row r="156" spans="1:11" ht="15" customHeight="1">
      <c r="A156" s="564" t="s">
        <v>999</v>
      </c>
      <c r="B156" s="564"/>
      <c r="C156" s="564"/>
      <c r="D156" s="564"/>
      <c r="E156" s="564"/>
      <c r="F156" s="564"/>
      <c r="G156" s="564"/>
      <c r="H156" s="564"/>
      <c r="I156" s="564"/>
      <c r="J156" s="564"/>
      <c r="K156" s="564"/>
    </row>
    <row r="157" spans="1:11">
      <c r="A157" s="564"/>
      <c r="B157" s="564"/>
      <c r="C157" s="564"/>
      <c r="D157" s="564"/>
      <c r="E157" s="564"/>
      <c r="F157" s="564"/>
      <c r="G157" s="564"/>
      <c r="H157" s="564"/>
      <c r="I157" s="564"/>
      <c r="J157" s="564"/>
      <c r="K157" s="564"/>
    </row>
    <row r="158" spans="1:11">
      <c r="E158" s="3"/>
      <c r="F158" s="74" t="s">
        <v>317</v>
      </c>
    </row>
    <row r="159" spans="1:11">
      <c r="E159" s="3"/>
      <c r="F159" s="2"/>
    </row>
    <row r="160" spans="1:11">
      <c r="E160" s="68"/>
      <c r="F160" s="62"/>
      <c r="G160" s="62"/>
    </row>
    <row r="161" spans="5:6">
      <c r="E161" s="3"/>
      <c r="F161" s="2" t="s">
        <v>319</v>
      </c>
    </row>
    <row r="162" spans="5:6">
      <c r="E162" s="3"/>
      <c r="F162" s="2" t="s">
        <v>318</v>
      </c>
    </row>
    <row r="163" spans="5:6">
      <c r="E163" s="3"/>
      <c r="F163" s="2" t="s">
        <v>271</v>
      </c>
    </row>
    <row r="164" spans="5:6">
      <c r="E164" s="3"/>
      <c r="F164" s="2"/>
    </row>
    <row r="165" spans="5:6">
      <c r="E165" s="3"/>
      <c r="F165" s="2"/>
    </row>
    <row r="166" spans="5:6">
      <c r="E166" s="3"/>
      <c r="F166" s="2"/>
    </row>
    <row r="167" spans="5:6">
      <c r="E167" s="3"/>
      <c r="F167" s="2"/>
    </row>
    <row r="168" spans="5:6">
      <c r="E168" s="3"/>
      <c r="F168" s="2"/>
    </row>
    <row r="169" spans="5:6">
      <c r="E169" s="3"/>
      <c r="F169" s="2"/>
    </row>
    <row r="170" spans="5:6">
      <c r="E170" s="3"/>
      <c r="F170" s="2"/>
    </row>
    <row r="171" spans="5:6">
      <c r="E171" s="3"/>
      <c r="F171" s="2"/>
    </row>
    <row r="178" spans="1:11">
      <c r="A178" s="75"/>
      <c r="F178" s="2" t="str">
        <f>UPPER(E7)</f>
        <v>SAN MIGUEL AYOTLA, AHUAZOTEPEC, PUEBLA</v>
      </c>
      <c r="H178" s="661">
        <f ca="1">H7</f>
        <v>46287</v>
      </c>
      <c r="I178" s="661"/>
      <c r="J178" s="661"/>
      <c r="K178" s="661"/>
    </row>
    <row r="180" spans="1:11" ht="15.6">
      <c r="A180" s="76" t="s">
        <v>326</v>
      </c>
    </row>
    <row r="182" spans="1:11" ht="15.75" customHeight="1">
      <c r="A182" s="669" t="str">
        <f>"MANIFIESTO BAJO PROTESTA DE DECIR VERDAD QUE EL SEMIRREMOLQUE TIPO: "&amp;D22&amp;","&amp;" MARCA:"&amp;" "&amp;D24&amp;", MODELO:"&amp;" "&amp;D25&amp;","&amp;" CUYAS MEDIDAS SON"&amp;" "&amp;D23&amp;" DE LARGO, 2.60 METROS DE ANCHO, 1.30 METROS DE ALTO Y CUYO NÚMERO DE IDENTIFICACIÓN VEHICULAR (NIV) ES"&amp;"                 "&amp;G28</f>
        <v>MANIFIESTO BAJO PROTESTA DE DECIR VERDAD QUE EL SEMIRREMOLQUE TIPO: PLATAFORMA, MARCA: REMOLQUES LEOLCA, MODELO: 2024, CUYAS MEDIDAS SON 40 FT DE LARGO, 2.60 METROS DE ANCHO, 1.30 METROS DE ALTO Y CUYO NÚMERO DE IDENTIFICACIÓN VEHICULAR (NIV) ES                 3A9HU38581RM299032</v>
      </c>
      <c r="B182" s="670"/>
      <c r="C182" s="670"/>
      <c r="D182" s="670"/>
      <c r="E182" s="670"/>
      <c r="F182" s="670"/>
      <c r="G182" s="670"/>
      <c r="H182" s="670"/>
      <c r="I182" s="670"/>
      <c r="J182" s="670"/>
      <c r="K182" s="670"/>
    </row>
    <row r="183" spans="1:11" ht="15.75" customHeight="1">
      <c r="A183" s="670"/>
      <c r="B183" s="670"/>
      <c r="C183" s="670"/>
      <c r="D183" s="670"/>
      <c r="E183" s="670"/>
      <c r="F183" s="670"/>
      <c r="G183" s="670"/>
      <c r="H183" s="670"/>
      <c r="I183" s="670"/>
      <c r="J183" s="670"/>
      <c r="K183" s="670"/>
    </row>
    <row r="184" spans="1:11" ht="15.75" customHeight="1">
      <c r="A184" s="670"/>
      <c r="B184" s="670"/>
      <c r="C184" s="670"/>
      <c r="D184" s="670"/>
      <c r="E184" s="670"/>
      <c r="F184" s="670"/>
      <c r="G184" s="670"/>
      <c r="H184" s="670"/>
      <c r="I184" s="670"/>
      <c r="J184" s="670"/>
      <c r="K184" s="670"/>
    </row>
    <row r="185" spans="1:11" ht="15.75" customHeight="1">
      <c r="A185" s="670"/>
      <c r="B185" s="670"/>
      <c r="C185" s="670"/>
      <c r="D185" s="670"/>
      <c r="E185" s="670"/>
      <c r="F185" s="670"/>
      <c r="G185" s="670"/>
      <c r="H185" s="670"/>
      <c r="I185" s="670"/>
      <c r="J185" s="670"/>
      <c r="K185" s="670"/>
    </row>
    <row r="186" spans="1:11" ht="15.75" customHeight="1">
      <c r="A186" s="670"/>
      <c r="B186" s="670"/>
      <c r="C186" s="670"/>
      <c r="D186" s="670"/>
      <c r="E186" s="670"/>
      <c r="F186" s="670"/>
      <c r="G186" s="670"/>
      <c r="H186" s="670"/>
      <c r="I186" s="670"/>
      <c r="J186" s="670"/>
      <c r="K186" s="670"/>
    </row>
    <row r="188" spans="1:11">
      <c r="A188" s="664" t="str">
        <f>Ajustes!I10</f>
        <v xml:space="preserve"> TRES   -A- NUEVE   -H-U- TRES   - OCHO   - CINCO   - OCHO   - UNO   -R-M- DOS   - NUEVE   - NUEVE   -CERO- TRES   - DOS   </v>
      </c>
      <c r="B188" s="664"/>
      <c r="C188" s="664"/>
      <c r="D188" s="664"/>
      <c r="E188" s="664"/>
      <c r="F188" s="664"/>
      <c r="G188" s="664"/>
      <c r="H188" s="664"/>
      <c r="I188" s="664"/>
      <c r="J188" s="664"/>
    </row>
    <row r="189" spans="1:11" ht="15.6">
      <c r="A189" s="76"/>
    </row>
    <row r="191" spans="1:11" ht="15.75" customHeight="1">
      <c r="A191" s="659" t="s">
        <v>1000</v>
      </c>
      <c r="B191" s="660"/>
      <c r="C191" s="660"/>
      <c r="D191" s="660"/>
      <c r="E191" s="660"/>
      <c r="F191" s="660"/>
      <c r="G191" s="660"/>
      <c r="H191" s="660"/>
      <c r="I191" s="660"/>
      <c r="J191" s="660"/>
      <c r="K191" s="660"/>
    </row>
    <row r="192" spans="1:11" ht="15.75" customHeight="1">
      <c r="A192" s="660"/>
      <c r="B192" s="660"/>
      <c r="C192" s="660"/>
      <c r="D192" s="660"/>
      <c r="E192" s="660"/>
      <c r="F192" s="660"/>
      <c r="G192" s="660"/>
      <c r="H192" s="660"/>
      <c r="I192" s="660"/>
      <c r="J192" s="660"/>
      <c r="K192" s="660"/>
    </row>
    <row r="193" spans="1:11" ht="15.75" customHeight="1">
      <c r="A193" s="660"/>
      <c r="B193" s="660"/>
      <c r="C193" s="660"/>
      <c r="D193" s="660"/>
      <c r="E193" s="660"/>
      <c r="F193" s="660"/>
      <c r="G193" s="660"/>
      <c r="H193" s="660"/>
      <c r="I193" s="660"/>
      <c r="J193" s="660"/>
      <c r="K193" s="660"/>
    </row>
    <row r="194" spans="1:11" ht="15.75" customHeight="1">
      <c r="A194" s="660"/>
      <c r="B194" s="660"/>
      <c r="C194" s="660"/>
      <c r="D194" s="660"/>
      <c r="E194" s="660"/>
      <c r="F194" s="660"/>
      <c r="G194" s="660"/>
      <c r="H194" s="660"/>
      <c r="I194" s="660"/>
      <c r="J194" s="660"/>
      <c r="K194" s="660"/>
    </row>
    <row r="195" spans="1:11">
      <c r="A195" s="659" t="s">
        <v>1001</v>
      </c>
      <c r="B195" s="660"/>
      <c r="C195" s="660"/>
      <c r="D195" s="660"/>
      <c r="E195" s="660"/>
      <c r="F195" s="660"/>
      <c r="G195" s="660"/>
      <c r="H195" s="660"/>
      <c r="I195" s="660"/>
      <c r="J195" s="660"/>
      <c r="K195" s="660"/>
    </row>
    <row r="196" spans="1:11">
      <c r="A196" s="660"/>
      <c r="B196" s="660"/>
      <c r="C196" s="660"/>
      <c r="D196" s="660"/>
      <c r="E196" s="660"/>
      <c r="F196" s="660"/>
      <c r="G196" s="660"/>
      <c r="H196" s="660"/>
      <c r="I196" s="660"/>
      <c r="J196" s="660"/>
      <c r="K196" s="660"/>
    </row>
    <row r="197" spans="1:11" ht="15.75" customHeight="1">
      <c r="A197" s="660"/>
      <c r="B197" s="660"/>
      <c r="C197" s="660"/>
      <c r="D197" s="660"/>
      <c r="E197" s="660"/>
      <c r="F197" s="660"/>
      <c r="G197" s="660"/>
      <c r="H197" s="660"/>
      <c r="I197" s="660"/>
      <c r="J197" s="660"/>
      <c r="K197" s="660"/>
    </row>
    <row r="198" spans="1:11" ht="15.75" customHeight="1">
      <c r="A198" s="660"/>
      <c r="B198" s="660"/>
      <c r="C198" s="660"/>
      <c r="D198" s="660"/>
      <c r="E198" s="660"/>
      <c r="F198" s="660"/>
      <c r="G198" s="660"/>
      <c r="H198" s="660"/>
      <c r="I198" s="660"/>
      <c r="J198" s="660"/>
      <c r="K198" s="660"/>
    </row>
    <row r="199" spans="1:11" ht="15.6">
      <c r="A199" s="76"/>
    </row>
    <row r="201" spans="1:11" ht="15.6">
      <c r="A201" s="77" t="s">
        <v>327</v>
      </c>
    </row>
    <row r="211" spans="5:7" ht="15.6">
      <c r="F211" s="81" t="s">
        <v>328</v>
      </c>
    </row>
    <row r="213" spans="5:7">
      <c r="E213" s="62"/>
      <c r="F213" s="80"/>
      <c r="G213" s="62"/>
    </row>
    <row r="214" spans="5:7">
      <c r="F214" s="78" t="s">
        <v>318</v>
      </c>
    </row>
    <row r="215" spans="5:7">
      <c r="F215" s="78" t="s">
        <v>319</v>
      </c>
    </row>
    <row r="216" spans="5:7">
      <c r="F216" s="79" t="s">
        <v>271</v>
      </c>
    </row>
  </sheetData>
  <mergeCells count="14">
    <mergeCell ref="A191:K194"/>
    <mergeCell ref="A195:K198"/>
    <mergeCell ref="H178:K178"/>
    <mergeCell ref="H7:J7"/>
    <mergeCell ref="H123:J123"/>
    <mergeCell ref="A188:J188"/>
    <mergeCell ref="A143:J143"/>
    <mergeCell ref="D26:E26"/>
    <mergeCell ref="A33:K34"/>
    <mergeCell ref="A182:K186"/>
    <mergeCell ref="A130:K133"/>
    <mergeCell ref="A134:K136"/>
    <mergeCell ref="A152:K155"/>
    <mergeCell ref="A156:K157"/>
  </mergeCells>
  <dataValidations count="2">
    <dataValidation allowBlank="1" showInputMessage="1" showErrorMessage="1" prompt="PEGAR O ESCRIBIR EL FOLIO, ESTAN EN LA HOJA COLOR ROJA &quot;FORM PLANAS&quot; Y ASI SE LLENA TODA LA CARTA FACTURA" sqref="H9" xr:uid="{91982ED4-0646-4057-B4B5-91698445A1BC}"/>
    <dataValidation allowBlank="1" showInputMessage="1" showErrorMessage="1" prompt="INGRESAR POR UNICA VEZ EL NUMERO DE (NIV) EN ESTA CELDA, PARA QUE SE LLENE EN AUTOMATICO EN TODO EL DOCUMENTO" sqref="G28" xr:uid="{C2346E3D-C6D3-4079-8BE7-323851F46F3A}"/>
  </dataValidations>
  <pageMargins left="0.25" right="0.25" top="0.75" bottom="0.44062499999999999" header="0.3" footer="0.3"/>
  <pageSetup scale="93" fitToHeight="0" orientation="portrait" r:id="rId1"/>
  <drawing r:id="rId2"/>
  <legacyDrawing r:id="rId3"/>
  <controls>
    <mc:AlternateContent xmlns:mc="http://schemas.openxmlformats.org/markup-compatibility/2006">
      <mc:Choice Requires="x14">
        <control shapeId="94210" r:id="rId4" name="BT_EN_CARTA_FACTURA">
          <controlPr defaultSize="0" autoLine="0" r:id="rId5">
            <anchor moveWithCells="1">
              <from>
                <xdr:col>15</xdr:col>
                <xdr:colOff>0</xdr:colOff>
                <xdr:row>0</xdr:row>
                <xdr:rowOff>38100</xdr:rowOff>
              </from>
              <to>
                <xdr:col>17</xdr:col>
                <xdr:colOff>312420</xdr:colOff>
                <xdr:row>2</xdr:row>
                <xdr:rowOff>91440</xdr:rowOff>
              </to>
            </anchor>
          </controlPr>
        </control>
      </mc:Choice>
      <mc:Fallback>
        <control shapeId="94210" r:id="rId4" name="BT_EN_CARTA_FACTURA"/>
      </mc:Fallback>
    </mc:AlternateContent>
    <mc:AlternateContent xmlns:mc="http://schemas.openxmlformats.org/markup-compatibility/2006">
      <mc:Choice Requires="x14">
        <control shapeId="94212" r:id="rId6" name="bt_GUARD_CARTAFACT_PLANA">
          <controlPr defaultSize="0" autoLine="0" r:id="rId7">
            <anchor moveWithCells="1">
              <from>
                <xdr:col>15</xdr:col>
                <xdr:colOff>213360</xdr:colOff>
                <xdr:row>2</xdr:row>
                <xdr:rowOff>121920</xdr:rowOff>
              </from>
              <to>
                <xdr:col>17</xdr:col>
                <xdr:colOff>144780</xdr:colOff>
                <xdr:row>4</xdr:row>
                <xdr:rowOff>106680</xdr:rowOff>
              </to>
            </anchor>
          </controlPr>
        </control>
      </mc:Choice>
      <mc:Fallback>
        <control shapeId="94212" r:id="rId6" name="bt_GUARD_CARTAFACT_PLANA"/>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352C6-F119-472E-BD03-18F97D28C578}">
  <sheetPr codeName="Hoja7">
    <tabColor rgb="FFFF0000"/>
  </sheetPr>
  <dimension ref="A1:Y798"/>
  <sheetViews>
    <sheetView workbookViewId="0">
      <selection activeCell="B8" sqref="B8"/>
    </sheetView>
  </sheetViews>
  <sheetFormatPr baseColWidth="10" defaultRowHeight="14.4"/>
  <cols>
    <col min="2" max="2" width="15.109375" bestFit="1" customWidth="1"/>
    <col min="3" max="3" width="33.44140625" bestFit="1" customWidth="1"/>
    <col min="4" max="4" width="13.109375" customWidth="1"/>
    <col min="5" max="5" width="18.33203125" customWidth="1"/>
    <col min="7" max="7" width="12.33203125" customWidth="1"/>
    <col min="8" max="8" width="18" customWidth="1"/>
    <col min="9" max="9" width="14.5546875" customWidth="1"/>
    <col min="10" max="10" width="15.88671875" customWidth="1"/>
    <col min="11" max="12" width="14.33203125" customWidth="1"/>
    <col min="13" max="14" width="17.33203125" customWidth="1"/>
    <col min="15" max="15" width="13.109375" customWidth="1"/>
    <col min="17" max="18" width="12" customWidth="1"/>
    <col min="19" max="20" width="15.5546875" customWidth="1"/>
    <col min="25" max="25" width="100.44140625" customWidth="1"/>
  </cols>
  <sheetData>
    <row r="1" spans="1:25">
      <c r="A1" t="s">
        <v>559</v>
      </c>
    </row>
    <row r="7" spans="1:25">
      <c r="B7" s="39" t="s">
        <v>109</v>
      </c>
      <c r="C7" s="39" t="s">
        <v>1</v>
      </c>
      <c r="D7" s="39" t="s">
        <v>560</v>
      </c>
      <c r="E7" s="39" t="s">
        <v>561</v>
      </c>
      <c r="F7" s="39" t="s">
        <v>41</v>
      </c>
      <c r="G7" s="39" t="s">
        <v>153</v>
      </c>
      <c r="H7" s="39" t="s">
        <v>562</v>
      </c>
      <c r="I7" s="39" t="s">
        <v>363</v>
      </c>
      <c r="J7" s="39" t="s">
        <v>367</v>
      </c>
      <c r="K7" s="39" t="s">
        <v>563</v>
      </c>
      <c r="L7" s="39" t="s">
        <v>71</v>
      </c>
      <c r="M7" s="39" t="s">
        <v>564</v>
      </c>
      <c r="N7" s="39" t="s">
        <v>194</v>
      </c>
      <c r="O7" s="39" t="s">
        <v>452</v>
      </c>
      <c r="P7" s="39" t="s">
        <v>379</v>
      </c>
      <c r="Q7" s="39" t="s">
        <v>565</v>
      </c>
      <c r="R7" s="39" t="s">
        <v>340</v>
      </c>
      <c r="S7" s="39" t="s">
        <v>566</v>
      </c>
      <c r="T7" s="39" t="s">
        <v>374</v>
      </c>
      <c r="U7" s="39" t="s">
        <v>381</v>
      </c>
      <c r="V7" s="39" t="s">
        <v>370</v>
      </c>
      <c r="W7" s="39" t="s">
        <v>154</v>
      </c>
      <c r="X7" s="39" t="s">
        <v>371</v>
      </c>
      <c r="Y7" s="39" t="s">
        <v>494</v>
      </c>
    </row>
    <row r="8" spans="1:25">
      <c r="B8" s="691" t="s">
        <v>2646</v>
      </c>
      <c r="C8" s="691" t="s" vm="39">
        <v>701</v>
      </c>
      <c r="D8" s="691" t="s">
        <v>100</v>
      </c>
      <c r="E8" s="691" t="s">
        <v>485</v>
      </c>
      <c r="F8" s="691" t="s">
        <v>461</v>
      </c>
      <c r="G8" s="691" t="s">
        <v>473</v>
      </c>
      <c r="H8" s="691">
        <v>1</v>
      </c>
      <c r="I8" s="691" t="s">
        <v>460</v>
      </c>
      <c r="J8" s="691" t="s">
        <v>463</v>
      </c>
      <c r="K8" s="691">
        <v>2</v>
      </c>
      <c r="L8" s="691" t="s">
        <v>486</v>
      </c>
      <c r="M8" s="691" t="s">
        <v>556</v>
      </c>
      <c r="N8" s="691" t="s">
        <v>450</v>
      </c>
      <c r="O8" s="691" t="s">
        <v>453</v>
      </c>
      <c r="P8" s="691" t="s">
        <v>157</v>
      </c>
      <c r="Q8" s="691">
        <v>8</v>
      </c>
      <c r="R8" s="691" t="s">
        <v>419</v>
      </c>
      <c r="S8" s="691">
        <v>8</v>
      </c>
      <c r="T8" s="691" t="s">
        <v>402</v>
      </c>
      <c r="U8" s="691" t="s">
        <v>492</v>
      </c>
      <c r="V8" s="691" t="s">
        <v>1181</v>
      </c>
      <c r="W8" s="691" t="s">
        <v>399</v>
      </c>
      <c r="X8" s="691" t="s">
        <v>2129</v>
      </c>
      <c r="Y8" s="691" t="s">
        <v>2651</v>
      </c>
    </row>
    <row r="9" spans="1:25">
      <c r="B9" s="691" t="s">
        <v>2646</v>
      </c>
      <c r="C9" s="691" t="s" vm="39">
        <v>701</v>
      </c>
      <c r="D9" s="691" t="s">
        <v>100</v>
      </c>
      <c r="E9" s="691" t="s">
        <v>485</v>
      </c>
      <c r="F9" s="691" t="s">
        <v>461</v>
      </c>
      <c r="G9" s="691" t="s">
        <v>473</v>
      </c>
      <c r="H9" s="691">
        <v>1</v>
      </c>
      <c r="I9" s="691" t="s">
        <v>460</v>
      </c>
      <c r="J9" s="691" t="s">
        <v>463</v>
      </c>
      <c r="K9" s="691">
        <v>2</v>
      </c>
      <c r="L9" s="691" t="s">
        <v>486</v>
      </c>
      <c r="M9" s="691" t="s">
        <v>556</v>
      </c>
      <c r="N9" s="691" t="s">
        <v>450</v>
      </c>
      <c r="O9" s="691" t="s">
        <v>453</v>
      </c>
      <c r="P9" s="691" t="s">
        <v>157</v>
      </c>
      <c r="Q9" s="691">
        <v>8</v>
      </c>
      <c r="R9" s="691" t="s">
        <v>419</v>
      </c>
      <c r="S9" s="691">
        <v>8</v>
      </c>
      <c r="T9" s="691" t="s">
        <v>1516</v>
      </c>
      <c r="U9" s="691" t="s">
        <v>492</v>
      </c>
      <c r="V9" s="691" t="s">
        <v>1181</v>
      </c>
      <c r="W9" s="691" t="s">
        <v>399</v>
      </c>
      <c r="X9" s="691" t="s">
        <v>2129</v>
      </c>
      <c r="Y9" s="691" t="s">
        <v>2647</v>
      </c>
    </row>
    <row r="10" spans="1:25">
      <c r="B10" t="s">
        <v>2635</v>
      </c>
      <c r="C10" t="s" vm="39">
        <v>701</v>
      </c>
      <c r="D10" t="s">
        <v>100</v>
      </c>
      <c r="E10" t="s">
        <v>485</v>
      </c>
      <c r="F10" t="s">
        <v>461</v>
      </c>
      <c r="G10" t="s">
        <v>473</v>
      </c>
      <c r="H10">
        <v>1</v>
      </c>
      <c r="I10" t="s">
        <v>460</v>
      </c>
      <c r="J10" t="s">
        <v>463</v>
      </c>
      <c r="K10">
        <v>2</v>
      </c>
      <c r="L10" t="s">
        <v>486</v>
      </c>
      <c r="M10" t="s">
        <v>1022</v>
      </c>
      <c r="N10" t="s">
        <v>450</v>
      </c>
      <c r="O10" t="s">
        <v>453</v>
      </c>
      <c r="P10" t="s">
        <v>421</v>
      </c>
      <c r="Q10">
        <v>0</v>
      </c>
      <c r="R10" t="s">
        <v>123</v>
      </c>
      <c r="S10">
        <v>0</v>
      </c>
      <c r="T10" t="s">
        <v>1516</v>
      </c>
      <c r="U10" t="s">
        <v>492</v>
      </c>
      <c r="V10" t="s">
        <v>1181</v>
      </c>
      <c r="W10" t="s">
        <v>399</v>
      </c>
      <c r="X10" t="s">
        <v>2129</v>
      </c>
      <c r="Y10" t="s">
        <v>2644</v>
      </c>
    </row>
    <row r="11" spans="1:25">
      <c r="B11" t="s">
        <v>2635</v>
      </c>
      <c r="C11" t="s" vm="39">
        <v>701</v>
      </c>
      <c r="D11" t="s">
        <v>100</v>
      </c>
      <c r="E11" t="s">
        <v>485</v>
      </c>
      <c r="F11" t="s">
        <v>461</v>
      </c>
      <c r="G11" t="s">
        <v>473</v>
      </c>
      <c r="H11">
        <v>1</v>
      </c>
      <c r="I11" t="s">
        <v>456</v>
      </c>
      <c r="J11" t="s">
        <v>463</v>
      </c>
      <c r="K11">
        <v>2</v>
      </c>
      <c r="L11" t="s">
        <v>486</v>
      </c>
      <c r="M11" t="s">
        <v>556</v>
      </c>
      <c r="N11" t="s">
        <v>450</v>
      </c>
      <c r="O11" t="s">
        <v>453</v>
      </c>
      <c r="P11" t="s">
        <v>157</v>
      </c>
      <c r="Q11">
        <v>4</v>
      </c>
      <c r="R11" t="s">
        <v>123</v>
      </c>
      <c r="S11">
        <v>0</v>
      </c>
      <c r="T11" t="s">
        <v>1516</v>
      </c>
      <c r="U11" t="s">
        <v>492</v>
      </c>
      <c r="V11" t="s">
        <v>1181</v>
      </c>
      <c r="W11" t="s">
        <v>399</v>
      </c>
      <c r="X11" t="s">
        <v>2129</v>
      </c>
      <c r="Y11" t="s">
        <v>2643</v>
      </c>
    </row>
    <row r="12" spans="1:25">
      <c r="B12" t="s">
        <v>2635</v>
      </c>
      <c r="C12" t="s" vm="39">
        <v>701</v>
      </c>
      <c r="D12" t="s">
        <v>100</v>
      </c>
      <c r="E12" t="s">
        <v>485</v>
      </c>
      <c r="F12" t="s">
        <v>461</v>
      </c>
      <c r="G12" t="s">
        <v>473</v>
      </c>
      <c r="H12">
        <v>1</v>
      </c>
      <c r="I12" t="s">
        <v>460</v>
      </c>
      <c r="J12" t="s">
        <v>463</v>
      </c>
      <c r="K12">
        <v>2</v>
      </c>
      <c r="L12" t="s">
        <v>486</v>
      </c>
      <c r="M12" t="s">
        <v>556</v>
      </c>
      <c r="N12" t="s">
        <v>450</v>
      </c>
      <c r="O12" t="s">
        <v>453</v>
      </c>
      <c r="P12" t="s">
        <v>157</v>
      </c>
      <c r="Q12">
        <v>8</v>
      </c>
      <c r="R12" t="s">
        <v>419</v>
      </c>
      <c r="S12">
        <v>8</v>
      </c>
      <c r="T12" t="s">
        <v>402</v>
      </c>
      <c r="U12" t="s">
        <v>492</v>
      </c>
      <c r="V12" t="s">
        <v>1181</v>
      </c>
      <c r="W12" t="s">
        <v>399</v>
      </c>
      <c r="X12" t="s">
        <v>2129</v>
      </c>
      <c r="Y12" t="s">
        <v>2640</v>
      </c>
    </row>
    <row r="13" spans="1:25">
      <c r="B13" t="s">
        <v>2635</v>
      </c>
      <c r="C13" t="s" vm="39">
        <v>701</v>
      </c>
      <c r="D13" t="s">
        <v>100</v>
      </c>
      <c r="E13" t="s">
        <v>485</v>
      </c>
      <c r="F13" t="s">
        <v>461</v>
      </c>
      <c r="G13" t="s">
        <v>473</v>
      </c>
      <c r="H13">
        <v>1</v>
      </c>
      <c r="I13" t="s">
        <v>456</v>
      </c>
      <c r="J13" t="s">
        <v>463</v>
      </c>
      <c r="K13">
        <v>2</v>
      </c>
      <c r="L13" t="s">
        <v>486</v>
      </c>
      <c r="M13" t="s">
        <v>556</v>
      </c>
      <c r="N13" t="s">
        <v>450</v>
      </c>
      <c r="O13" t="s">
        <v>453</v>
      </c>
      <c r="P13" t="s">
        <v>421</v>
      </c>
      <c r="Q13">
        <v>0</v>
      </c>
      <c r="R13" t="s">
        <v>159</v>
      </c>
      <c r="S13">
        <v>0</v>
      </c>
      <c r="T13" t="s">
        <v>1516</v>
      </c>
      <c r="U13" t="s">
        <v>492</v>
      </c>
      <c r="V13" t="s">
        <v>1181</v>
      </c>
      <c r="W13" t="s">
        <v>477</v>
      </c>
      <c r="X13" t="s">
        <v>2129</v>
      </c>
      <c r="Y13" t="s">
        <v>2636</v>
      </c>
    </row>
    <row r="14" spans="1:25">
      <c r="B14" t="s">
        <v>2629</v>
      </c>
      <c r="C14" t="s" vm="39">
        <v>701</v>
      </c>
      <c r="D14" t="s">
        <v>100</v>
      </c>
      <c r="E14" t="s">
        <v>485</v>
      </c>
      <c r="F14" t="s">
        <v>461</v>
      </c>
      <c r="G14" t="s">
        <v>473</v>
      </c>
      <c r="H14">
        <v>1</v>
      </c>
      <c r="I14" t="s">
        <v>460</v>
      </c>
      <c r="J14" t="s">
        <v>462</v>
      </c>
      <c r="K14">
        <v>2</v>
      </c>
      <c r="L14" t="s">
        <v>486</v>
      </c>
      <c r="M14" t="s">
        <v>1762</v>
      </c>
      <c r="N14" t="s">
        <v>450</v>
      </c>
      <c r="O14" t="s">
        <v>453</v>
      </c>
      <c r="P14" t="s">
        <v>421</v>
      </c>
      <c r="Q14">
        <v>0</v>
      </c>
      <c r="R14" t="s">
        <v>159</v>
      </c>
      <c r="S14">
        <v>0</v>
      </c>
      <c r="T14" t="s">
        <v>1485</v>
      </c>
      <c r="U14" t="s">
        <v>492</v>
      </c>
      <c r="V14" t="s">
        <v>1181</v>
      </c>
      <c r="W14" t="s">
        <v>399</v>
      </c>
      <c r="X14" t="s">
        <v>2129</v>
      </c>
      <c r="Y14" t="s">
        <v>2632</v>
      </c>
    </row>
    <row r="15" spans="1:25">
      <c r="B15" t="s">
        <v>2629</v>
      </c>
      <c r="C15" t="s" vm="39">
        <v>701</v>
      </c>
      <c r="D15" t="s">
        <v>333</v>
      </c>
      <c r="E15" t="s">
        <v>485</v>
      </c>
      <c r="F15" t="s">
        <v>461</v>
      </c>
      <c r="G15" t="s">
        <v>473</v>
      </c>
      <c r="H15">
        <v>2</v>
      </c>
      <c r="I15" t="s">
        <v>456</v>
      </c>
      <c r="J15" t="s">
        <v>463</v>
      </c>
      <c r="K15">
        <v>2</v>
      </c>
      <c r="L15" t="s">
        <v>486</v>
      </c>
      <c r="M15" t="s">
        <v>556</v>
      </c>
      <c r="N15" t="s">
        <v>450</v>
      </c>
      <c r="O15" t="s">
        <v>453</v>
      </c>
      <c r="P15" t="s">
        <v>157</v>
      </c>
      <c r="Q15">
        <v>12</v>
      </c>
      <c r="R15" t="s">
        <v>419</v>
      </c>
      <c r="S15">
        <v>12</v>
      </c>
      <c r="T15" t="s">
        <v>1516</v>
      </c>
      <c r="U15" t="s">
        <v>492</v>
      </c>
      <c r="V15" t="s">
        <v>1181</v>
      </c>
      <c r="W15" t="s">
        <v>399</v>
      </c>
      <c r="X15" t="s">
        <v>401</v>
      </c>
      <c r="Y15" t="s">
        <v>2631</v>
      </c>
    </row>
    <row r="16" spans="1:25">
      <c r="B16" t="s">
        <v>2629</v>
      </c>
      <c r="C16" t="s" vm="39">
        <v>701</v>
      </c>
      <c r="D16" t="s">
        <v>333</v>
      </c>
      <c r="E16" t="s">
        <v>485</v>
      </c>
      <c r="F16" t="s">
        <v>461</v>
      </c>
      <c r="G16" t="s">
        <v>473</v>
      </c>
      <c r="H16">
        <v>2</v>
      </c>
      <c r="I16" t="s">
        <v>456</v>
      </c>
      <c r="J16" t="s">
        <v>463</v>
      </c>
      <c r="K16">
        <v>2</v>
      </c>
      <c r="L16" t="s">
        <v>486</v>
      </c>
      <c r="M16" t="s">
        <v>556</v>
      </c>
      <c r="N16" t="s">
        <v>450</v>
      </c>
      <c r="O16" t="s">
        <v>453</v>
      </c>
      <c r="P16" t="s">
        <v>157</v>
      </c>
      <c r="Q16">
        <v>12</v>
      </c>
      <c r="R16" t="s">
        <v>419</v>
      </c>
      <c r="S16">
        <v>12</v>
      </c>
      <c r="T16" t="s">
        <v>1516</v>
      </c>
      <c r="U16" t="s">
        <v>492</v>
      </c>
      <c r="V16" t="s">
        <v>1181</v>
      </c>
      <c r="W16" t="s">
        <v>399</v>
      </c>
      <c r="X16" t="s">
        <v>401</v>
      </c>
      <c r="Y16" t="s">
        <v>2631</v>
      </c>
    </row>
    <row r="17" spans="2:25">
      <c r="B17" t="s">
        <v>2629</v>
      </c>
      <c r="C17" t="s" vm="39">
        <v>701</v>
      </c>
      <c r="D17" t="s">
        <v>100</v>
      </c>
      <c r="E17" t="s">
        <v>485</v>
      </c>
      <c r="F17" t="s">
        <v>461</v>
      </c>
      <c r="G17" t="s">
        <v>473</v>
      </c>
      <c r="H17">
        <v>1</v>
      </c>
      <c r="I17" t="s">
        <v>458</v>
      </c>
      <c r="J17" t="s">
        <v>462</v>
      </c>
      <c r="K17">
        <v>2</v>
      </c>
      <c r="L17" t="s">
        <v>486</v>
      </c>
      <c r="M17" t="s">
        <v>556</v>
      </c>
      <c r="N17" t="s">
        <v>450</v>
      </c>
      <c r="O17" t="s">
        <v>453</v>
      </c>
      <c r="P17" t="s">
        <v>157</v>
      </c>
      <c r="Q17">
        <v>8</v>
      </c>
      <c r="R17" t="s">
        <v>419</v>
      </c>
      <c r="S17">
        <v>8</v>
      </c>
      <c r="T17" t="s">
        <v>1516</v>
      </c>
      <c r="U17" t="s">
        <v>492</v>
      </c>
      <c r="V17" t="s">
        <v>1181</v>
      </c>
      <c r="W17" t="s">
        <v>399</v>
      </c>
      <c r="X17" t="s">
        <v>2129</v>
      </c>
      <c r="Y17" t="s">
        <v>2630</v>
      </c>
    </row>
    <row r="18" spans="2:25">
      <c r="B18" t="s">
        <v>2629</v>
      </c>
      <c r="C18" t="s" vm="39">
        <v>701</v>
      </c>
      <c r="D18" t="s">
        <v>100</v>
      </c>
      <c r="E18" t="s">
        <v>485</v>
      </c>
      <c r="F18" t="s">
        <v>461</v>
      </c>
      <c r="G18" t="s">
        <v>473</v>
      </c>
      <c r="H18">
        <v>1</v>
      </c>
      <c r="I18" t="s">
        <v>456</v>
      </c>
      <c r="J18" t="s">
        <v>463</v>
      </c>
      <c r="K18">
        <v>2</v>
      </c>
      <c r="L18" t="s">
        <v>486</v>
      </c>
      <c r="M18" t="s">
        <v>556</v>
      </c>
      <c r="N18" t="s">
        <v>450</v>
      </c>
      <c r="O18" t="s">
        <v>453</v>
      </c>
      <c r="P18" t="s">
        <v>421</v>
      </c>
      <c r="Q18">
        <v>0</v>
      </c>
      <c r="R18" t="s">
        <v>159</v>
      </c>
      <c r="S18">
        <v>0</v>
      </c>
      <c r="T18" t="s">
        <v>1516</v>
      </c>
      <c r="U18" t="s">
        <v>492</v>
      </c>
      <c r="V18" t="s">
        <v>1181</v>
      </c>
      <c r="W18" t="s">
        <v>399</v>
      </c>
      <c r="X18" t="s">
        <v>2129</v>
      </c>
      <c r="Y18" t="s">
        <v>2339</v>
      </c>
    </row>
    <row r="19" spans="2:25">
      <c r="B19" t="s">
        <v>2629</v>
      </c>
      <c r="C19" t="s" vm="39">
        <v>701</v>
      </c>
      <c r="D19" t="s">
        <v>100</v>
      </c>
      <c r="E19" t="s">
        <v>485</v>
      </c>
      <c r="F19" t="s">
        <v>461</v>
      </c>
      <c r="G19" t="s">
        <v>473</v>
      </c>
      <c r="H19">
        <v>1</v>
      </c>
      <c r="I19" t="s">
        <v>456</v>
      </c>
      <c r="J19" t="s">
        <v>463</v>
      </c>
      <c r="K19">
        <v>2</v>
      </c>
      <c r="L19" t="s">
        <v>486</v>
      </c>
      <c r="M19" t="s">
        <v>556</v>
      </c>
      <c r="N19" t="s">
        <v>450</v>
      </c>
      <c r="O19" t="s">
        <v>453</v>
      </c>
      <c r="P19" t="s">
        <v>157</v>
      </c>
      <c r="Q19">
        <v>8</v>
      </c>
      <c r="R19" t="s">
        <v>419</v>
      </c>
      <c r="S19">
        <v>8</v>
      </c>
      <c r="T19" t="s">
        <v>1516</v>
      </c>
      <c r="U19" t="s">
        <v>492</v>
      </c>
      <c r="V19" t="s">
        <v>1181</v>
      </c>
      <c r="W19" t="s">
        <v>399</v>
      </c>
      <c r="X19" t="s">
        <v>2129</v>
      </c>
      <c r="Y19" t="s">
        <v>2338</v>
      </c>
    </row>
    <row r="20" spans="2:25">
      <c r="B20" t="s">
        <v>2625</v>
      </c>
      <c r="C20" t="s" vm="39">
        <v>701</v>
      </c>
      <c r="D20" t="s">
        <v>331</v>
      </c>
      <c r="E20" t="s">
        <v>485</v>
      </c>
      <c r="F20" t="s">
        <v>461</v>
      </c>
      <c r="G20" t="s">
        <v>473</v>
      </c>
      <c r="H20">
        <v>2</v>
      </c>
      <c r="I20" t="s">
        <v>456</v>
      </c>
      <c r="J20" t="s">
        <v>463</v>
      </c>
      <c r="K20">
        <v>2</v>
      </c>
      <c r="L20" t="s">
        <v>486</v>
      </c>
      <c r="M20" t="s">
        <v>1022</v>
      </c>
      <c r="N20" t="s">
        <v>450</v>
      </c>
      <c r="O20" t="s">
        <v>453</v>
      </c>
      <c r="P20" t="s">
        <v>157</v>
      </c>
      <c r="Q20">
        <v>12</v>
      </c>
      <c r="R20" t="s">
        <v>419</v>
      </c>
      <c r="S20">
        <v>12</v>
      </c>
      <c r="T20" t="s">
        <v>1516</v>
      </c>
      <c r="U20" t="s">
        <v>492</v>
      </c>
      <c r="V20" t="s">
        <v>1181</v>
      </c>
      <c r="W20" t="s">
        <v>399</v>
      </c>
      <c r="X20" t="s">
        <v>401</v>
      </c>
      <c r="Y20" t="s">
        <v>2628</v>
      </c>
    </row>
    <row r="21" spans="2:25">
      <c r="B21" t="s">
        <v>2625</v>
      </c>
      <c r="C21" t="s" vm="39">
        <v>701</v>
      </c>
      <c r="D21" t="s">
        <v>100</v>
      </c>
      <c r="E21" t="s">
        <v>485</v>
      </c>
      <c r="F21" t="s">
        <v>461</v>
      </c>
      <c r="G21" t="s">
        <v>473</v>
      </c>
      <c r="H21">
        <v>1</v>
      </c>
      <c r="I21" t="s">
        <v>456</v>
      </c>
      <c r="J21" t="s">
        <v>463</v>
      </c>
      <c r="K21">
        <v>2</v>
      </c>
      <c r="L21" t="s">
        <v>486</v>
      </c>
      <c r="M21" t="s">
        <v>1022</v>
      </c>
      <c r="N21" t="s">
        <v>450</v>
      </c>
      <c r="O21" t="s">
        <v>453</v>
      </c>
      <c r="P21" t="s">
        <v>421</v>
      </c>
      <c r="Q21">
        <v>0</v>
      </c>
      <c r="R21" t="s">
        <v>159</v>
      </c>
      <c r="S21">
        <v>0</v>
      </c>
      <c r="T21" t="s">
        <v>1485</v>
      </c>
      <c r="U21" t="s">
        <v>492</v>
      </c>
      <c r="V21" t="s">
        <v>1181</v>
      </c>
      <c r="W21" t="s">
        <v>399</v>
      </c>
      <c r="X21" t="s">
        <v>2129</v>
      </c>
      <c r="Y21" t="s">
        <v>2626</v>
      </c>
    </row>
    <row r="22" spans="2:25">
      <c r="B22" t="s">
        <v>2621</v>
      </c>
      <c r="C22" t="s" vm="39">
        <v>701</v>
      </c>
      <c r="D22" t="s">
        <v>100</v>
      </c>
      <c r="E22" t="s">
        <v>485</v>
      </c>
      <c r="F22" t="s">
        <v>461</v>
      </c>
      <c r="G22" t="s">
        <v>473</v>
      </c>
      <c r="H22">
        <v>1</v>
      </c>
      <c r="I22" t="s">
        <v>456</v>
      </c>
      <c r="J22" t="s">
        <v>463</v>
      </c>
      <c r="K22">
        <v>2</v>
      </c>
      <c r="L22" t="s">
        <v>486</v>
      </c>
      <c r="M22" t="s">
        <v>556</v>
      </c>
      <c r="N22" t="s">
        <v>450</v>
      </c>
      <c r="O22" t="s">
        <v>453</v>
      </c>
      <c r="P22" t="s">
        <v>157</v>
      </c>
      <c r="Q22">
        <v>8</v>
      </c>
      <c r="R22" t="s">
        <v>419</v>
      </c>
      <c r="S22">
        <v>8</v>
      </c>
      <c r="T22" t="s">
        <v>402</v>
      </c>
      <c r="U22" t="s">
        <v>492</v>
      </c>
      <c r="V22" t="s">
        <v>1181</v>
      </c>
      <c r="W22" t="s">
        <v>399</v>
      </c>
      <c r="X22" t="s">
        <v>2129</v>
      </c>
      <c r="Y22" t="s">
        <v>2622</v>
      </c>
    </row>
    <row r="23" spans="2:25">
      <c r="B23" t="s">
        <v>2618</v>
      </c>
      <c r="C23" t="s" vm="39">
        <v>701</v>
      </c>
      <c r="D23" t="s">
        <v>100</v>
      </c>
      <c r="E23" t="s">
        <v>485</v>
      </c>
      <c r="F23" t="s">
        <v>461</v>
      </c>
      <c r="G23" t="s">
        <v>487</v>
      </c>
      <c r="H23">
        <v>1</v>
      </c>
      <c r="I23" t="s">
        <v>458</v>
      </c>
      <c r="J23" t="s">
        <v>463</v>
      </c>
      <c r="K23">
        <v>2</v>
      </c>
      <c r="L23" t="s">
        <v>486</v>
      </c>
      <c r="M23" t="s">
        <v>1864</v>
      </c>
      <c r="N23" t="s">
        <v>450</v>
      </c>
      <c r="O23" t="s">
        <v>453</v>
      </c>
      <c r="P23" t="s">
        <v>421</v>
      </c>
      <c r="Q23">
        <v>0</v>
      </c>
      <c r="R23" t="s">
        <v>159</v>
      </c>
      <c r="S23">
        <v>0</v>
      </c>
      <c r="T23" t="s">
        <v>402</v>
      </c>
      <c r="U23" t="s">
        <v>492</v>
      </c>
      <c r="V23" t="s">
        <v>1181</v>
      </c>
      <c r="W23" t="s">
        <v>399</v>
      </c>
      <c r="X23" t="s">
        <v>2129</v>
      </c>
      <c r="Y23" t="s">
        <v>2619</v>
      </c>
    </row>
    <row r="24" spans="2:25">
      <c r="B24" t="s">
        <v>2614</v>
      </c>
      <c r="C24" t="s" vm="39">
        <v>701</v>
      </c>
      <c r="D24" t="s">
        <v>100</v>
      </c>
      <c r="E24" t="s">
        <v>485</v>
      </c>
      <c r="F24" t="s">
        <v>461</v>
      </c>
      <c r="G24" t="s">
        <v>487</v>
      </c>
      <c r="H24">
        <v>1</v>
      </c>
      <c r="I24" t="s">
        <v>456</v>
      </c>
      <c r="J24" t="s">
        <v>463</v>
      </c>
      <c r="K24">
        <v>2</v>
      </c>
      <c r="L24" t="s">
        <v>486</v>
      </c>
      <c r="M24" t="s">
        <v>556</v>
      </c>
      <c r="N24" t="s">
        <v>450</v>
      </c>
      <c r="O24" t="s">
        <v>453</v>
      </c>
      <c r="P24" t="s">
        <v>421</v>
      </c>
      <c r="Q24">
        <v>0</v>
      </c>
      <c r="R24" t="s">
        <v>159</v>
      </c>
      <c r="S24">
        <v>0</v>
      </c>
      <c r="T24" t="s">
        <v>1516</v>
      </c>
      <c r="U24" t="s">
        <v>492</v>
      </c>
      <c r="V24" t="s">
        <v>1181</v>
      </c>
      <c r="W24" t="s">
        <v>399</v>
      </c>
      <c r="X24" t="s">
        <v>2129</v>
      </c>
      <c r="Y24" t="s">
        <v>2615</v>
      </c>
    </row>
    <row r="25" spans="2:25">
      <c r="B25" t="s">
        <v>2609</v>
      </c>
      <c r="C25" t="s" vm="39">
        <v>701</v>
      </c>
      <c r="D25" t="s">
        <v>100</v>
      </c>
      <c r="E25" t="s">
        <v>485</v>
      </c>
      <c r="F25" t="s">
        <v>461</v>
      </c>
      <c r="G25" t="s">
        <v>473</v>
      </c>
      <c r="H25">
        <v>1</v>
      </c>
      <c r="I25" t="s">
        <v>460</v>
      </c>
      <c r="J25" t="s">
        <v>462</v>
      </c>
      <c r="K25">
        <v>2</v>
      </c>
      <c r="L25" t="s">
        <v>486</v>
      </c>
      <c r="M25" t="s">
        <v>1864</v>
      </c>
      <c r="N25" t="s">
        <v>450</v>
      </c>
      <c r="O25" t="s">
        <v>453</v>
      </c>
      <c r="P25" t="s">
        <v>158</v>
      </c>
      <c r="Q25">
        <v>8</v>
      </c>
      <c r="R25" t="s">
        <v>416</v>
      </c>
      <c r="S25">
        <v>8</v>
      </c>
      <c r="T25" t="s">
        <v>1485</v>
      </c>
      <c r="U25" t="s">
        <v>492</v>
      </c>
      <c r="V25" t="s">
        <v>1181</v>
      </c>
      <c r="W25" t="s">
        <v>399</v>
      </c>
      <c r="X25" t="s">
        <v>2131</v>
      </c>
      <c r="Y25" t="s">
        <v>2613</v>
      </c>
    </row>
    <row r="26" spans="2:25">
      <c r="B26" t="s">
        <v>2609</v>
      </c>
      <c r="C26" t="s" vm="39">
        <v>701</v>
      </c>
      <c r="D26" t="s">
        <v>100</v>
      </c>
      <c r="E26" t="s">
        <v>485</v>
      </c>
      <c r="F26" t="s">
        <v>461</v>
      </c>
      <c r="G26" t="s">
        <v>473</v>
      </c>
      <c r="H26">
        <v>1</v>
      </c>
      <c r="I26" t="s">
        <v>460</v>
      </c>
      <c r="J26" t="s">
        <v>462</v>
      </c>
      <c r="K26">
        <v>2</v>
      </c>
      <c r="L26" t="s">
        <v>486</v>
      </c>
      <c r="M26" t="s">
        <v>1864</v>
      </c>
      <c r="N26" t="s">
        <v>450</v>
      </c>
      <c r="O26" t="s">
        <v>453</v>
      </c>
      <c r="P26" t="s">
        <v>158</v>
      </c>
      <c r="Q26">
        <v>8</v>
      </c>
      <c r="R26" t="s">
        <v>1494</v>
      </c>
      <c r="S26">
        <v>8</v>
      </c>
      <c r="T26" t="s">
        <v>1485</v>
      </c>
      <c r="U26" t="s">
        <v>492</v>
      </c>
      <c r="V26" t="s">
        <v>1181</v>
      </c>
      <c r="W26" t="s">
        <v>399</v>
      </c>
      <c r="X26" t="s">
        <v>2131</v>
      </c>
      <c r="Y26" t="s">
        <v>2601</v>
      </c>
    </row>
    <row r="27" spans="2:25">
      <c r="B27" t="s">
        <v>2609</v>
      </c>
      <c r="C27" t="s" vm="39">
        <v>701</v>
      </c>
      <c r="D27" t="s">
        <v>100</v>
      </c>
      <c r="E27" t="s">
        <v>485</v>
      </c>
      <c r="F27" t="s">
        <v>461</v>
      </c>
      <c r="G27" t="s">
        <v>473</v>
      </c>
      <c r="H27">
        <v>1</v>
      </c>
      <c r="I27" t="s">
        <v>460</v>
      </c>
      <c r="J27" t="s">
        <v>462</v>
      </c>
      <c r="K27">
        <v>2</v>
      </c>
      <c r="L27" t="s">
        <v>486</v>
      </c>
      <c r="M27" t="s">
        <v>1864</v>
      </c>
      <c r="N27" t="s">
        <v>450</v>
      </c>
      <c r="O27" t="s">
        <v>453</v>
      </c>
      <c r="P27" t="s">
        <v>158</v>
      </c>
      <c r="Q27">
        <v>8</v>
      </c>
      <c r="R27" t="s">
        <v>1494</v>
      </c>
      <c r="S27">
        <v>8</v>
      </c>
      <c r="T27" t="s">
        <v>1485</v>
      </c>
      <c r="U27" t="s">
        <v>492</v>
      </c>
      <c r="V27" t="s">
        <v>1181</v>
      </c>
      <c r="W27" t="s">
        <v>399</v>
      </c>
      <c r="X27" t="s">
        <v>2131</v>
      </c>
      <c r="Y27" t="s">
        <v>2612</v>
      </c>
    </row>
    <row r="28" spans="2:25">
      <c r="B28" t="s">
        <v>2609</v>
      </c>
      <c r="C28" t="s" vm="39">
        <v>701</v>
      </c>
      <c r="D28" t="s">
        <v>100</v>
      </c>
      <c r="E28" t="s">
        <v>485</v>
      </c>
      <c r="F28" t="s">
        <v>461</v>
      </c>
      <c r="G28" t="s">
        <v>473</v>
      </c>
      <c r="H28">
        <v>1</v>
      </c>
      <c r="I28" t="s">
        <v>460</v>
      </c>
      <c r="J28" t="s">
        <v>462</v>
      </c>
      <c r="K28">
        <v>2</v>
      </c>
      <c r="L28" t="s">
        <v>486</v>
      </c>
      <c r="M28" t="s">
        <v>1864</v>
      </c>
      <c r="N28" t="s">
        <v>450</v>
      </c>
      <c r="O28" t="s">
        <v>453</v>
      </c>
      <c r="P28" t="s">
        <v>158</v>
      </c>
      <c r="Q28">
        <v>8</v>
      </c>
      <c r="R28" t="s">
        <v>416</v>
      </c>
      <c r="S28">
        <v>8</v>
      </c>
      <c r="T28" t="s">
        <v>1485</v>
      </c>
      <c r="U28" t="s">
        <v>492</v>
      </c>
      <c r="V28" t="s">
        <v>1181</v>
      </c>
      <c r="W28" t="s">
        <v>399</v>
      </c>
      <c r="X28" t="s">
        <v>2131</v>
      </c>
      <c r="Y28" t="s">
        <v>2610</v>
      </c>
    </row>
    <row r="29" spans="2:25">
      <c r="B29" t="s">
        <v>2609</v>
      </c>
      <c r="C29" t="s" vm="39">
        <v>701</v>
      </c>
      <c r="D29" t="s">
        <v>100</v>
      </c>
      <c r="E29" t="s">
        <v>485</v>
      </c>
      <c r="F29" t="s">
        <v>461</v>
      </c>
      <c r="G29" t="s">
        <v>473</v>
      </c>
      <c r="H29">
        <v>1</v>
      </c>
      <c r="I29" t="s">
        <v>458</v>
      </c>
      <c r="J29" t="s">
        <v>462</v>
      </c>
      <c r="K29">
        <v>2</v>
      </c>
      <c r="L29" t="s">
        <v>486</v>
      </c>
      <c r="M29" t="s">
        <v>1864</v>
      </c>
      <c r="N29" t="s">
        <v>450</v>
      </c>
      <c r="O29" t="s">
        <v>453</v>
      </c>
      <c r="P29" t="s">
        <v>158</v>
      </c>
      <c r="Q29">
        <v>8</v>
      </c>
      <c r="R29" t="s">
        <v>416</v>
      </c>
      <c r="S29">
        <v>8</v>
      </c>
      <c r="T29" t="s">
        <v>1485</v>
      </c>
      <c r="U29" t="s">
        <v>492</v>
      </c>
      <c r="V29" t="s">
        <v>1181</v>
      </c>
      <c r="W29" t="s">
        <v>399</v>
      </c>
      <c r="X29" t="s">
        <v>2131</v>
      </c>
      <c r="Y29" t="s">
        <v>2611</v>
      </c>
    </row>
    <row r="30" spans="2:25">
      <c r="B30" t="s">
        <v>2609</v>
      </c>
      <c r="C30" t="s" vm="39">
        <v>701</v>
      </c>
      <c r="D30" t="s">
        <v>100</v>
      </c>
      <c r="E30" t="s">
        <v>485</v>
      </c>
      <c r="F30" t="s">
        <v>461</v>
      </c>
      <c r="G30" t="s">
        <v>473</v>
      </c>
      <c r="H30">
        <v>1</v>
      </c>
      <c r="I30" t="s">
        <v>460</v>
      </c>
      <c r="J30" t="s">
        <v>462</v>
      </c>
      <c r="K30">
        <v>2</v>
      </c>
      <c r="L30" t="s">
        <v>486</v>
      </c>
      <c r="M30" t="s">
        <v>1864</v>
      </c>
      <c r="N30" t="s">
        <v>450</v>
      </c>
      <c r="O30" t="s">
        <v>453</v>
      </c>
      <c r="P30" t="s">
        <v>158</v>
      </c>
      <c r="Q30">
        <v>8</v>
      </c>
      <c r="R30" t="s">
        <v>416</v>
      </c>
      <c r="S30">
        <v>8</v>
      </c>
      <c r="T30" t="s">
        <v>1485</v>
      </c>
      <c r="U30" t="s">
        <v>492</v>
      </c>
      <c r="V30" t="s">
        <v>1181</v>
      </c>
      <c r="W30" t="s">
        <v>399</v>
      </c>
      <c r="X30" t="s">
        <v>2131</v>
      </c>
      <c r="Y30" t="s">
        <v>2610</v>
      </c>
    </row>
    <row r="31" spans="2:25">
      <c r="B31" t="s">
        <v>2600</v>
      </c>
      <c r="C31" t="s" vm="39">
        <v>701</v>
      </c>
      <c r="D31" t="s">
        <v>100</v>
      </c>
      <c r="E31" t="s">
        <v>485</v>
      </c>
      <c r="F31" t="s">
        <v>461</v>
      </c>
      <c r="G31" t="s">
        <v>473</v>
      </c>
      <c r="H31">
        <v>1</v>
      </c>
      <c r="I31" t="s">
        <v>460</v>
      </c>
      <c r="J31" t="s">
        <v>462</v>
      </c>
      <c r="K31">
        <v>2</v>
      </c>
      <c r="L31" t="s">
        <v>486</v>
      </c>
      <c r="M31" t="s">
        <v>1864</v>
      </c>
      <c r="N31" t="s">
        <v>450</v>
      </c>
      <c r="O31" t="s">
        <v>453</v>
      </c>
      <c r="P31" t="s">
        <v>158</v>
      </c>
      <c r="Q31">
        <v>8</v>
      </c>
      <c r="R31" t="s">
        <v>1494</v>
      </c>
      <c r="S31">
        <v>8</v>
      </c>
      <c r="T31" t="s">
        <v>1485</v>
      </c>
      <c r="U31" t="s">
        <v>492</v>
      </c>
      <c r="V31" t="s">
        <v>1181</v>
      </c>
      <c r="W31" t="s">
        <v>399</v>
      </c>
      <c r="X31" t="s">
        <v>2131</v>
      </c>
      <c r="Y31" t="s">
        <v>2601</v>
      </c>
    </row>
    <row r="32" spans="2:25">
      <c r="B32" t="s">
        <v>2595</v>
      </c>
      <c r="C32" t="s" vm="39">
        <v>701</v>
      </c>
      <c r="D32" t="s">
        <v>100</v>
      </c>
      <c r="E32" t="s">
        <v>485</v>
      </c>
      <c r="F32" t="s">
        <v>461</v>
      </c>
      <c r="G32" t="s">
        <v>473</v>
      </c>
      <c r="H32">
        <v>1</v>
      </c>
      <c r="I32" t="s">
        <v>460</v>
      </c>
      <c r="J32" t="s">
        <v>462</v>
      </c>
      <c r="K32">
        <v>2</v>
      </c>
      <c r="L32" t="s">
        <v>486</v>
      </c>
      <c r="M32" t="s">
        <v>1864</v>
      </c>
      <c r="N32" t="s">
        <v>450</v>
      </c>
      <c r="O32" t="s">
        <v>453</v>
      </c>
      <c r="P32" t="s">
        <v>157</v>
      </c>
      <c r="Q32">
        <v>4</v>
      </c>
      <c r="R32" t="s">
        <v>1494</v>
      </c>
      <c r="S32">
        <v>8</v>
      </c>
      <c r="T32" t="s">
        <v>1485</v>
      </c>
      <c r="U32" t="s">
        <v>492</v>
      </c>
      <c r="V32" t="s">
        <v>1181</v>
      </c>
      <c r="W32" t="s">
        <v>399</v>
      </c>
      <c r="X32" t="s">
        <v>2131</v>
      </c>
      <c r="Y32" t="s">
        <v>2599</v>
      </c>
    </row>
    <row r="33" spans="2:25">
      <c r="B33" t="s">
        <v>2595</v>
      </c>
      <c r="C33" t="s" vm="39">
        <v>701</v>
      </c>
      <c r="D33" t="s">
        <v>100</v>
      </c>
      <c r="E33" t="s">
        <v>485</v>
      </c>
      <c r="F33" t="s">
        <v>461</v>
      </c>
      <c r="G33" t="s">
        <v>473</v>
      </c>
      <c r="H33">
        <v>1</v>
      </c>
      <c r="I33" t="s">
        <v>460</v>
      </c>
      <c r="J33" t="s">
        <v>462</v>
      </c>
      <c r="K33">
        <v>2</v>
      </c>
      <c r="L33" t="s">
        <v>486</v>
      </c>
      <c r="M33" t="s">
        <v>1864</v>
      </c>
      <c r="N33" t="s">
        <v>450</v>
      </c>
      <c r="O33" t="s">
        <v>453</v>
      </c>
      <c r="P33" t="s">
        <v>157</v>
      </c>
      <c r="Q33">
        <v>6</v>
      </c>
      <c r="R33" t="s">
        <v>1494</v>
      </c>
      <c r="S33">
        <v>12</v>
      </c>
      <c r="T33" t="s">
        <v>1485</v>
      </c>
      <c r="U33" t="s">
        <v>492</v>
      </c>
      <c r="V33" t="s">
        <v>1181</v>
      </c>
      <c r="W33" t="s">
        <v>399</v>
      </c>
      <c r="X33" t="s">
        <v>2131</v>
      </c>
      <c r="Y33" t="s">
        <v>2596</v>
      </c>
    </row>
    <row r="34" spans="2:25">
      <c r="B34" t="s">
        <v>2591</v>
      </c>
      <c r="C34" t="s" vm="39">
        <v>701</v>
      </c>
      <c r="D34" t="s">
        <v>100</v>
      </c>
      <c r="E34" t="s">
        <v>485</v>
      </c>
      <c r="F34" t="s">
        <v>461</v>
      </c>
      <c r="G34" t="s">
        <v>473</v>
      </c>
      <c r="H34">
        <v>1</v>
      </c>
      <c r="I34" t="s">
        <v>458</v>
      </c>
      <c r="J34" t="s">
        <v>463</v>
      </c>
      <c r="K34">
        <v>2</v>
      </c>
      <c r="L34" t="s">
        <v>486</v>
      </c>
      <c r="M34" t="s">
        <v>556</v>
      </c>
      <c r="N34" t="s">
        <v>450</v>
      </c>
      <c r="O34" t="s">
        <v>453</v>
      </c>
      <c r="P34" t="s">
        <v>421</v>
      </c>
      <c r="Q34">
        <v>0</v>
      </c>
      <c r="R34" t="s">
        <v>159</v>
      </c>
      <c r="S34">
        <v>0</v>
      </c>
      <c r="T34" t="s">
        <v>1485</v>
      </c>
      <c r="U34" t="s">
        <v>492</v>
      </c>
      <c r="V34" t="s">
        <v>1181</v>
      </c>
      <c r="W34" t="s">
        <v>399</v>
      </c>
      <c r="X34" t="s">
        <v>2129</v>
      </c>
      <c r="Y34" t="s">
        <v>2593</v>
      </c>
    </row>
    <row r="35" spans="2:25">
      <c r="B35" t="s">
        <v>2591</v>
      </c>
      <c r="C35" t="s" vm="39">
        <v>701</v>
      </c>
      <c r="D35" t="s">
        <v>100</v>
      </c>
      <c r="E35" t="s">
        <v>485</v>
      </c>
      <c r="F35" t="s">
        <v>217</v>
      </c>
      <c r="G35" t="s">
        <v>473</v>
      </c>
      <c r="H35">
        <v>1</v>
      </c>
      <c r="I35" t="s">
        <v>458</v>
      </c>
      <c r="J35" t="s">
        <v>463</v>
      </c>
      <c r="K35">
        <v>2</v>
      </c>
      <c r="L35" t="s">
        <v>486</v>
      </c>
      <c r="M35" t="s">
        <v>556</v>
      </c>
      <c r="N35" t="s">
        <v>450</v>
      </c>
      <c r="O35" t="s">
        <v>453</v>
      </c>
      <c r="P35" t="s">
        <v>421</v>
      </c>
      <c r="Q35">
        <v>0</v>
      </c>
      <c r="R35" t="s">
        <v>159</v>
      </c>
      <c r="S35">
        <v>0</v>
      </c>
      <c r="T35" t="s">
        <v>1485</v>
      </c>
      <c r="U35" t="s">
        <v>492</v>
      </c>
      <c r="V35" t="s">
        <v>1181</v>
      </c>
      <c r="W35" t="s">
        <v>399</v>
      </c>
      <c r="X35" t="s">
        <v>2129</v>
      </c>
      <c r="Y35" t="s">
        <v>2592</v>
      </c>
    </row>
    <row r="36" spans="2:25">
      <c r="B36" t="s">
        <v>2589</v>
      </c>
      <c r="C36" t="s" vm="39">
        <v>701</v>
      </c>
      <c r="D36" t="s">
        <v>102</v>
      </c>
      <c r="E36" t="s">
        <v>485</v>
      </c>
      <c r="F36" t="s">
        <v>461</v>
      </c>
      <c r="G36" t="s">
        <v>473</v>
      </c>
      <c r="H36">
        <v>1</v>
      </c>
      <c r="I36" t="s">
        <v>456</v>
      </c>
      <c r="J36" t="s">
        <v>463</v>
      </c>
      <c r="K36">
        <v>2</v>
      </c>
      <c r="L36" t="s">
        <v>486</v>
      </c>
      <c r="M36" t="s">
        <v>556</v>
      </c>
      <c r="N36" t="s">
        <v>450</v>
      </c>
      <c r="O36" t="s">
        <v>453</v>
      </c>
      <c r="P36" t="s">
        <v>421</v>
      </c>
      <c r="Q36">
        <v>0</v>
      </c>
      <c r="R36" t="s">
        <v>159</v>
      </c>
      <c r="S36">
        <v>0</v>
      </c>
      <c r="T36" t="s">
        <v>1577</v>
      </c>
      <c r="U36" t="s">
        <v>492</v>
      </c>
      <c r="V36" t="s">
        <v>1181</v>
      </c>
      <c r="W36" t="s">
        <v>399</v>
      </c>
      <c r="X36" t="s">
        <v>2129</v>
      </c>
      <c r="Y36" t="s">
        <v>2590</v>
      </c>
    </row>
    <row r="37" spans="2:25">
      <c r="B37" t="s">
        <v>2587</v>
      </c>
      <c r="C37" t="s" vm="39">
        <v>701</v>
      </c>
      <c r="D37" t="s">
        <v>333</v>
      </c>
      <c r="E37" t="s">
        <v>485</v>
      </c>
      <c r="F37" t="s">
        <v>461</v>
      </c>
      <c r="G37" t="s">
        <v>473</v>
      </c>
      <c r="H37">
        <v>2</v>
      </c>
      <c r="I37" t="s">
        <v>456</v>
      </c>
      <c r="J37" t="s">
        <v>463</v>
      </c>
      <c r="K37">
        <v>2</v>
      </c>
      <c r="L37" t="s">
        <v>486</v>
      </c>
      <c r="M37" t="s">
        <v>1022</v>
      </c>
      <c r="N37" t="s">
        <v>450</v>
      </c>
      <c r="O37" t="s">
        <v>453</v>
      </c>
      <c r="P37" t="s">
        <v>157</v>
      </c>
      <c r="Q37">
        <v>12</v>
      </c>
      <c r="R37" t="s">
        <v>419</v>
      </c>
      <c r="S37">
        <v>12</v>
      </c>
      <c r="T37" t="s">
        <v>1516</v>
      </c>
      <c r="U37" t="s">
        <v>492</v>
      </c>
      <c r="V37" t="s">
        <v>1181</v>
      </c>
      <c r="W37" t="s">
        <v>399</v>
      </c>
      <c r="X37" t="s">
        <v>401</v>
      </c>
      <c r="Y37" t="s">
        <v>2588</v>
      </c>
    </row>
    <row r="38" spans="2:25">
      <c r="B38" t="s">
        <v>2583</v>
      </c>
      <c r="C38" t="s" vm="39">
        <v>701</v>
      </c>
      <c r="D38" t="s">
        <v>1019</v>
      </c>
      <c r="E38" t="s">
        <v>485</v>
      </c>
      <c r="F38" t="s">
        <v>461</v>
      </c>
      <c r="G38" t="s">
        <v>473</v>
      </c>
      <c r="H38">
        <v>2</v>
      </c>
      <c r="I38" t="s">
        <v>456</v>
      </c>
      <c r="J38" t="s">
        <v>463</v>
      </c>
      <c r="K38">
        <v>2</v>
      </c>
      <c r="L38" t="s">
        <v>486</v>
      </c>
      <c r="M38" t="s">
        <v>1776</v>
      </c>
      <c r="N38" t="s">
        <v>450</v>
      </c>
      <c r="O38" t="s">
        <v>453</v>
      </c>
      <c r="P38" t="s">
        <v>157</v>
      </c>
      <c r="Q38">
        <v>6</v>
      </c>
      <c r="R38" t="s">
        <v>419</v>
      </c>
      <c r="S38">
        <v>12</v>
      </c>
      <c r="T38" t="s">
        <v>1516</v>
      </c>
      <c r="U38" t="s">
        <v>492</v>
      </c>
      <c r="V38" t="s">
        <v>1181</v>
      </c>
      <c r="W38" t="s">
        <v>399</v>
      </c>
      <c r="X38" t="s">
        <v>401</v>
      </c>
      <c r="Y38" t="s">
        <v>2586</v>
      </c>
    </row>
    <row r="39" spans="2:25">
      <c r="B39" t="s">
        <v>2583</v>
      </c>
      <c r="C39" t="s" vm="39">
        <v>701</v>
      </c>
      <c r="D39" t="s">
        <v>100</v>
      </c>
      <c r="E39" t="s">
        <v>485</v>
      </c>
      <c r="F39" t="s">
        <v>461</v>
      </c>
      <c r="G39" t="s">
        <v>473</v>
      </c>
      <c r="H39">
        <v>1</v>
      </c>
      <c r="I39" t="s">
        <v>456</v>
      </c>
      <c r="J39" t="s">
        <v>463</v>
      </c>
      <c r="K39">
        <v>1</v>
      </c>
      <c r="L39" t="s">
        <v>486</v>
      </c>
      <c r="M39" t="s">
        <v>556</v>
      </c>
      <c r="N39" t="s">
        <v>450</v>
      </c>
      <c r="O39" t="s">
        <v>453</v>
      </c>
      <c r="P39" t="s">
        <v>157</v>
      </c>
      <c r="Q39">
        <v>8</v>
      </c>
      <c r="R39" t="s">
        <v>419</v>
      </c>
      <c r="S39">
        <v>8</v>
      </c>
      <c r="T39" t="s">
        <v>402</v>
      </c>
      <c r="U39" t="s">
        <v>492</v>
      </c>
      <c r="V39" t="s">
        <v>1181</v>
      </c>
      <c r="W39" t="s">
        <v>399</v>
      </c>
      <c r="X39" t="s">
        <v>2129</v>
      </c>
      <c r="Y39" t="s">
        <v>2585</v>
      </c>
    </row>
    <row r="40" spans="2:25">
      <c r="B40" t="s">
        <v>2583</v>
      </c>
      <c r="C40" t="s" vm="39">
        <v>701</v>
      </c>
      <c r="D40" t="s">
        <v>100</v>
      </c>
      <c r="E40" t="s">
        <v>485</v>
      </c>
      <c r="F40" t="s">
        <v>461</v>
      </c>
      <c r="G40" t="s">
        <v>473</v>
      </c>
      <c r="H40">
        <v>1</v>
      </c>
      <c r="I40" t="s">
        <v>456</v>
      </c>
      <c r="J40" t="s">
        <v>463</v>
      </c>
      <c r="K40">
        <v>2</v>
      </c>
      <c r="L40" t="s">
        <v>486</v>
      </c>
      <c r="M40" t="s">
        <v>556</v>
      </c>
      <c r="N40" t="s">
        <v>450</v>
      </c>
      <c r="O40" t="s">
        <v>453</v>
      </c>
      <c r="P40" t="s">
        <v>157</v>
      </c>
      <c r="Q40">
        <v>4</v>
      </c>
      <c r="R40" t="s">
        <v>159</v>
      </c>
      <c r="S40">
        <v>0</v>
      </c>
      <c r="T40" t="s">
        <v>1516</v>
      </c>
      <c r="U40" t="s">
        <v>492</v>
      </c>
      <c r="V40" t="s">
        <v>1181</v>
      </c>
      <c r="W40" t="s">
        <v>399</v>
      </c>
      <c r="X40" t="s">
        <v>2129</v>
      </c>
      <c r="Y40" t="s">
        <v>2584</v>
      </c>
    </row>
    <row r="41" spans="2:25">
      <c r="B41" t="s">
        <v>2572</v>
      </c>
      <c r="C41" t="s" vm="39">
        <v>701</v>
      </c>
      <c r="D41" t="s">
        <v>333</v>
      </c>
      <c r="E41" t="s">
        <v>485</v>
      </c>
      <c r="F41" t="s">
        <v>217</v>
      </c>
      <c r="G41" t="s">
        <v>473</v>
      </c>
      <c r="H41">
        <v>2</v>
      </c>
      <c r="I41" t="s">
        <v>460</v>
      </c>
      <c r="J41" t="s">
        <v>462</v>
      </c>
      <c r="K41">
        <v>2</v>
      </c>
      <c r="L41" t="s">
        <v>486</v>
      </c>
      <c r="M41" t="s">
        <v>1864</v>
      </c>
      <c r="N41" t="s">
        <v>450</v>
      </c>
      <c r="O41" t="s">
        <v>453</v>
      </c>
      <c r="P41" t="s">
        <v>421</v>
      </c>
      <c r="Q41">
        <v>0</v>
      </c>
      <c r="R41" t="s">
        <v>159</v>
      </c>
      <c r="S41">
        <v>0</v>
      </c>
      <c r="T41" t="s">
        <v>1485</v>
      </c>
      <c r="U41" t="s">
        <v>492</v>
      </c>
      <c r="V41" t="s">
        <v>1181</v>
      </c>
      <c r="W41" t="s">
        <v>2518</v>
      </c>
      <c r="X41" t="s">
        <v>401</v>
      </c>
      <c r="Y41" t="s">
        <v>2582</v>
      </c>
    </row>
    <row r="42" spans="2:25">
      <c r="B42" t="s">
        <v>2572</v>
      </c>
      <c r="C42" t="s" vm="39">
        <v>701</v>
      </c>
      <c r="D42" t="s">
        <v>102</v>
      </c>
      <c r="E42" t="s">
        <v>485</v>
      </c>
      <c r="F42" t="s">
        <v>461</v>
      </c>
      <c r="G42" t="s">
        <v>473</v>
      </c>
      <c r="H42">
        <v>1</v>
      </c>
      <c r="I42" t="s">
        <v>456</v>
      </c>
      <c r="J42" t="s">
        <v>463</v>
      </c>
      <c r="K42">
        <v>2</v>
      </c>
      <c r="L42" t="s">
        <v>486</v>
      </c>
      <c r="M42" t="s">
        <v>1022</v>
      </c>
      <c r="N42" t="s">
        <v>450</v>
      </c>
      <c r="O42" t="s">
        <v>453</v>
      </c>
      <c r="P42" t="s">
        <v>157</v>
      </c>
      <c r="Q42">
        <v>12</v>
      </c>
      <c r="R42" t="s">
        <v>419</v>
      </c>
      <c r="S42">
        <v>12</v>
      </c>
      <c r="T42" t="s">
        <v>1485</v>
      </c>
      <c r="U42" t="s">
        <v>492</v>
      </c>
      <c r="V42" t="s">
        <v>1181</v>
      </c>
      <c r="W42" t="s">
        <v>2518</v>
      </c>
      <c r="X42" t="s">
        <v>2129</v>
      </c>
      <c r="Y42" t="s">
        <v>2581</v>
      </c>
    </row>
    <row r="43" spans="2:25">
      <c r="B43" t="s">
        <v>2572</v>
      </c>
      <c r="C43" t="s" vm="39">
        <v>701</v>
      </c>
      <c r="D43" t="s">
        <v>100</v>
      </c>
      <c r="E43" t="s">
        <v>485</v>
      </c>
      <c r="F43" t="s">
        <v>461</v>
      </c>
      <c r="G43" t="s">
        <v>473</v>
      </c>
      <c r="H43">
        <v>1</v>
      </c>
      <c r="I43" t="s">
        <v>456</v>
      </c>
      <c r="J43" t="s">
        <v>463</v>
      </c>
      <c r="K43">
        <v>2</v>
      </c>
      <c r="L43" t="s">
        <v>486</v>
      </c>
      <c r="M43" t="s">
        <v>556</v>
      </c>
      <c r="N43" t="s">
        <v>450</v>
      </c>
      <c r="O43" t="s">
        <v>453</v>
      </c>
      <c r="P43" t="s">
        <v>157</v>
      </c>
      <c r="Q43">
        <v>8</v>
      </c>
      <c r="R43" t="s">
        <v>419</v>
      </c>
      <c r="S43">
        <v>8</v>
      </c>
      <c r="T43" t="s">
        <v>402</v>
      </c>
      <c r="U43" t="s">
        <v>492</v>
      </c>
      <c r="V43" t="s">
        <v>1181</v>
      </c>
      <c r="W43" t="s">
        <v>399</v>
      </c>
      <c r="X43" t="s">
        <v>2129</v>
      </c>
      <c r="Y43" t="s">
        <v>2580</v>
      </c>
    </row>
    <row r="44" spans="2:25">
      <c r="B44" t="s">
        <v>2572</v>
      </c>
      <c r="C44" t="s" vm="39">
        <v>701</v>
      </c>
      <c r="D44" t="s">
        <v>100</v>
      </c>
      <c r="E44" t="s">
        <v>485</v>
      </c>
      <c r="F44" t="s">
        <v>461</v>
      </c>
      <c r="G44" t="s">
        <v>473</v>
      </c>
      <c r="H44">
        <v>1</v>
      </c>
      <c r="I44" t="s">
        <v>460</v>
      </c>
      <c r="J44" t="s">
        <v>463</v>
      </c>
      <c r="K44">
        <v>2</v>
      </c>
      <c r="L44" t="s">
        <v>486</v>
      </c>
      <c r="M44" t="s">
        <v>556</v>
      </c>
      <c r="N44" t="s">
        <v>450</v>
      </c>
      <c r="O44" t="s">
        <v>453</v>
      </c>
      <c r="P44" t="s">
        <v>157</v>
      </c>
      <c r="Q44">
        <v>8</v>
      </c>
      <c r="R44" t="s">
        <v>419</v>
      </c>
      <c r="S44">
        <v>8</v>
      </c>
      <c r="T44" t="s">
        <v>402</v>
      </c>
      <c r="U44" t="s">
        <v>492</v>
      </c>
      <c r="V44" t="s">
        <v>1181</v>
      </c>
      <c r="W44" t="s">
        <v>399</v>
      </c>
      <c r="X44" t="s">
        <v>2129</v>
      </c>
      <c r="Y44" t="s">
        <v>2579</v>
      </c>
    </row>
    <row r="45" spans="2:25">
      <c r="B45" t="s">
        <v>2572</v>
      </c>
      <c r="C45" t="s" vm="39">
        <v>701</v>
      </c>
      <c r="D45" t="s">
        <v>333</v>
      </c>
      <c r="E45" t="s">
        <v>485</v>
      </c>
      <c r="F45" t="s">
        <v>461</v>
      </c>
      <c r="G45" t="s">
        <v>473</v>
      </c>
      <c r="H45">
        <v>2</v>
      </c>
      <c r="I45" t="s">
        <v>456</v>
      </c>
      <c r="J45" t="s">
        <v>463</v>
      </c>
      <c r="K45">
        <v>2</v>
      </c>
      <c r="L45" t="s">
        <v>486</v>
      </c>
      <c r="M45" t="s">
        <v>1022</v>
      </c>
      <c r="N45" t="s">
        <v>450</v>
      </c>
      <c r="O45" t="s">
        <v>453</v>
      </c>
      <c r="P45" t="s">
        <v>421</v>
      </c>
      <c r="Q45">
        <v>0</v>
      </c>
      <c r="R45" t="s">
        <v>159</v>
      </c>
      <c r="S45">
        <v>0</v>
      </c>
      <c r="T45" t="s">
        <v>1516</v>
      </c>
      <c r="U45" t="s">
        <v>492</v>
      </c>
      <c r="V45" t="s">
        <v>1181</v>
      </c>
      <c r="W45" t="s">
        <v>399</v>
      </c>
      <c r="X45" t="s">
        <v>401</v>
      </c>
      <c r="Y45" t="s">
        <v>2576</v>
      </c>
    </row>
    <row r="46" spans="2:25">
      <c r="B46" t="s">
        <v>2572</v>
      </c>
      <c r="C46" t="s" vm="39">
        <v>701</v>
      </c>
      <c r="D46" t="s">
        <v>333</v>
      </c>
      <c r="E46" t="s">
        <v>485</v>
      </c>
      <c r="F46" t="s">
        <v>461</v>
      </c>
      <c r="G46" t="s">
        <v>473</v>
      </c>
      <c r="H46">
        <v>2</v>
      </c>
      <c r="I46" t="s">
        <v>458</v>
      </c>
      <c r="J46" t="s">
        <v>463</v>
      </c>
      <c r="K46">
        <v>2</v>
      </c>
      <c r="L46" t="s">
        <v>486</v>
      </c>
      <c r="M46" t="s">
        <v>1022</v>
      </c>
      <c r="N46" t="s">
        <v>450</v>
      </c>
      <c r="O46" t="s">
        <v>453</v>
      </c>
      <c r="P46" t="s">
        <v>421</v>
      </c>
      <c r="Q46">
        <v>0</v>
      </c>
      <c r="R46" t="s">
        <v>159</v>
      </c>
      <c r="S46">
        <v>0</v>
      </c>
      <c r="T46" t="s">
        <v>1516</v>
      </c>
      <c r="U46" t="s">
        <v>492</v>
      </c>
      <c r="V46" t="s">
        <v>1181</v>
      </c>
      <c r="W46" t="s">
        <v>399</v>
      </c>
      <c r="X46" t="s">
        <v>401</v>
      </c>
      <c r="Y46" t="s">
        <v>2575</v>
      </c>
    </row>
    <row r="47" spans="2:25">
      <c r="B47" t="s">
        <v>2572</v>
      </c>
      <c r="C47" t="s" vm="39">
        <v>701</v>
      </c>
      <c r="D47" t="s">
        <v>333</v>
      </c>
      <c r="E47" t="s">
        <v>485</v>
      </c>
      <c r="F47" t="s">
        <v>461</v>
      </c>
      <c r="G47" t="s">
        <v>473</v>
      </c>
      <c r="H47">
        <v>2</v>
      </c>
      <c r="I47" t="s">
        <v>458</v>
      </c>
      <c r="J47" t="s">
        <v>463</v>
      </c>
      <c r="K47">
        <v>2</v>
      </c>
      <c r="L47" t="s">
        <v>486</v>
      </c>
      <c r="M47" t="s">
        <v>1022</v>
      </c>
      <c r="N47" t="s">
        <v>450</v>
      </c>
      <c r="O47" t="s">
        <v>453</v>
      </c>
      <c r="P47" t="s">
        <v>157</v>
      </c>
      <c r="Q47">
        <v>12</v>
      </c>
      <c r="R47" t="s">
        <v>419</v>
      </c>
      <c r="S47">
        <v>12</v>
      </c>
      <c r="T47" t="s">
        <v>1516</v>
      </c>
      <c r="U47" t="s">
        <v>492</v>
      </c>
      <c r="V47" t="s">
        <v>1181</v>
      </c>
      <c r="W47" t="s">
        <v>399</v>
      </c>
      <c r="X47" t="s">
        <v>401</v>
      </c>
      <c r="Y47" t="s">
        <v>2574</v>
      </c>
    </row>
    <row r="48" spans="2:25">
      <c r="B48" t="s">
        <v>2572</v>
      </c>
      <c r="C48" t="s" vm="39">
        <v>701</v>
      </c>
      <c r="D48" t="s">
        <v>333</v>
      </c>
      <c r="E48" t="s">
        <v>485</v>
      </c>
      <c r="F48" t="s">
        <v>461</v>
      </c>
      <c r="G48" t="s">
        <v>473</v>
      </c>
      <c r="H48">
        <v>2</v>
      </c>
      <c r="I48" t="s">
        <v>456</v>
      </c>
      <c r="J48" t="s">
        <v>463</v>
      </c>
      <c r="K48">
        <v>2</v>
      </c>
      <c r="L48" t="s">
        <v>486</v>
      </c>
      <c r="M48" t="s">
        <v>1022</v>
      </c>
      <c r="N48" t="s">
        <v>450</v>
      </c>
      <c r="O48" t="s">
        <v>453</v>
      </c>
      <c r="P48" t="s">
        <v>157</v>
      </c>
      <c r="Q48">
        <v>12</v>
      </c>
      <c r="R48" t="s">
        <v>419</v>
      </c>
      <c r="S48">
        <v>12</v>
      </c>
      <c r="T48" t="s">
        <v>1516</v>
      </c>
      <c r="U48" t="s">
        <v>492</v>
      </c>
      <c r="V48" t="s">
        <v>1181</v>
      </c>
      <c r="W48" t="s">
        <v>399</v>
      </c>
      <c r="X48" t="s">
        <v>401</v>
      </c>
      <c r="Y48" t="s">
        <v>2573</v>
      </c>
    </row>
    <row r="49" spans="2:25">
      <c r="B49" t="s">
        <v>2569</v>
      </c>
      <c r="C49" t="s" vm="39">
        <v>701</v>
      </c>
      <c r="D49" t="s">
        <v>100</v>
      </c>
      <c r="E49" t="s">
        <v>485</v>
      </c>
      <c r="F49" t="s">
        <v>461</v>
      </c>
      <c r="G49" t="s">
        <v>473</v>
      </c>
      <c r="H49">
        <v>1</v>
      </c>
      <c r="I49" t="s">
        <v>456</v>
      </c>
      <c r="J49" t="s">
        <v>463</v>
      </c>
      <c r="K49">
        <v>2</v>
      </c>
      <c r="L49" t="s">
        <v>486</v>
      </c>
      <c r="M49" t="s">
        <v>556</v>
      </c>
      <c r="N49" t="s">
        <v>450</v>
      </c>
      <c r="O49" t="s">
        <v>453</v>
      </c>
      <c r="P49" t="s">
        <v>157</v>
      </c>
      <c r="Q49">
        <v>4</v>
      </c>
      <c r="R49" t="s">
        <v>419</v>
      </c>
      <c r="S49">
        <v>8</v>
      </c>
      <c r="T49" t="s">
        <v>1516</v>
      </c>
      <c r="U49" t="s">
        <v>492</v>
      </c>
      <c r="V49" t="s">
        <v>1181</v>
      </c>
      <c r="W49" t="s">
        <v>399</v>
      </c>
      <c r="X49" t="s">
        <v>2129</v>
      </c>
      <c r="Y49" t="s">
        <v>2571</v>
      </c>
    </row>
    <row r="50" spans="2:25">
      <c r="B50" t="s">
        <v>2569</v>
      </c>
      <c r="C50" t="s" vm="39">
        <v>701</v>
      </c>
      <c r="D50" t="s">
        <v>1019</v>
      </c>
      <c r="E50" t="s">
        <v>485</v>
      </c>
      <c r="F50" t="s">
        <v>461</v>
      </c>
      <c r="G50" t="s">
        <v>473</v>
      </c>
      <c r="H50">
        <v>2</v>
      </c>
      <c r="I50" t="s">
        <v>456</v>
      </c>
      <c r="J50" t="s">
        <v>463</v>
      </c>
      <c r="K50">
        <v>2</v>
      </c>
      <c r="L50" t="s">
        <v>486</v>
      </c>
      <c r="M50" t="s">
        <v>556</v>
      </c>
      <c r="N50" t="s">
        <v>450</v>
      </c>
      <c r="O50" t="s">
        <v>453</v>
      </c>
      <c r="P50" t="s">
        <v>157</v>
      </c>
      <c r="Q50">
        <v>12</v>
      </c>
      <c r="R50" t="s">
        <v>419</v>
      </c>
      <c r="S50">
        <v>12</v>
      </c>
      <c r="T50" t="s">
        <v>1516</v>
      </c>
      <c r="U50" t="s">
        <v>492</v>
      </c>
      <c r="V50" t="s">
        <v>1181</v>
      </c>
      <c r="W50" t="s">
        <v>399</v>
      </c>
      <c r="X50" t="s">
        <v>401</v>
      </c>
      <c r="Y50" t="s">
        <v>2570</v>
      </c>
    </row>
    <row r="51" spans="2:25">
      <c r="B51" t="s">
        <v>2563</v>
      </c>
      <c r="C51" t="s" vm="39">
        <v>701</v>
      </c>
      <c r="D51" t="s">
        <v>100</v>
      </c>
      <c r="E51" t="s">
        <v>485</v>
      </c>
      <c r="F51" t="s">
        <v>217</v>
      </c>
      <c r="G51" t="s">
        <v>473</v>
      </c>
      <c r="H51">
        <v>1</v>
      </c>
      <c r="I51" t="s">
        <v>458</v>
      </c>
      <c r="J51" t="s">
        <v>463</v>
      </c>
      <c r="K51">
        <v>2</v>
      </c>
      <c r="L51" t="s">
        <v>486</v>
      </c>
      <c r="M51" t="s">
        <v>556</v>
      </c>
      <c r="N51" t="s">
        <v>450</v>
      </c>
      <c r="O51" t="s">
        <v>453</v>
      </c>
      <c r="P51" t="s">
        <v>421</v>
      </c>
      <c r="Q51">
        <v>0</v>
      </c>
      <c r="R51" t="s">
        <v>159</v>
      </c>
      <c r="S51">
        <v>0</v>
      </c>
      <c r="T51" t="s">
        <v>1516</v>
      </c>
      <c r="U51" t="s">
        <v>492</v>
      </c>
      <c r="V51" t="s">
        <v>1181</v>
      </c>
      <c r="W51" t="s">
        <v>476</v>
      </c>
      <c r="X51" t="s">
        <v>2130</v>
      </c>
      <c r="Y51" t="s">
        <v>2568</v>
      </c>
    </row>
    <row r="52" spans="2:25">
      <c r="B52" t="s">
        <v>2563</v>
      </c>
      <c r="C52" t="s" vm="39">
        <v>701</v>
      </c>
      <c r="D52" t="s">
        <v>100</v>
      </c>
      <c r="E52" t="s">
        <v>485</v>
      </c>
      <c r="F52" t="s">
        <v>461</v>
      </c>
      <c r="G52" t="s">
        <v>473</v>
      </c>
      <c r="H52">
        <v>1</v>
      </c>
      <c r="I52" t="s">
        <v>456</v>
      </c>
      <c r="J52" t="s">
        <v>463</v>
      </c>
      <c r="K52">
        <v>1</v>
      </c>
      <c r="L52" t="s">
        <v>486</v>
      </c>
      <c r="M52" t="s">
        <v>556</v>
      </c>
      <c r="N52" t="s">
        <v>450</v>
      </c>
      <c r="O52" t="s">
        <v>453</v>
      </c>
      <c r="P52" t="s">
        <v>157</v>
      </c>
      <c r="Q52">
        <v>8</v>
      </c>
      <c r="R52" t="s">
        <v>419</v>
      </c>
      <c r="S52">
        <v>8</v>
      </c>
      <c r="T52" t="s">
        <v>1485</v>
      </c>
      <c r="U52" t="s">
        <v>492</v>
      </c>
      <c r="V52" t="s">
        <v>1181</v>
      </c>
      <c r="W52">
        <v>0</v>
      </c>
      <c r="X52" t="s">
        <v>2129</v>
      </c>
      <c r="Y52" t="s">
        <v>2566</v>
      </c>
    </row>
    <row r="53" spans="2:25">
      <c r="B53" t="s">
        <v>2563</v>
      </c>
      <c r="C53" t="s" vm="39">
        <v>701</v>
      </c>
      <c r="D53" t="s">
        <v>100</v>
      </c>
      <c r="E53" t="s">
        <v>485</v>
      </c>
      <c r="F53" t="s">
        <v>461</v>
      </c>
      <c r="G53" t="s">
        <v>473</v>
      </c>
      <c r="H53">
        <v>1</v>
      </c>
      <c r="I53" t="s">
        <v>456</v>
      </c>
      <c r="J53" t="s">
        <v>463</v>
      </c>
      <c r="K53">
        <v>1</v>
      </c>
      <c r="L53" t="s">
        <v>486</v>
      </c>
      <c r="M53" t="s">
        <v>556</v>
      </c>
      <c r="N53" t="s">
        <v>450</v>
      </c>
      <c r="O53" t="s">
        <v>453</v>
      </c>
      <c r="P53" t="s">
        <v>157</v>
      </c>
      <c r="Q53">
        <v>8</v>
      </c>
      <c r="R53" t="s">
        <v>419</v>
      </c>
      <c r="S53">
        <v>8</v>
      </c>
      <c r="T53" t="s">
        <v>1485</v>
      </c>
      <c r="U53" t="s">
        <v>492</v>
      </c>
      <c r="V53" t="s">
        <v>1181</v>
      </c>
      <c r="W53">
        <v>0</v>
      </c>
      <c r="X53" t="s">
        <v>2129</v>
      </c>
      <c r="Y53" t="s">
        <v>2565</v>
      </c>
    </row>
    <row r="54" spans="2:25">
      <c r="B54" t="s">
        <v>2563</v>
      </c>
      <c r="C54" t="s" vm="39">
        <v>701</v>
      </c>
      <c r="D54" t="s">
        <v>333</v>
      </c>
      <c r="E54" t="s">
        <v>485</v>
      </c>
      <c r="F54" t="s">
        <v>461</v>
      </c>
      <c r="G54" t="s">
        <v>473</v>
      </c>
      <c r="H54">
        <v>2</v>
      </c>
      <c r="I54" t="s">
        <v>456</v>
      </c>
      <c r="J54" t="s">
        <v>464</v>
      </c>
      <c r="K54">
        <v>2</v>
      </c>
      <c r="L54" t="s">
        <v>486</v>
      </c>
      <c r="M54" t="s">
        <v>1022</v>
      </c>
      <c r="N54" t="s">
        <v>450</v>
      </c>
      <c r="O54" t="s">
        <v>453</v>
      </c>
      <c r="P54" t="s">
        <v>158</v>
      </c>
      <c r="Q54">
        <v>6</v>
      </c>
      <c r="R54" t="s">
        <v>419</v>
      </c>
      <c r="S54">
        <v>12</v>
      </c>
      <c r="T54" t="s">
        <v>1485</v>
      </c>
      <c r="U54" t="s">
        <v>492</v>
      </c>
      <c r="V54" t="s">
        <v>1181</v>
      </c>
      <c r="W54">
        <v>0</v>
      </c>
      <c r="X54" t="s">
        <v>2129</v>
      </c>
      <c r="Y54" t="s">
        <v>2564</v>
      </c>
    </row>
    <row r="55" spans="2:25">
      <c r="B55" t="s">
        <v>2559</v>
      </c>
      <c r="C55" t="s" vm="39">
        <v>701</v>
      </c>
      <c r="D55" t="s">
        <v>333</v>
      </c>
      <c r="E55" t="s">
        <v>485</v>
      </c>
      <c r="F55" t="s">
        <v>461</v>
      </c>
      <c r="G55" t="s">
        <v>473</v>
      </c>
      <c r="H55">
        <v>2</v>
      </c>
      <c r="I55" t="s">
        <v>456</v>
      </c>
      <c r="J55" t="s">
        <v>464</v>
      </c>
      <c r="K55">
        <v>2</v>
      </c>
      <c r="L55" t="s">
        <v>486</v>
      </c>
      <c r="M55" t="s">
        <v>1022</v>
      </c>
      <c r="N55" t="s">
        <v>450</v>
      </c>
      <c r="O55" t="s">
        <v>453</v>
      </c>
      <c r="P55" t="s">
        <v>158</v>
      </c>
      <c r="Q55">
        <v>6</v>
      </c>
      <c r="R55" t="s">
        <v>419</v>
      </c>
      <c r="S55">
        <v>12</v>
      </c>
      <c r="T55" t="s">
        <v>1485</v>
      </c>
      <c r="U55" t="s">
        <v>492</v>
      </c>
      <c r="V55" t="s">
        <v>1181</v>
      </c>
      <c r="W55">
        <v>0</v>
      </c>
      <c r="X55" t="s">
        <v>2129</v>
      </c>
      <c r="Y55" t="s">
        <v>2562</v>
      </c>
    </row>
    <row r="56" spans="2:25">
      <c r="B56" t="s">
        <v>2559</v>
      </c>
      <c r="C56" t="s" vm="39">
        <v>701</v>
      </c>
      <c r="D56" t="s">
        <v>100</v>
      </c>
      <c r="E56" t="s">
        <v>485</v>
      </c>
      <c r="F56" t="s">
        <v>217</v>
      </c>
      <c r="G56" t="s">
        <v>473</v>
      </c>
      <c r="H56">
        <v>1</v>
      </c>
      <c r="I56" t="s">
        <v>458</v>
      </c>
      <c r="J56" t="s">
        <v>462</v>
      </c>
      <c r="K56">
        <v>2</v>
      </c>
      <c r="L56" t="s">
        <v>486</v>
      </c>
      <c r="M56" t="s">
        <v>556</v>
      </c>
      <c r="N56" t="s">
        <v>450</v>
      </c>
      <c r="O56" t="s">
        <v>453</v>
      </c>
      <c r="P56" t="s">
        <v>157</v>
      </c>
      <c r="Q56">
        <v>8</v>
      </c>
      <c r="R56" t="s">
        <v>419</v>
      </c>
      <c r="S56">
        <v>8</v>
      </c>
      <c r="T56" t="s">
        <v>1485</v>
      </c>
      <c r="U56" t="s">
        <v>492</v>
      </c>
      <c r="V56" t="s">
        <v>1181</v>
      </c>
      <c r="W56">
        <v>0</v>
      </c>
      <c r="X56" t="s">
        <v>2129</v>
      </c>
      <c r="Y56" t="s">
        <v>2560</v>
      </c>
    </row>
    <row r="57" spans="2:25">
      <c r="B57" t="s">
        <v>2556</v>
      </c>
      <c r="C57" t="s" vm="39">
        <v>701</v>
      </c>
      <c r="D57" t="s">
        <v>100</v>
      </c>
      <c r="E57" t="s">
        <v>485</v>
      </c>
      <c r="F57" t="s">
        <v>217</v>
      </c>
      <c r="G57" t="s">
        <v>473</v>
      </c>
      <c r="H57">
        <v>1</v>
      </c>
      <c r="I57" t="s">
        <v>458</v>
      </c>
      <c r="J57" t="s">
        <v>462</v>
      </c>
      <c r="K57">
        <v>2</v>
      </c>
      <c r="L57" t="s">
        <v>486</v>
      </c>
      <c r="M57" t="s">
        <v>556</v>
      </c>
      <c r="N57" t="s">
        <v>450</v>
      </c>
      <c r="O57" t="s">
        <v>453</v>
      </c>
      <c r="P57" t="s">
        <v>157</v>
      </c>
      <c r="Q57">
        <v>8</v>
      </c>
      <c r="R57" t="s">
        <v>419</v>
      </c>
      <c r="S57">
        <v>8</v>
      </c>
      <c r="T57" t="s">
        <v>1410</v>
      </c>
      <c r="U57" t="s">
        <v>492</v>
      </c>
      <c r="V57" t="s">
        <v>1181</v>
      </c>
      <c r="W57">
        <v>0</v>
      </c>
      <c r="X57" t="s">
        <v>2129</v>
      </c>
      <c r="Y57" t="s">
        <v>2557</v>
      </c>
    </row>
    <row r="58" spans="2:25">
      <c r="B58" t="s">
        <v>2556</v>
      </c>
      <c r="C58" t="s" vm="39">
        <v>701</v>
      </c>
      <c r="D58" t="s">
        <v>333</v>
      </c>
      <c r="E58" t="s">
        <v>485</v>
      </c>
      <c r="F58" t="s">
        <v>461</v>
      </c>
      <c r="G58" t="s">
        <v>473</v>
      </c>
      <c r="H58">
        <v>2</v>
      </c>
      <c r="I58" t="s">
        <v>458</v>
      </c>
      <c r="J58" t="s">
        <v>463</v>
      </c>
      <c r="K58">
        <v>2</v>
      </c>
      <c r="L58" t="s">
        <v>486</v>
      </c>
      <c r="M58" t="s">
        <v>1022</v>
      </c>
      <c r="N58" t="s">
        <v>450</v>
      </c>
      <c r="O58" t="s">
        <v>453</v>
      </c>
      <c r="P58" t="s">
        <v>421</v>
      </c>
      <c r="Q58">
        <v>0</v>
      </c>
      <c r="R58" t="s">
        <v>159</v>
      </c>
      <c r="S58">
        <v>0</v>
      </c>
      <c r="T58" t="s">
        <v>1577</v>
      </c>
      <c r="U58" t="s">
        <v>492</v>
      </c>
      <c r="V58" t="s">
        <v>1181</v>
      </c>
      <c r="W58">
        <v>0</v>
      </c>
      <c r="X58" t="s">
        <v>401</v>
      </c>
      <c r="Y58" t="s">
        <v>2554</v>
      </c>
    </row>
    <row r="59" spans="2:25">
      <c r="B59" t="s">
        <v>2556</v>
      </c>
      <c r="C59" t="s" vm="39">
        <v>701</v>
      </c>
      <c r="D59" t="s">
        <v>333</v>
      </c>
      <c r="E59" t="s">
        <v>485</v>
      </c>
      <c r="F59" t="s">
        <v>461</v>
      </c>
      <c r="G59" t="s">
        <v>473</v>
      </c>
      <c r="H59">
        <v>2</v>
      </c>
      <c r="I59" t="s">
        <v>458</v>
      </c>
      <c r="J59" t="s">
        <v>463</v>
      </c>
      <c r="K59">
        <v>2</v>
      </c>
      <c r="L59" t="s">
        <v>486</v>
      </c>
      <c r="M59" t="s">
        <v>1022</v>
      </c>
      <c r="N59" t="s">
        <v>450</v>
      </c>
      <c r="O59" t="s">
        <v>453</v>
      </c>
      <c r="P59" t="s">
        <v>421</v>
      </c>
      <c r="Q59">
        <v>0</v>
      </c>
      <c r="R59" t="s">
        <v>159</v>
      </c>
      <c r="S59">
        <v>0</v>
      </c>
      <c r="T59" t="s">
        <v>1577</v>
      </c>
      <c r="U59" t="s">
        <v>492</v>
      </c>
      <c r="V59" t="s">
        <v>1181</v>
      </c>
      <c r="W59">
        <v>0</v>
      </c>
      <c r="X59" t="s">
        <v>401</v>
      </c>
      <c r="Y59" t="s">
        <v>2554</v>
      </c>
    </row>
    <row r="60" spans="2:25">
      <c r="B60" t="s">
        <v>2553</v>
      </c>
      <c r="C60" t="s" vm="39">
        <v>701</v>
      </c>
      <c r="D60" t="s">
        <v>333</v>
      </c>
      <c r="E60" t="s">
        <v>485</v>
      </c>
      <c r="F60" t="s">
        <v>461</v>
      </c>
      <c r="G60" t="s">
        <v>473</v>
      </c>
      <c r="H60">
        <v>2</v>
      </c>
      <c r="I60" t="s">
        <v>458</v>
      </c>
      <c r="J60" t="s">
        <v>463</v>
      </c>
      <c r="K60">
        <v>2</v>
      </c>
      <c r="L60" t="s">
        <v>486</v>
      </c>
      <c r="M60" t="s">
        <v>1022</v>
      </c>
      <c r="N60" t="s">
        <v>450</v>
      </c>
      <c r="O60" t="s">
        <v>453</v>
      </c>
      <c r="P60" t="s">
        <v>421</v>
      </c>
      <c r="Q60">
        <v>0</v>
      </c>
      <c r="R60" t="s">
        <v>159</v>
      </c>
      <c r="S60">
        <v>0</v>
      </c>
      <c r="T60" t="s">
        <v>1577</v>
      </c>
      <c r="U60" t="s">
        <v>492</v>
      </c>
      <c r="V60" t="s">
        <v>1181</v>
      </c>
      <c r="W60">
        <v>0</v>
      </c>
      <c r="X60" t="s">
        <v>401</v>
      </c>
      <c r="Y60" t="s">
        <v>2554</v>
      </c>
    </row>
    <row r="61" spans="2:25">
      <c r="B61" t="s">
        <v>2553</v>
      </c>
      <c r="C61" t="s" vm="39">
        <v>701</v>
      </c>
      <c r="D61" t="s">
        <v>333</v>
      </c>
      <c r="E61" t="s">
        <v>485</v>
      </c>
      <c r="F61" t="s">
        <v>461</v>
      </c>
      <c r="G61" t="s">
        <v>473</v>
      </c>
      <c r="H61">
        <v>2</v>
      </c>
      <c r="I61" t="s">
        <v>458</v>
      </c>
      <c r="J61" t="s">
        <v>463</v>
      </c>
      <c r="K61">
        <v>2</v>
      </c>
      <c r="L61" t="s">
        <v>486</v>
      </c>
      <c r="M61" t="s">
        <v>1022</v>
      </c>
      <c r="N61" t="s">
        <v>450</v>
      </c>
      <c r="O61" t="s">
        <v>453</v>
      </c>
      <c r="P61" t="s">
        <v>421</v>
      </c>
      <c r="Q61">
        <v>0</v>
      </c>
      <c r="R61" t="s">
        <v>1494</v>
      </c>
      <c r="S61">
        <v>12</v>
      </c>
      <c r="T61" t="s">
        <v>1577</v>
      </c>
      <c r="U61" t="s">
        <v>492</v>
      </c>
      <c r="V61" t="s">
        <v>1181</v>
      </c>
      <c r="W61">
        <v>0</v>
      </c>
      <c r="X61" t="s">
        <v>401</v>
      </c>
      <c r="Y61" t="s">
        <v>2555</v>
      </c>
    </row>
    <row r="62" spans="2:25">
      <c r="B62" t="s">
        <v>2553</v>
      </c>
      <c r="C62" t="s" vm="39">
        <v>701</v>
      </c>
      <c r="D62" t="s">
        <v>333</v>
      </c>
      <c r="E62" t="s">
        <v>485</v>
      </c>
      <c r="F62" t="s">
        <v>461</v>
      </c>
      <c r="G62" t="s">
        <v>473</v>
      </c>
      <c r="H62">
        <v>2</v>
      </c>
      <c r="I62" t="s">
        <v>458</v>
      </c>
      <c r="J62" t="s">
        <v>463</v>
      </c>
      <c r="K62">
        <v>2</v>
      </c>
      <c r="L62" t="s">
        <v>486</v>
      </c>
      <c r="M62" t="s">
        <v>1022</v>
      </c>
      <c r="N62" t="s">
        <v>450</v>
      </c>
      <c r="O62" t="s">
        <v>453</v>
      </c>
      <c r="P62" t="s">
        <v>421</v>
      </c>
      <c r="Q62">
        <v>0</v>
      </c>
      <c r="R62" t="s">
        <v>159</v>
      </c>
      <c r="S62">
        <v>0</v>
      </c>
      <c r="T62" t="s">
        <v>1577</v>
      </c>
      <c r="U62" t="s">
        <v>492</v>
      </c>
      <c r="V62" t="s">
        <v>1181</v>
      </c>
      <c r="W62">
        <v>0</v>
      </c>
      <c r="X62" t="s">
        <v>401</v>
      </c>
      <c r="Y62" t="s">
        <v>2554</v>
      </c>
    </row>
    <row r="63" spans="2:25">
      <c r="B63" t="s">
        <v>2547</v>
      </c>
      <c r="C63" t="s" vm="39">
        <v>701</v>
      </c>
      <c r="D63" t="s">
        <v>330</v>
      </c>
      <c r="E63" t="s">
        <v>485</v>
      </c>
      <c r="F63" t="s">
        <v>461</v>
      </c>
      <c r="G63" t="s">
        <v>473</v>
      </c>
      <c r="H63">
        <v>2</v>
      </c>
      <c r="I63" t="s">
        <v>458</v>
      </c>
      <c r="J63" t="s">
        <v>463</v>
      </c>
      <c r="K63">
        <v>2</v>
      </c>
      <c r="L63" t="s">
        <v>486</v>
      </c>
      <c r="M63" t="s">
        <v>556</v>
      </c>
      <c r="N63" t="s">
        <v>450</v>
      </c>
      <c r="O63" t="s">
        <v>453</v>
      </c>
      <c r="P63" t="s">
        <v>157</v>
      </c>
      <c r="Q63">
        <v>12</v>
      </c>
      <c r="R63" t="s">
        <v>419</v>
      </c>
      <c r="S63">
        <v>12</v>
      </c>
      <c r="T63" t="s">
        <v>1516</v>
      </c>
      <c r="U63" t="s">
        <v>492</v>
      </c>
      <c r="V63" t="s">
        <v>1181</v>
      </c>
      <c r="W63">
        <v>0</v>
      </c>
      <c r="X63" t="s">
        <v>401</v>
      </c>
      <c r="Y63" t="s">
        <v>2552</v>
      </c>
    </row>
    <row r="64" spans="2:25">
      <c r="B64" t="s">
        <v>2547</v>
      </c>
      <c r="C64" t="s" vm="39">
        <v>701</v>
      </c>
      <c r="D64" t="s">
        <v>1019</v>
      </c>
      <c r="E64" t="s">
        <v>485</v>
      </c>
      <c r="F64" t="s">
        <v>461</v>
      </c>
      <c r="G64" t="s">
        <v>473</v>
      </c>
      <c r="H64">
        <v>2</v>
      </c>
      <c r="I64" t="s">
        <v>458</v>
      </c>
      <c r="J64" t="s">
        <v>463</v>
      </c>
      <c r="K64">
        <v>2</v>
      </c>
      <c r="L64" t="s">
        <v>486</v>
      </c>
      <c r="M64" t="s">
        <v>556</v>
      </c>
      <c r="N64" t="s">
        <v>450</v>
      </c>
      <c r="O64" t="s">
        <v>453</v>
      </c>
      <c r="P64" t="s">
        <v>157</v>
      </c>
      <c r="Q64">
        <v>12</v>
      </c>
      <c r="R64" t="s">
        <v>419</v>
      </c>
      <c r="S64">
        <v>12</v>
      </c>
      <c r="T64" t="s">
        <v>1516</v>
      </c>
      <c r="U64" t="s">
        <v>492</v>
      </c>
      <c r="V64" t="s">
        <v>1181</v>
      </c>
      <c r="W64">
        <v>0</v>
      </c>
      <c r="X64" t="s">
        <v>401</v>
      </c>
      <c r="Y64" t="s">
        <v>2551</v>
      </c>
    </row>
    <row r="65" spans="2:25">
      <c r="B65" t="s">
        <v>2547</v>
      </c>
      <c r="C65" t="s" vm="39">
        <v>701</v>
      </c>
      <c r="D65" t="s">
        <v>1019</v>
      </c>
      <c r="E65" t="s">
        <v>485</v>
      </c>
      <c r="F65" t="s">
        <v>461</v>
      </c>
      <c r="G65" t="s">
        <v>473</v>
      </c>
      <c r="H65">
        <v>2</v>
      </c>
      <c r="I65" t="s">
        <v>456</v>
      </c>
      <c r="J65" t="s">
        <v>463</v>
      </c>
      <c r="K65">
        <v>2</v>
      </c>
      <c r="L65" t="s">
        <v>486</v>
      </c>
      <c r="M65" t="s">
        <v>556</v>
      </c>
      <c r="N65" t="s">
        <v>450</v>
      </c>
      <c r="O65" t="s">
        <v>453</v>
      </c>
      <c r="P65" t="s">
        <v>157</v>
      </c>
      <c r="Q65">
        <v>12</v>
      </c>
      <c r="R65" t="s">
        <v>419</v>
      </c>
      <c r="S65">
        <v>12</v>
      </c>
      <c r="T65" t="s">
        <v>1516</v>
      </c>
      <c r="U65" t="s">
        <v>492</v>
      </c>
      <c r="V65" t="s">
        <v>1181</v>
      </c>
      <c r="W65">
        <v>0</v>
      </c>
      <c r="X65" t="s">
        <v>401</v>
      </c>
      <c r="Y65" t="s">
        <v>2550</v>
      </c>
    </row>
    <row r="66" spans="2:25">
      <c r="B66" t="s">
        <v>2547</v>
      </c>
      <c r="C66" t="s" vm="39">
        <v>701</v>
      </c>
      <c r="D66" t="s">
        <v>333</v>
      </c>
      <c r="E66" t="s">
        <v>485</v>
      </c>
      <c r="F66" t="s">
        <v>461</v>
      </c>
      <c r="G66" t="s">
        <v>473</v>
      </c>
      <c r="H66">
        <v>2</v>
      </c>
      <c r="I66" t="s">
        <v>456</v>
      </c>
      <c r="J66" t="s">
        <v>463</v>
      </c>
      <c r="K66">
        <v>2</v>
      </c>
      <c r="L66" t="s">
        <v>486</v>
      </c>
      <c r="M66" t="s">
        <v>556</v>
      </c>
      <c r="N66" t="s">
        <v>450</v>
      </c>
      <c r="O66" t="s">
        <v>453</v>
      </c>
      <c r="P66" t="s">
        <v>157</v>
      </c>
      <c r="Q66">
        <v>12</v>
      </c>
      <c r="R66" t="s">
        <v>419</v>
      </c>
      <c r="S66">
        <v>12</v>
      </c>
      <c r="T66" t="s">
        <v>1516</v>
      </c>
      <c r="U66" t="s">
        <v>492</v>
      </c>
      <c r="V66" t="s">
        <v>1181</v>
      </c>
      <c r="W66">
        <v>0</v>
      </c>
      <c r="X66" t="s">
        <v>401</v>
      </c>
      <c r="Y66" t="s">
        <v>2549</v>
      </c>
    </row>
    <row r="67" spans="2:25">
      <c r="B67" t="s">
        <v>2547</v>
      </c>
      <c r="C67" t="s" vm="39">
        <v>701</v>
      </c>
      <c r="D67" t="s">
        <v>333</v>
      </c>
      <c r="E67" t="s">
        <v>485</v>
      </c>
      <c r="F67" t="s">
        <v>461</v>
      </c>
      <c r="G67" t="s">
        <v>473</v>
      </c>
      <c r="H67">
        <v>2</v>
      </c>
      <c r="I67" t="s">
        <v>456</v>
      </c>
      <c r="J67" t="s">
        <v>463</v>
      </c>
      <c r="K67">
        <v>2</v>
      </c>
      <c r="L67" t="s">
        <v>486</v>
      </c>
      <c r="M67" t="s">
        <v>556</v>
      </c>
      <c r="N67" t="s">
        <v>450</v>
      </c>
      <c r="O67" t="s">
        <v>453</v>
      </c>
      <c r="P67" t="s">
        <v>157</v>
      </c>
      <c r="Q67">
        <v>12</v>
      </c>
      <c r="R67" t="s">
        <v>419</v>
      </c>
      <c r="S67">
        <v>12</v>
      </c>
      <c r="T67" t="s">
        <v>1516</v>
      </c>
      <c r="U67" t="s">
        <v>492</v>
      </c>
      <c r="V67" t="s">
        <v>1181</v>
      </c>
      <c r="W67">
        <v>0</v>
      </c>
      <c r="X67" t="s">
        <v>401</v>
      </c>
      <c r="Y67" t="s">
        <v>2549</v>
      </c>
    </row>
    <row r="68" spans="2:25">
      <c r="B68" t="s">
        <v>2547</v>
      </c>
      <c r="C68" t="s" vm="39">
        <v>701</v>
      </c>
      <c r="D68" t="s">
        <v>333</v>
      </c>
      <c r="E68" t="s">
        <v>485</v>
      </c>
      <c r="F68" t="s">
        <v>461</v>
      </c>
      <c r="G68" t="s">
        <v>473</v>
      </c>
      <c r="H68">
        <v>2</v>
      </c>
      <c r="I68" t="s">
        <v>456</v>
      </c>
      <c r="J68" t="s">
        <v>463</v>
      </c>
      <c r="K68">
        <v>2</v>
      </c>
      <c r="L68" t="s">
        <v>486</v>
      </c>
      <c r="M68" t="s">
        <v>556</v>
      </c>
      <c r="N68" t="s">
        <v>450</v>
      </c>
      <c r="O68" t="s">
        <v>453</v>
      </c>
      <c r="P68" t="s">
        <v>157</v>
      </c>
      <c r="Q68">
        <v>12</v>
      </c>
      <c r="R68" t="s">
        <v>419</v>
      </c>
      <c r="S68">
        <v>12</v>
      </c>
      <c r="T68" t="s">
        <v>1516</v>
      </c>
      <c r="U68" t="s">
        <v>492</v>
      </c>
      <c r="V68" t="s">
        <v>1181</v>
      </c>
      <c r="W68">
        <v>0</v>
      </c>
      <c r="X68" t="s">
        <v>401</v>
      </c>
      <c r="Y68" t="s">
        <v>2548</v>
      </c>
    </row>
    <row r="69" spans="2:25">
      <c r="B69" t="s">
        <v>2545</v>
      </c>
      <c r="C69" t="s" vm="39">
        <v>701</v>
      </c>
      <c r="D69" t="s">
        <v>102</v>
      </c>
      <c r="E69" t="s">
        <v>485</v>
      </c>
      <c r="F69" t="s">
        <v>461</v>
      </c>
      <c r="G69" t="s">
        <v>473</v>
      </c>
      <c r="H69">
        <v>2</v>
      </c>
      <c r="I69" t="s">
        <v>456</v>
      </c>
      <c r="J69" t="s">
        <v>463</v>
      </c>
      <c r="K69">
        <v>2</v>
      </c>
      <c r="L69" t="s">
        <v>486</v>
      </c>
      <c r="M69" t="s">
        <v>556</v>
      </c>
      <c r="N69" t="s">
        <v>450</v>
      </c>
      <c r="O69" t="s">
        <v>453</v>
      </c>
      <c r="P69" t="s">
        <v>157</v>
      </c>
      <c r="Q69">
        <v>6</v>
      </c>
      <c r="R69" t="s">
        <v>419</v>
      </c>
      <c r="S69">
        <v>12</v>
      </c>
      <c r="T69" t="s">
        <v>1485</v>
      </c>
      <c r="U69" t="s">
        <v>492</v>
      </c>
      <c r="V69" t="s">
        <v>1181</v>
      </c>
      <c r="W69">
        <v>0</v>
      </c>
      <c r="X69" t="s">
        <v>2129</v>
      </c>
      <c r="Y69" t="s">
        <v>2546</v>
      </c>
    </row>
    <row r="70" spans="2:25">
      <c r="B70" t="s">
        <v>2543</v>
      </c>
      <c r="C70" t="s" vm="39">
        <v>701</v>
      </c>
      <c r="D70" t="s">
        <v>102</v>
      </c>
      <c r="E70" t="s">
        <v>485</v>
      </c>
      <c r="F70" t="s">
        <v>461</v>
      </c>
      <c r="G70" t="s">
        <v>473</v>
      </c>
      <c r="H70">
        <v>2</v>
      </c>
      <c r="I70" t="s">
        <v>456</v>
      </c>
      <c r="J70" t="s">
        <v>463</v>
      </c>
      <c r="K70">
        <v>2</v>
      </c>
      <c r="L70" t="s">
        <v>486</v>
      </c>
      <c r="M70" t="s">
        <v>556</v>
      </c>
      <c r="N70" t="s">
        <v>450</v>
      </c>
      <c r="O70" t="s">
        <v>453</v>
      </c>
      <c r="P70" t="s">
        <v>157</v>
      </c>
      <c r="Q70">
        <v>6</v>
      </c>
      <c r="R70" t="s">
        <v>419</v>
      </c>
      <c r="S70">
        <v>12</v>
      </c>
      <c r="T70" t="s">
        <v>1485</v>
      </c>
      <c r="U70" t="s">
        <v>492</v>
      </c>
      <c r="V70" t="s">
        <v>1181</v>
      </c>
      <c r="W70">
        <v>0</v>
      </c>
      <c r="X70" t="s">
        <v>2129</v>
      </c>
      <c r="Y70" t="s">
        <v>2544</v>
      </c>
    </row>
    <row r="71" spans="2:25">
      <c r="B71" t="s">
        <v>2541</v>
      </c>
      <c r="C71" t="s" vm="39">
        <v>701</v>
      </c>
      <c r="D71" t="s">
        <v>102</v>
      </c>
      <c r="E71" t="s">
        <v>485</v>
      </c>
      <c r="F71" t="s">
        <v>461</v>
      </c>
      <c r="G71" t="s">
        <v>473</v>
      </c>
      <c r="H71">
        <v>2</v>
      </c>
      <c r="I71" t="s">
        <v>458</v>
      </c>
      <c r="J71" t="s">
        <v>462</v>
      </c>
      <c r="K71">
        <v>2</v>
      </c>
      <c r="L71" t="s">
        <v>486</v>
      </c>
      <c r="M71" t="s">
        <v>556</v>
      </c>
      <c r="N71" t="s">
        <v>450</v>
      </c>
      <c r="O71" t="s">
        <v>453</v>
      </c>
      <c r="P71" t="s">
        <v>157</v>
      </c>
      <c r="Q71">
        <v>12</v>
      </c>
      <c r="R71" t="s">
        <v>419</v>
      </c>
      <c r="S71">
        <v>12</v>
      </c>
      <c r="T71" t="s">
        <v>1516</v>
      </c>
      <c r="U71" t="s">
        <v>492</v>
      </c>
      <c r="V71" t="s">
        <v>1181</v>
      </c>
      <c r="W71">
        <v>0</v>
      </c>
      <c r="X71" t="s">
        <v>2129</v>
      </c>
      <c r="Y71" t="s">
        <v>2542</v>
      </c>
    </row>
    <row r="72" spans="2:25">
      <c r="B72" t="s">
        <v>2538</v>
      </c>
      <c r="C72" t="s" vm="39">
        <v>701</v>
      </c>
      <c r="D72" t="s">
        <v>100</v>
      </c>
      <c r="E72" t="s">
        <v>485</v>
      </c>
      <c r="F72" t="s">
        <v>461</v>
      </c>
      <c r="G72" t="s">
        <v>473</v>
      </c>
      <c r="H72">
        <v>1</v>
      </c>
      <c r="I72" t="s">
        <v>456</v>
      </c>
      <c r="J72" t="s">
        <v>463</v>
      </c>
      <c r="K72">
        <v>2</v>
      </c>
      <c r="L72" t="s">
        <v>486</v>
      </c>
      <c r="M72" t="s">
        <v>556</v>
      </c>
      <c r="N72" t="s">
        <v>450</v>
      </c>
      <c r="O72" t="s">
        <v>453</v>
      </c>
      <c r="P72" t="s">
        <v>157</v>
      </c>
      <c r="Q72">
        <v>8</v>
      </c>
      <c r="R72" t="s">
        <v>419</v>
      </c>
      <c r="S72">
        <v>8</v>
      </c>
      <c r="T72" t="s">
        <v>1516</v>
      </c>
      <c r="U72" t="s">
        <v>492</v>
      </c>
      <c r="V72" t="s">
        <v>1181</v>
      </c>
      <c r="W72">
        <v>0</v>
      </c>
      <c r="X72" t="s">
        <v>2129</v>
      </c>
      <c r="Y72" t="s">
        <v>2539</v>
      </c>
    </row>
    <row r="73" spans="2:25">
      <c r="B73" t="s">
        <v>2532</v>
      </c>
      <c r="C73" t="s" vm="39">
        <v>701</v>
      </c>
      <c r="D73" t="s">
        <v>1019</v>
      </c>
      <c r="E73" t="s">
        <v>485</v>
      </c>
      <c r="F73" t="s">
        <v>461</v>
      </c>
      <c r="G73" t="s">
        <v>473</v>
      </c>
      <c r="H73">
        <v>1</v>
      </c>
      <c r="I73" t="s">
        <v>458</v>
      </c>
      <c r="J73" t="s">
        <v>463</v>
      </c>
      <c r="K73">
        <v>1</v>
      </c>
      <c r="L73" t="s">
        <v>486</v>
      </c>
      <c r="M73" t="s">
        <v>1022</v>
      </c>
      <c r="N73" t="s">
        <v>450</v>
      </c>
      <c r="O73" t="s">
        <v>453</v>
      </c>
      <c r="P73" t="s">
        <v>157</v>
      </c>
      <c r="Q73">
        <v>12</v>
      </c>
      <c r="R73" t="s">
        <v>419</v>
      </c>
      <c r="S73">
        <v>12</v>
      </c>
      <c r="T73" t="s">
        <v>402</v>
      </c>
      <c r="U73" t="s">
        <v>492</v>
      </c>
      <c r="V73" t="s">
        <v>1181</v>
      </c>
      <c r="W73">
        <v>0</v>
      </c>
      <c r="X73" t="s">
        <v>401</v>
      </c>
      <c r="Y73" t="s">
        <v>2537</v>
      </c>
    </row>
    <row r="74" spans="2:25">
      <c r="B74" t="s">
        <v>2532</v>
      </c>
      <c r="C74" t="s" vm="39">
        <v>701</v>
      </c>
      <c r="D74" t="s">
        <v>100</v>
      </c>
      <c r="E74" t="s">
        <v>485</v>
      </c>
      <c r="F74" t="s">
        <v>217</v>
      </c>
      <c r="G74" t="s">
        <v>473</v>
      </c>
      <c r="H74">
        <v>1</v>
      </c>
      <c r="I74" t="s">
        <v>457</v>
      </c>
      <c r="J74" t="s">
        <v>464</v>
      </c>
      <c r="K74">
        <v>1</v>
      </c>
      <c r="L74" t="s">
        <v>486</v>
      </c>
      <c r="M74" t="s">
        <v>2528</v>
      </c>
      <c r="N74" t="s">
        <v>450</v>
      </c>
      <c r="O74" t="s">
        <v>453</v>
      </c>
      <c r="P74" t="s">
        <v>158</v>
      </c>
      <c r="Q74">
        <v>8</v>
      </c>
      <c r="R74" t="s">
        <v>419</v>
      </c>
      <c r="S74">
        <v>8</v>
      </c>
      <c r="T74" t="s">
        <v>1516</v>
      </c>
      <c r="U74" t="s">
        <v>492</v>
      </c>
      <c r="V74" t="s">
        <v>1181</v>
      </c>
      <c r="W74">
        <v>0</v>
      </c>
      <c r="X74" t="s">
        <v>2129</v>
      </c>
      <c r="Y74" t="s">
        <v>2536</v>
      </c>
    </row>
    <row r="75" spans="2:25">
      <c r="B75" t="s">
        <v>2532</v>
      </c>
      <c r="C75" t="s" vm="39">
        <v>701</v>
      </c>
      <c r="D75" t="s">
        <v>100</v>
      </c>
      <c r="E75" t="s">
        <v>485</v>
      </c>
      <c r="F75" t="s">
        <v>217</v>
      </c>
      <c r="G75" t="s">
        <v>473</v>
      </c>
      <c r="H75">
        <v>1</v>
      </c>
      <c r="I75" t="s">
        <v>457</v>
      </c>
      <c r="J75" t="s">
        <v>464</v>
      </c>
      <c r="K75">
        <v>1</v>
      </c>
      <c r="L75" t="s">
        <v>486</v>
      </c>
      <c r="M75" t="s">
        <v>2528</v>
      </c>
      <c r="N75" t="s">
        <v>450</v>
      </c>
      <c r="O75" t="s">
        <v>453</v>
      </c>
      <c r="P75" t="s">
        <v>157</v>
      </c>
      <c r="Q75">
        <v>8</v>
      </c>
      <c r="R75" t="s">
        <v>419</v>
      </c>
      <c r="S75">
        <v>8</v>
      </c>
      <c r="T75" t="s">
        <v>1516</v>
      </c>
      <c r="U75" t="s">
        <v>492</v>
      </c>
      <c r="V75" t="s">
        <v>1181</v>
      </c>
      <c r="W75">
        <v>0</v>
      </c>
      <c r="X75" t="s">
        <v>2129</v>
      </c>
      <c r="Y75" t="s">
        <v>2535</v>
      </c>
    </row>
    <row r="76" spans="2:25">
      <c r="B76" t="s">
        <v>2532</v>
      </c>
      <c r="C76" t="s" vm="39">
        <v>701</v>
      </c>
      <c r="D76" t="s">
        <v>100</v>
      </c>
      <c r="E76" t="s">
        <v>485</v>
      </c>
      <c r="F76" t="s">
        <v>217</v>
      </c>
      <c r="G76" t="s">
        <v>473</v>
      </c>
      <c r="H76">
        <v>1</v>
      </c>
      <c r="I76" t="s">
        <v>458</v>
      </c>
      <c r="J76" t="s">
        <v>462</v>
      </c>
      <c r="K76">
        <v>1</v>
      </c>
      <c r="L76" t="s">
        <v>486</v>
      </c>
      <c r="M76" t="s">
        <v>2528</v>
      </c>
      <c r="N76" t="s">
        <v>450</v>
      </c>
      <c r="O76" t="s">
        <v>453</v>
      </c>
      <c r="P76" t="s">
        <v>157</v>
      </c>
      <c r="Q76">
        <v>8</v>
      </c>
      <c r="R76" t="s">
        <v>416</v>
      </c>
      <c r="S76">
        <v>8</v>
      </c>
      <c r="T76" t="s">
        <v>1485</v>
      </c>
      <c r="U76" t="s">
        <v>492</v>
      </c>
      <c r="V76" t="s">
        <v>1181</v>
      </c>
      <c r="W76">
        <v>0</v>
      </c>
      <c r="X76" t="s">
        <v>2129</v>
      </c>
      <c r="Y76" t="s">
        <v>2534</v>
      </c>
    </row>
    <row r="77" spans="2:25">
      <c r="B77" t="s">
        <v>2532</v>
      </c>
      <c r="C77" t="s" vm="39">
        <v>701</v>
      </c>
      <c r="D77" t="s">
        <v>333</v>
      </c>
      <c r="E77" t="s">
        <v>485</v>
      </c>
      <c r="F77" t="s">
        <v>461</v>
      </c>
      <c r="G77" t="s">
        <v>473</v>
      </c>
      <c r="H77">
        <v>1</v>
      </c>
      <c r="I77" t="s">
        <v>456</v>
      </c>
      <c r="J77" t="s">
        <v>462</v>
      </c>
      <c r="K77">
        <v>2</v>
      </c>
      <c r="L77" t="s">
        <v>486</v>
      </c>
      <c r="M77" t="s">
        <v>2528</v>
      </c>
      <c r="N77" t="s">
        <v>450</v>
      </c>
      <c r="O77" t="s">
        <v>453</v>
      </c>
      <c r="P77" t="s">
        <v>157</v>
      </c>
      <c r="Q77">
        <v>12</v>
      </c>
      <c r="R77" t="s">
        <v>419</v>
      </c>
      <c r="S77">
        <v>12</v>
      </c>
      <c r="T77" t="s">
        <v>1516</v>
      </c>
      <c r="U77" t="s">
        <v>492</v>
      </c>
      <c r="V77" t="s">
        <v>1181</v>
      </c>
      <c r="W77">
        <v>0</v>
      </c>
      <c r="X77" t="s">
        <v>2129</v>
      </c>
      <c r="Y77" t="s">
        <v>2533</v>
      </c>
    </row>
    <row r="78" spans="2:25">
      <c r="B78" t="s">
        <v>2530</v>
      </c>
      <c r="C78" t="s" vm="39">
        <v>701</v>
      </c>
      <c r="D78" t="s">
        <v>1019</v>
      </c>
      <c r="E78" t="s">
        <v>485</v>
      </c>
      <c r="F78" t="s">
        <v>461</v>
      </c>
      <c r="G78" t="s">
        <v>473</v>
      </c>
      <c r="H78">
        <v>2</v>
      </c>
      <c r="I78" t="s">
        <v>456</v>
      </c>
      <c r="J78" t="s">
        <v>463</v>
      </c>
      <c r="K78">
        <v>2</v>
      </c>
      <c r="L78" t="s">
        <v>486</v>
      </c>
      <c r="M78" t="s">
        <v>2528</v>
      </c>
      <c r="N78" t="s">
        <v>450</v>
      </c>
      <c r="O78" t="s">
        <v>453</v>
      </c>
      <c r="P78" t="s">
        <v>157</v>
      </c>
      <c r="Q78">
        <v>12</v>
      </c>
      <c r="R78" t="s">
        <v>419</v>
      </c>
      <c r="S78">
        <v>12</v>
      </c>
      <c r="T78" t="s">
        <v>402</v>
      </c>
      <c r="U78" t="s">
        <v>492</v>
      </c>
      <c r="V78" t="s">
        <v>1181</v>
      </c>
      <c r="W78">
        <v>0</v>
      </c>
      <c r="X78" t="s">
        <v>401</v>
      </c>
      <c r="Y78" t="s">
        <v>2531</v>
      </c>
    </row>
    <row r="79" spans="2:25">
      <c r="B79" t="s">
        <v>2526</v>
      </c>
      <c r="C79" t="s" vm="39">
        <v>701</v>
      </c>
      <c r="D79" t="s">
        <v>333</v>
      </c>
      <c r="E79" t="s">
        <v>485</v>
      </c>
      <c r="F79" t="s">
        <v>461</v>
      </c>
      <c r="G79" t="s">
        <v>473</v>
      </c>
      <c r="H79">
        <v>1</v>
      </c>
      <c r="I79" t="s">
        <v>456</v>
      </c>
      <c r="J79" t="s">
        <v>463</v>
      </c>
      <c r="K79">
        <v>2</v>
      </c>
      <c r="L79" t="s">
        <v>486</v>
      </c>
      <c r="M79" t="s">
        <v>2528</v>
      </c>
      <c r="N79" t="s">
        <v>450</v>
      </c>
      <c r="O79" t="s">
        <v>453</v>
      </c>
      <c r="P79" t="s">
        <v>157</v>
      </c>
      <c r="Q79">
        <v>6</v>
      </c>
      <c r="R79" t="s">
        <v>419</v>
      </c>
      <c r="S79">
        <v>12</v>
      </c>
      <c r="T79" t="s">
        <v>2525</v>
      </c>
      <c r="U79" t="s">
        <v>492</v>
      </c>
      <c r="V79" t="s">
        <v>1181</v>
      </c>
      <c r="W79">
        <v>0</v>
      </c>
      <c r="X79" t="s">
        <v>401</v>
      </c>
      <c r="Y79" t="s">
        <v>2529</v>
      </c>
    </row>
    <row r="80" spans="2:25">
      <c r="B80" t="s">
        <v>2526</v>
      </c>
      <c r="C80" t="s" vm="39">
        <v>701</v>
      </c>
      <c r="D80" t="s">
        <v>333</v>
      </c>
      <c r="E80" t="s">
        <v>485</v>
      </c>
      <c r="F80" t="s">
        <v>461</v>
      </c>
      <c r="G80" t="s">
        <v>473</v>
      </c>
      <c r="H80">
        <v>1</v>
      </c>
      <c r="I80" t="s">
        <v>456</v>
      </c>
      <c r="J80" t="s">
        <v>463</v>
      </c>
      <c r="K80">
        <v>2</v>
      </c>
      <c r="L80" t="s">
        <v>486</v>
      </c>
      <c r="M80" t="s">
        <v>556</v>
      </c>
      <c r="N80" t="s">
        <v>450</v>
      </c>
      <c r="O80" t="s">
        <v>453</v>
      </c>
      <c r="P80" t="s">
        <v>157</v>
      </c>
      <c r="Q80">
        <v>12</v>
      </c>
      <c r="R80" t="s">
        <v>419</v>
      </c>
      <c r="S80">
        <v>12</v>
      </c>
      <c r="T80" t="s">
        <v>2525</v>
      </c>
      <c r="U80" t="s">
        <v>492</v>
      </c>
      <c r="V80" t="s">
        <v>1181</v>
      </c>
      <c r="W80">
        <v>0</v>
      </c>
      <c r="X80" t="s">
        <v>401</v>
      </c>
      <c r="Y80" t="s">
        <v>2527</v>
      </c>
    </row>
    <row r="81" spans="2:25">
      <c r="B81" t="s">
        <v>2519</v>
      </c>
      <c r="C81" t="s" vm="39">
        <v>701</v>
      </c>
      <c r="D81" t="s">
        <v>102</v>
      </c>
      <c r="E81" t="s">
        <v>485</v>
      </c>
      <c r="F81" t="s">
        <v>461</v>
      </c>
      <c r="G81" t="s">
        <v>473</v>
      </c>
      <c r="H81">
        <v>1</v>
      </c>
      <c r="I81" t="s">
        <v>456</v>
      </c>
      <c r="J81" t="s">
        <v>463</v>
      </c>
      <c r="K81">
        <v>2</v>
      </c>
      <c r="L81" t="s">
        <v>486</v>
      </c>
      <c r="M81" t="s">
        <v>556</v>
      </c>
      <c r="N81" t="s">
        <v>450</v>
      </c>
      <c r="O81" t="s">
        <v>453</v>
      </c>
      <c r="P81" t="s">
        <v>158</v>
      </c>
      <c r="Q81">
        <v>6</v>
      </c>
      <c r="R81" t="s">
        <v>419</v>
      </c>
      <c r="S81">
        <v>12</v>
      </c>
      <c r="T81" t="s">
        <v>2523</v>
      </c>
      <c r="U81" t="s">
        <v>492</v>
      </c>
      <c r="V81" t="s">
        <v>1181</v>
      </c>
      <c r="W81" t="s">
        <v>477</v>
      </c>
      <c r="X81" t="s">
        <v>2129</v>
      </c>
      <c r="Y81" t="s">
        <v>2524</v>
      </c>
    </row>
    <row r="82" spans="2:25">
      <c r="B82" t="s">
        <v>2519</v>
      </c>
      <c r="C82" t="s" vm="39">
        <v>701</v>
      </c>
      <c r="D82" t="s">
        <v>102</v>
      </c>
      <c r="E82" t="s">
        <v>485</v>
      </c>
      <c r="F82" t="s">
        <v>461</v>
      </c>
      <c r="G82" t="s">
        <v>473</v>
      </c>
      <c r="H82">
        <v>1</v>
      </c>
      <c r="I82" t="s">
        <v>456</v>
      </c>
      <c r="J82" t="s">
        <v>463</v>
      </c>
      <c r="K82">
        <v>2</v>
      </c>
      <c r="L82" t="s">
        <v>486</v>
      </c>
      <c r="M82" t="s">
        <v>556</v>
      </c>
      <c r="N82" t="s">
        <v>450</v>
      </c>
      <c r="O82" t="s">
        <v>453</v>
      </c>
      <c r="P82" t="s">
        <v>158</v>
      </c>
      <c r="Q82">
        <v>6</v>
      </c>
      <c r="R82" t="s">
        <v>419</v>
      </c>
      <c r="S82">
        <v>12</v>
      </c>
      <c r="T82" t="s">
        <v>2523</v>
      </c>
      <c r="U82" t="s">
        <v>492</v>
      </c>
      <c r="V82" t="s">
        <v>1181</v>
      </c>
      <c r="W82" t="s">
        <v>477</v>
      </c>
      <c r="X82" t="s">
        <v>2129</v>
      </c>
      <c r="Y82" t="s">
        <v>2524</v>
      </c>
    </row>
    <row r="83" spans="2:25">
      <c r="B83" t="s">
        <v>2519</v>
      </c>
      <c r="C83" t="s" vm="39">
        <v>701</v>
      </c>
      <c r="D83" t="s">
        <v>102</v>
      </c>
      <c r="E83" t="s">
        <v>485</v>
      </c>
      <c r="F83" t="s">
        <v>461</v>
      </c>
      <c r="G83" t="s">
        <v>473</v>
      </c>
      <c r="H83">
        <v>1</v>
      </c>
      <c r="I83" t="s">
        <v>456</v>
      </c>
      <c r="J83" t="s">
        <v>463</v>
      </c>
      <c r="K83">
        <v>2</v>
      </c>
      <c r="L83" t="s">
        <v>486</v>
      </c>
      <c r="M83" t="s">
        <v>556</v>
      </c>
      <c r="N83" t="s">
        <v>450</v>
      </c>
      <c r="O83" t="s">
        <v>453</v>
      </c>
      <c r="P83" t="s">
        <v>158</v>
      </c>
      <c r="Q83">
        <v>6</v>
      </c>
      <c r="R83" t="s">
        <v>419</v>
      </c>
      <c r="S83">
        <v>12</v>
      </c>
      <c r="T83" t="s">
        <v>1485</v>
      </c>
      <c r="U83" t="s">
        <v>492</v>
      </c>
      <c r="V83" t="s">
        <v>1181</v>
      </c>
      <c r="W83" t="s">
        <v>477</v>
      </c>
      <c r="X83" t="s">
        <v>2129</v>
      </c>
      <c r="Y83" t="s">
        <v>2522</v>
      </c>
    </row>
    <row r="84" spans="2:25">
      <c r="B84" t="s">
        <v>2519</v>
      </c>
      <c r="C84" t="s" vm="39">
        <v>701</v>
      </c>
      <c r="D84" t="s">
        <v>102</v>
      </c>
      <c r="E84" t="s">
        <v>485</v>
      </c>
      <c r="F84" t="s">
        <v>461</v>
      </c>
      <c r="G84" t="s">
        <v>473</v>
      </c>
      <c r="H84">
        <v>1</v>
      </c>
      <c r="I84" t="s">
        <v>456</v>
      </c>
      <c r="J84" t="s">
        <v>463</v>
      </c>
      <c r="K84">
        <v>2</v>
      </c>
      <c r="L84" t="s">
        <v>486</v>
      </c>
      <c r="M84" t="s">
        <v>556</v>
      </c>
      <c r="N84" t="s">
        <v>450</v>
      </c>
      <c r="O84" t="s">
        <v>453</v>
      </c>
      <c r="P84" t="s">
        <v>158</v>
      </c>
      <c r="Q84">
        <v>6</v>
      </c>
      <c r="R84" t="s">
        <v>419</v>
      </c>
      <c r="S84">
        <v>12</v>
      </c>
      <c r="T84" t="s">
        <v>2517</v>
      </c>
      <c r="U84" t="s">
        <v>492</v>
      </c>
      <c r="V84" t="s">
        <v>1181</v>
      </c>
      <c r="W84" t="s">
        <v>477</v>
      </c>
      <c r="X84" t="s">
        <v>2129</v>
      </c>
      <c r="Y84" t="s">
        <v>2521</v>
      </c>
    </row>
    <row r="85" spans="2:25">
      <c r="B85" t="s">
        <v>2519</v>
      </c>
      <c r="C85" t="s" vm="39">
        <v>701</v>
      </c>
      <c r="D85" t="s">
        <v>102</v>
      </c>
      <c r="E85" t="s">
        <v>485</v>
      </c>
      <c r="F85" t="s">
        <v>461</v>
      </c>
      <c r="G85" t="s">
        <v>473</v>
      </c>
      <c r="H85">
        <v>1</v>
      </c>
      <c r="I85" t="s">
        <v>456</v>
      </c>
      <c r="J85" t="s">
        <v>463</v>
      </c>
      <c r="K85">
        <v>2</v>
      </c>
      <c r="L85" t="s">
        <v>486</v>
      </c>
      <c r="M85" t="s">
        <v>556</v>
      </c>
      <c r="N85" t="s">
        <v>450</v>
      </c>
      <c r="O85" t="s">
        <v>453</v>
      </c>
      <c r="P85" t="s">
        <v>158</v>
      </c>
      <c r="Q85">
        <v>6</v>
      </c>
      <c r="R85" t="s">
        <v>419</v>
      </c>
      <c r="S85">
        <v>12</v>
      </c>
      <c r="T85" t="s">
        <v>2517</v>
      </c>
      <c r="U85" t="s">
        <v>492</v>
      </c>
      <c r="V85" t="s">
        <v>1181</v>
      </c>
      <c r="W85" t="s">
        <v>2518</v>
      </c>
      <c r="X85" t="s">
        <v>2129</v>
      </c>
      <c r="Y85" t="s">
        <v>2520</v>
      </c>
    </row>
    <row r="86" spans="2:25">
      <c r="B86" t="s">
        <v>2513</v>
      </c>
      <c r="C86" t="s" vm="39">
        <v>701</v>
      </c>
      <c r="D86" t="s">
        <v>100</v>
      </c>
      <c r="E86" t="s">
        <v>485</v>
      </c>
      <c r="F86" t="s">
        <v>461</v>
      </c>
      <c r="G86" t="s">
        <v>473</v>
      </c>
      <c r="H86">
        <v>1</v>
      </c>
      <c r="I86" t="s">
        <v>456</v>
      </c>
      <c r="J86" t="s">
        <v>463</v>
      </c>
      <c r="K86">
        <v>2</v>
      </c>
      <c r="L86" t="s">
        <v>486</v>
      </c>
      <c r="M86" t="s">
        <v>556</v>
      </c>
      <c r="N86" t="s">
        <v>450</v>
      </c>
      <c r="O86" t="s">
        <v>453</v>
      </c>
      <c r="P86" t="s">
        <v>158</v>
      </c>
      <c r="Q86">
        <v>8</v>
      </c>
      <c r="R86" t="s">
        <v>419</v>
      </c>
      <c r="S86">
        <v>8</v>
      </c>
      <c r="T86" t="s">
        <v>1485</v>
      </c>
      <c r="U86" t="s">
        <v>492</v>
      </c>
      <c r="V86" t="s">
        <v>1181</v>
      </c>
      <c r="W86" t="s">
        <v>399</v>
      </c>
      <c r="X86" t="s">
        <v>2129</v>
      </c>
      <c r="Y86" t="s">
        <v>2514</v>
      </c>
    </row>
    <row r="87" spans="2:25">
      <c r="B87" t="s">
        <v>2513</v>
      </c>
      <c r="C87" t="s" vm="39">
        <v>701</v>
      </c>
      <c r="D87" t="s">
        <v>100</v>
      </c>
      <c r="E87" t="s">
        <v>485</v>
      </c>
      <c r="F87" t="s">
        <v>461</v>
      </c>
      <c r="G87" t="s">
        <v>473</v>
      </c>
      <c r="H87">
        <v>1</v>
      </c>
      <c r="I87" t="s">
        <v>456</v>
      </c>
      <c r="J87" t="s">
        <v>463</v>
      </c>
      <c r="K87">
        <v>2</v>
      </c>
      <c r="L87" t="s">
        <v>486</v>
      </c>
      <c r="M87" t="s">
        <v>556</v>
      </c>
      <c r="N87" t="s">
        <v>450</v>
      </c>
      <c r="O87" t="s">
        <v>453</v>
      </c>
      <c r="P87" t="s">
        <v>157</v>
      </c>
      <c r="Q87">
        <v>8</v>
      </c>
      <c r="R87" t="s">
        <v>419</v>
      </c>
      <c r="S87">
        <v>8</v>
      </c>
      <c r="T87" t="s">
        <v>1485</v>
      </c>
      <c r="U87" t="s">
        <v>492</v>
      </c>
      <c r="V87" t="s">
        <v>1181</v>
      </c>
      <c r="W87" t="s">
        <v>399</v>
      </c>
      <c r="X87" t="s">
        <v>2129</v>
      </c>
      <c r="Y87" t="s">
        <v>2515</v>
      </c>
    </row>
    <row r="88" spans="2:25">
      <c r="B88" t="s">
        <v>2513</v>
      </c>
      <c r="C88" t="s" vm="39">
        <v>701</v>
      </c>
      <c r="D88" t="s">
        <v>100</v>
      </c>
      <c r="E88" t="s">
        <v>485</v>
      </c>
      <c r="F88" t="s">
        <v>461</v>
      </c>
      <c r="G88" t="s">
        <v>473</v>
      </c>
      <c r="H88">
        <v>1</v>
      </c>
      <c r="I88" t="s">
        <v>456</v>
      </c>
      <c r="J88" t="s">
        <v>463</v>
      </c>
      <c r="K88">
        <v>2</v>
      </c>
      <c r="L88" t="s">
        <v>486</v>
      </c>
      <c r="M88" t="s">
        <v>556</v>
      </c>
      <c r="N88" t="s">
        <v>450</v>
      </c>
      <c r="O88" t="s">
        <v>453</v>
      </c>
      <c r="P88" t="s">
        <v>158</v>
      </c>
      <c r="Q88">
        <v>8</v>
      </c>
      <c r="R88" t="s">
        <v>419</v>
      </c>
      <c r="S88">
        <v>8</v>
      </c>
      <c r="T88" t="s">
        <v>1485</v>
      </c>
      <c r="U88" t="s">
        <v>492</v>
      </c>
      <c r="V88" t="s">
        <v>1181</v>
      </c>
      <c r="W88" t="s">
        <v>399</v>
      </c>
      <c r="X88" t="s">
        <v>2129</v>
      </c>
      <c r="Y88" t="s">
        <v>2514</v>
      </c>
    </row>
    <row r="89" spans="2:25">
      <c r="B89" t="s">
        <v>2509</v>
      </c>
      <c r="C89" t="s" vm="39">
        <v>701</v>
      </c>
      <c r="D89" t="s">
        <v>102</v>
      </c>
      <c r="E89" t="s">
        <v>485</v>
      </c>
      <c r="F89" t="s">
        <v>461</v>
      </c>
      <c r="G89" t="s">
        <v>473</v>
      </c>
      <c r="H89">
        <v>1</v>
      </c>
      <c r="I89" t="s">
        <v>456</v>
      </c>
      <c r="J89" t="s">
        <v>463</v>
      </c>
      <c r="K89">
        <v>2</v>
      </c>
      <c r="L89" t="s">
        <v>486</v>
      </c>
      <c r="M89" t="s">
        <v>556</v>
      </c>
      <c r="N89" t="s">
        <v>450</v>
      </c>
      <c r="O89" t="s">
        <v>453</v>
      </c>
      <c r="P89" t="s">
        <v>157</v>
      </c>
      <c r="Q89">
        <v>12</v>
      </c>
      <c r="R89" t="s">
        <v>419</v>
      </c>
      <c r="S89">
        <v>12</v>
      </c>
      <c r="T89" t="s">
        <v>1516</v>
      </c>
      <c r="U89" t="s">
        <v>492</v>
      </c>
      <c r="V89" t="s">
        <v>1181</v>
      </c>
      <c r="W89" t="s">
        <v>399</v>
      </c>
      <c r="X89" t="s">
        <v>401</v>
      </c>
      <c r="Y89" t="s">
        <v>2512</v>
      </c>
    </row>
    <row r="90" spans="2:25">
      <c r="B90" t="s">
        <v>2509</v>
      </c>
      <c r="C90" t="s" vm="39">
        <v>701</v>
      </c>
      <c r="D90" t="s">
        <v>100</v>
      </c>
      <c r="E90" t="s">
        <v>485</v>
      </c>
      <c r="F90" t="s">
        <v>461</v>
      </c>
      <c r="G90" t="s">
        <v>473</v>
      </c>
      <c r="H90">
        <v>1</v>
      </c>
      <c r="I90" t="s">
        <v>456</v>
      </c>
      <c r="J90" t="s">
        <v>463</v>
      </c>
      <c r="K90">
        <v>2</v>
      </c>
      <c r="L90" t="s">
        <v>486</v>
      </c>
      <c r="M90" t="s">
        <v>556</v>
      </c>
      <c r="N90" t="s">
        <v>450</v>
      </c>
      <c r="O90" t="s">
        <v>453</v>
      </c>
      <c r="P90" t="s">
        <v>157</v>
      </c>
      <c r="Q90">
        <v>12</v>
      </c>
      <c r="R90" t="s">
        <v>419</v>
      </c>
      <c r="S90">
        <v>12</v>
      </c>
      <c r="T90" t="s">
        <v>1516</v>
      </c>
      <c r="U90" t="s">
        <v>492</v>
      </c>
      <c r="V90" t="s">
        <v>1181</v>
      </c>
      <c r="W90" t="s">
        <v>399</v>
      </c>
      <c r="X90" t="s">
        <v>401</v>
      </c>
      <c r="Y90" t="s">
        <v>2511</v>
      </c>
    </row>
    <row r="91" spans="2:25">
      <c r="B91" t="s">
        <v>2509</v>
      </c>
      <c r="C91" t="s" vm="39">
        <v>701</v>
      </c>
      <c r="D91" t="s">
        <v>100</v>
      </c>
      <c r="E91" t="s">
        <v>485</v>
      </c>
      <c r="F91" t="s">
        <v>461</v>
      </c>
      <c r="G91" t="s">
        <v>123</v>
      </c>
      <c r="H91" t="s">
        <v>123</v>
      </c>
      <c r="I91" t="s">
        <v>456</v>
      </c>
      <c r="J91" t="s">
        <v>463</v>
      </c>
      <c r="K91">
        <v>2</v>
      </c>
      <c r="L91" t="s">
        <v>486</v>
      </c>
      <c r="M91" t="s">
        <v>556</v>
      </c>
      <c r="N91" t="s">
        <v>450</v>
      </c>
      <c r="O91" t="s">
        <v>453</v>
      </c>
      <c r="P91" t="s">
        <v>157</v>
      </c>
      <c r="Q91">
        <v>8</v>
      </c>
      <c r="R91" t="s">
        <v>419</v>
      </c>
      <c r="S91">
        <v>8</v>
      </c>
      <c r="T91" t="s">
        <v>1516</v>
      </c>
      <c r="U91" t="s">
        <v>492</v>
      </c>
      <c r="V91" t="s">
        <v>1181</v>
      </c>
      <c r="W91" t="s">
        <v>399</v>
      </c>
      <c r="X91" t="s">
        <v>2129</v>
      </c>
      <c r="Y91" t="s">
        <v>2510</v>
      </c>
    </row>
    <row r="92" spans="2:25">
      <c r="B92" t="s">
        <v>2505</v>
      </c>
      <c r="C92" t="s" vm="39">
        <v>701</v>
      </c>
      <c r="D92" t="s">
        <v>333</v>
      </c>
      <c r="E92" t="s">
        <v>485</v>
      </c>
      <c r="F92" t="s">
        <v>461</v>
      </c>
      <c r="G92" t="s">
        <v>473</v>
      </c>
      <c r="H92">
        <v>2</v>
      </c>
      <c r="I92" t="s">
        <v>456</v>
      </c>
      <c r="J92" t="s">
        <v>464</v>
      </c>
      <c r="K92">
        <v>2</v>
      </c>
      <c r="L92" t="s">
        <v>486</v>
      </c>
      <c r="M92" t="s">
        <v>1022</v>
      </c>
      <c r="N92" t="s">
        <v>450</v>
      </c>
      <c r="O92" t="s">
        <v>453</v>
      </c>
      <c r="P92" t="s">
        <v>157</v>
      </c>
      <c r="Q92">
        <v>6</v>
      </c>
      <c r="R92" t="s">
        <v>419</v>
      </c>
      <c r="S92">
        <v>12</v>
      </c>
      <c r="T92" t="s">
        <v>1516</v>
      </c>
      <c r="U92" t="s">
        <v>492</v>
      </c>
      <c r="V92" t="s">
        <v>1181</v>
      </c>
      <c r="W92" t="s">
        <v>399</v>
      </c>
      <c r="X92" t="s">
        <v>2129</v>
      </c>
      <c r="Y92" t="s">
        <v>2508</v>
      </c>
    </row>
    <row r="93" spans="2:25">
      <c r="B93" t="s">
        <v>2505</v>
      </c>
      <c r="C93" t="s" vm="39">
        <v>701</v>
      </c>
      <c r="D93" t="s">
        <v>333</v>
      </c>
      <c r="E93" t="s">
        <v>485</v>
      </c>
      <c r="F93" t="s">
        <v>461</v>
      </c>
      <c r="G93" t="s">
        <v>473</v>
      </c>
      <c r="H93">
        <v>2</v>
      </c>
      <c r="I93" t="s">
        <v>456</v>
      </c>
      <c r="J93" t="s">
        <v>464</v>
      </c>
      <c r="K93">
        <v>2</v>
      </c>
      <c r="L93" t="s">
        <v>486</v>
      </c>
      <c r="M93" t="s">
        <v>1022</v>
      </c>
      <c r="N93" t="s">
        <v>450</v>
      </c>
      <c r="O93" t="s">
        <v>453</v>
      </c>
      <c r="P93" t="s">
        <v>157</v>
      </c>
      <c r="Q93">
        <v>6</v>
      </c>
      <c r="R93" t="s">
        <v>419</v>
      </c>
      <c r="S93">
        <v>12</v>
      </c>
      <c r="T93" t="s">
        <v>1516</v>
      </c>
      <c r="U93" t="s">
        <v>492</v>
      </c>
      <c r="V93" t="s">
        <v>1181</v>
      </c>
      <c r="W93" t="s">
        <v>399</v>
      </c>
      <c r="X93" t="s">
        <v>401</v>
      </c>
      <c r="Y93" t="s">
        <v>2507</v>
      </c>
    </row>
    <row r="94" spans="2:25">
      <c r="B94" t="s">
        <v>2505</v>
      </c>
      <c r="C94" t="s" vm="39">
        <v>701</v>
      </c>
      <c r="D94" t="s">
        <v>333</v>
      </c>
      <c r="E94" t="s">
        <v>485</v>
      </c>
      <c r="F94" t="s">
        <v>461</v>
      </c>
      <c r="G94" t="s">
        <v>473</v>
      </c>
      <c r="H94">
        <v>1</v>
      </c>
      <c r="I94" t="s">
        <v>456</v>
      </c>
      <c r="J94" t="s">
        <v>464</v>
      </c>
      <c r="K94">
        <v>2</v>
      </c>
      <c r="L94" t="s">
        <v>486</v>
      </c>
      <c r="M94" t="s">
        <v>1475</v>
      </c>
      <c r="N94" t="s">
        <v>450</v>
      </c>
      <c r="O94" t="s">
        <v>453</v>
      </c>
      <c r="P94" t="s">
        <v>157</v>
      </c>
      <c r="Q94">
        <v>6</v>
      </c>
      <c r="R94" t="s">
        <v>419</v>
      </c>
      <c r="S94">
        <v>12</v>
      </c>
      <c r="T94" t="s">
        <v>1516</v>
      </c>
      <c r="U94" t="s">
        <v>492</v>
      </c>
      <c r="V94" t="s">
        <v>1181</v>
      </c>
      <c r="W94" t="s">
        <v>399</v>
      </c>
      <c r="X94" t="s">
        <v>401</v>
      </c>
      <c r="Y94" t="s">
        <v>2506</v>
      </c>
    </row>
    <row r="95" spans="2:25">
      <c r="B95" t="s">
        <v>2502</v>
      </c>
      <c r="C95" t="s" vm="39">
        <v>701</v>
      </c>
      <c r="D95" t="s">
        <v>100</v>
      </c>
      <c r="E95" t="s">
        <v>485</v>
      </c>
      <c r="F95" t="s">
        <v>461</v>
      </c>
      <c r="G95" t="s">
        <v>473</v>
      </c>
      <c r="H95">
        <v>1</v>
      </c>
      <c r="I95" t="s">
        <v>456</v>
      </c>
      <c r="J95" t="s">
        <v>463</v>
      </c>
      <c r="K95">
        <v>2</v>
      </c>
      <c r="L95" t="s">
        <v>486</v>
      </c>
      <c r="M95" t="s">
        <v>1864</v>
      </c>
      <c r="N95" t="s">
        <v>450</v>
      </c>
      <c r="O95" t="s">
        <v>453</v>
      </c>
      <c r="P95" t="s">
        <v>421</v>
      </c>
      <c r="Q95">
        <v>0</v>
      </c>
      <c r="R95" t="s">
        <v>159</v>
      </c>
      <c r="S95">
        <v>0</v>
      </c>
      <c r="T95" t="s">
        <v>2401</v>
      </c>
      <c r="U95" t="s">
        <v>492</v>
      </c>
      <c r="V95" t="s">
        <v>1181</v>
      </c>
      <c r="W95" t="s">
        <v>399</v>
      </c>
      <c r="X95" t="s">
        <v>2129</v>
      </c>
      <c r="Y95" t="s">
        <v>2503</v>
      </c>
    </row>
    <row r="96" spans="2:25">
      <c r="B96" t="s">
        <v>2497</v>
      </c>
      <c r="C96" t="s" vm="39">
        <v>701</v>
      </c>
      <c r="D96" t="s">
        <v>100</v>
      </c>
      <c r="E96" t="s">
        <v>485</v>
      </c>
      <c r="F96" t="s">
        <v>461</v>
      </c>
      <c r="G96" t="s">
        <v>473</v>
      </c>
      <c r="H96">
        <v>1</v>
      </c>
      <c r="I96" t="s">
        <v>458</v>
      </c>
      <c r="J96" t="s">
        <v>463</v>
      </c>
      <c r="K96">
        <v>2</v>
      </c>
      <c r="L96" t="s">
        <v>486</v>
      </c>
      <c r="M96" t="s">
        <v>556</v>
      </c>
      <c r="N96" t="s">
        <v>450</v>
      </c>
      <c r="O96" t="s">
        <v>453</v>
      </c>
      <c r="P96" t="s">
        <v>157</v>
      </c>
      <c r="Q96">
        <v>8</v>
      </c>
      <c r="R96" t="s">
        <v>419</v>
      </c>
      <c r="S96">
        <v>8</v>
      </c>
      <c r="T96" t="s">
        <v>1516</v>
      </c>
      <c r="U96" t="s">
        <v>492</v>
      </c>
      <c r="V96" t="s">
        <v>1181</v>
      </c>
      <c r="W96" t="s">
        <v>399</v>
      </c>
      <c r="X96" t="s">
        <v>2129</v>
      </c>
      <c r="Y96" t="s">
        <v>2501</v>
      </c>
    </row>
    <row r="97" spans="2:25">
      <c r="B97" t="s">
        <v>2497</v>
      </c>
      <c r="C97" t="s" vm="39">
        <v>701</v>
      </c>
      <c r="D97" t="s">
        <v>100</v>
      </c>
      <c r="E97" t="s">
        <v>485</v>
      </c>
      <c r="F97" t="s">
        <v>461</v>
      </c>
      <c r="G97" t="s">
        <v>473</v>
      </c>
      <c r="H97">
        <v>1</v>
      </c>
      <c r="I97" t="s">
        <v>456</v>
      </c>
      <c r="J97" t="s">
        <v>463</v>
      </c>
      <c r="K97">
        <v>2</v>
      </c>
      <c r="L97" t="s">
        <v>486</v>
      </c>
      <c r="M97" t="s">
        <v>556</v>
      </c>
      <c r="N97" t="s">
        <v>450</v>
      </c>
      <c r="O97" t="s">
        <v>453</v>
      </c>
      <c r="P97" t="s">
        <v>157</v>
      </c>
      <c r="Q97">
        <v>8</v>
      </c>
      <c r="R97" t="s">
        <v>419</v>
      </c>
      <c r="S97">
        <v>8</v>
      </c>
      <c r="T97" t="s">
        <v>1516</v>
      </c>
      <c r="U97" t="s">
        <v>492</v>
      </c>
      <c r="V97" t="s">
        <v>1181</v>
      </c>
      <c r="W97" t="s">
        <v>399</v>
      </c>
      <c r="X97" t="s">
        <v>2129</v>
      </c>
      <c r="Y97" t="s">
        <v>2499</v>
      </c>
    </row>
    <row r="98" spans="2:25">
      <c r="B98" t="s">
        <v>2497</v>
      </c>
      <c r="C98" t="s" vm="39">
        <v>701</v>
      </c>
      <c r="D98" t="s">
        <v>333</v>
      </c>
      <c r="E98" t="s">
        <v>485</v>
      </c>
      <c r="F98" t="s">
        <v>461</v>
      </c>
      <c r="G98" t="s">
        <v>473</v>
      </c>
      <c r="H98">
        <v>2</v>
      </c>
      <c r="I98" t="s">
        <v>456</v>
      </c>
      <c r="J98" t="s">
        <v>463</v>
      </c>
      <c r="K98">
        <v>2</v>
      </c>
      <c r="L98" t="s">
        <v>486</v>
      </c>
      <c r="M98" t="s">
        <v>556</v>
      </c>
      <c r="N98" t="s">
        <v>450</v>
      </c>
      <c r="O98" t="s">
        <v>453</v>
      </c>
      <c r="P98" t="s">
        <v>157</v>
      </c>
      <c r="Q98">
        <v>12</v>
      </c>
      <c r="R98" t="s">
        <v>419</v>
      </c>
      <c r="S98">
        <v>12</v>
      </c>
      <c r="T98" t="s">
        <v>1516</v>
      </c>
      <c r="U98" t="s">
        <v>492</v>
      </c>
      <c r="V98" t="s">
        <v>1181</v>
      </c>
      <c r="W98" t="s">
        <v>399</v>
      </c>
      <c r="X98" t="s">
        <v>401</v>
      </c>
      <c r="Y98" t="s">
        <v>2498</v>
      </c>
    </row>
    <row r="99" spans="2:25">
      <c r="B99" t="s">
        <v>2494</v>
      </c>
      <c r="C99" t="s" vm="39">
        <v>701</v>
      </c>
      <c r="D99" t="s">
        <v>333</v>
      </c>
      <c r="E99" t="s">
        <v>485</v>
      </c>
      <c r="F99" t="s">
        <v>461</v>
      </c>
      <c r="G99" t="s">
        <v>473</v>
      </c>
      <c r="H99">
        <v>2</v>
      </c>
      <c r="I99" t="s">
        <v>456</v>
      </c>
      <c r="J99" t="s">
        <v>463</v>
      </c>
      <c r="K99">
        <v>2</v>
      </c>
      <c r="L99" t="s">
        <v>486</v>
      </c>
      <c r="M99" t="s">
        <v>556</v>
      </c>
      <c r="N99" t="s">
        <v>450</v>
      </c>
      <c r="O99" t="s">
        <v>453</v>
      </c>
      <c r="P99" t="s">
        <v>157</v>
      </c>
      <c r="Q99">
        <v>12</v>
      </c>
      <c r="R99" t="s">
        <v>419</v>
      </c>
      <c r="S99">
        <v>12</v>
      </c>
      <c r="T99" t="s">
        <v>1516</v>
      </c>
      <c r="U99" t="s">
        <v>492</v>
      </c>
      <c r="V99" t="s">
        <v>1181</v>
      </c>
      <c r="W99" t="s">
        <v>399</v>
      </c>
      <c r="X99" t="s">
        <v>401</v>
      </c>
      <c r="Y99" t="s">
        <v>2495</v>
      </c>
    </row>
    <row r="100" spans="2:25">
      <c r="B100" t="s">
        <v>2492</v>
      </c>
      <c r="C100" t="s" vm="39">
        <v>701</v>
      </c>
      <c r="D100" t="s">
        <v>100</v>
      </c>
      <c r="E100" t="s">
        <v>485</v>
      </c>
      <c r="F100" t="s">
        <v>461</v>
      </c>
      <c r="G100" t="s">
        <v>473</v>
      </c>
      <c r="H100">
        <v>1</v>
      </c>
      <c r="I100" t="s">
        <v>456</v>
      </c>
      <c r="J100" t="s">
        <v>463</v>
      </c>
      <c r="K100">
        <v>2</v>
      </c>
      <c r="L100" t="s">
        <v>486</v>
      </c>
      <c r="M100" t="s">
        <v>556</v>
      </c>
      <c r="N100" t="s">
        <v>450</v>
      </c>
      <c r="O100" t="s">
        <v>453</v>
      </c>
      <c r="P100" t="s">
        <v>421</v>
      </c>
      <c r="Q100">
        <v>0</v>
      </c>
      <c r="R100" t="s">
        <v>159</v>
      </c>
      <c r="S100">
        <v>0</v>
      </c>
      <c r="T100" t="s">
        <v>1485</v>
      </c>
      <c r="U100" t="s">
        <v>492</v>
      </c>
      <c r="V100" t="s">
        <v>1181</v>
      </c>
      <c r="W100" t="s">
        <v>399</v>
      </c>
      <c r="X100" t="s">
        <v>2129</v>
      </c>
      <c r="Y100" t="s">
        <v>2493</v>
      </c>
    </row>
    <row r="101" spans="2:25">
      <c r="B101" t="s">
        <v>2490</v>
      </c>
      <c r="C101" t="s" vm="39">
        <v>701</v>
      </c>
      <c r="D101" t="s">
        <v>333</v>
      </c>
      <c r="E101" t="s">
        <v>485</v>
      </c>
      <c r="F101" t="s">
        <v>461</v>
      </c>
      <c r="G101" t="s">
        <v>473</v>
      </c>
      <c r="H101">
        <v>2</v>
      </c>
      <c r="I101" t="s">
        <v>456</v>
      </c>
      <c r="J101" t="s">
        <v>463</v>
      </c>
      <c r="K101">
        <v>2</v>
      </c>
      <c r="L101" t="s">
        <v>486</v>
      </c>
      <c r="M101" t="s">
        <v>556</v>
      </c>
      <c r="N101" t="s">
        <v>450</v>
      </c>
      <c r="O101" t="s">
        <v>453</v>
      </c>
      <c r="P101" t="s">
        <v>157</v>
      </c>
      <c r="Q101">
        <v>12</v>
      </c>
      <c r="R101" t="s">
        <v>419</v>
      </c>
      <c r="S101">
        <v>12</v>
      </c>
      <c r="T101" t="s">
        <v>1485</v>
      </c>
      <c r="U101" t="s">
        <v>492</v>
      </c>
      <c r="V101" t="s">
        <v>1181</v>
      </c>
      <c r="W101" t="s">
        <v>477</v>
      </c>
      <c r="X101" t="s">
        <v>401</v>
      </c>
      <c r="Y101" t="s">
        <v>2491</v>
      </c>
    </row>
    <row r="102" spans="2:25">
      <c r="B102" t="s">
        <v>2483</v>
      </c>
      <c r="C102" t="s" vm="39">
        <v>701</v>
      </c>
      <c r="D102" t="s">
        <v>333</v>
      </c>
      <c r="E102" t="s">
        <v>485</v>
      </c>
      <c r="F102" t="s">
        <v>461</v>
      </c>
      <c r="G102" t="s">
        <v>473</v>
      </c>
      <c r="H102">
        <v>2</v>
      </c>
      <c r="I102" t="s">
        <v>456</v>
      </c>
      <c r="J102" t="s">
        <v>463</v>
      </c>
      <c r="K102">
        <v>2</v>
      </c>
      <c r="L102" t="s">
        <v>486</v>
      </c>
      <c r="M102" t="s">
        <v>556</v>
      </c>
      <c r="N102" t="s">
        <v>450</v>
      </c>
      <c r="O102" t="s">
        <v>453</v>
      </c>
      <c r="P102" t="s">
        <v>157</v>
      </c>
      <c r="Q102">
        <v>12</v>
      </c>
      <c r="R102" t="s">
        <v>419</v>
      </c>
      <c r="S102">
        <v>12</v>
      </c>
      <c r="T102" t="s">
        <v>1485</v>
      </c>
      <c r="U102" t="s">
        <v>492</v>
      </c>
      <c r="V102" t="s">
        <v>1181</v>
      </c>
      <c r="W102" t="s">
        <v>477</v>
      </c>
      <c r="X102" t="s">
        <v>401</v>
      </c>
      <c r="Y102" t="s">
        <v>2489</v>
      </c>
    </row>
    <row r="103" spans="2:25">
      <c r="B103" t="s">
        <v>2483</v>
      </c>
      <c r="C103" t="s" vm="39">
        <v>701</v>
      </c>
      <c r="D103" t="s">
        <v>102</v>
      </c>
      <c r="E103" t="s">
        <v>485</v>
      </c>
      <c r="F103" t="s">
        <v>461</v>
      </c>
      <c r="G103" t="s">
        <v>473</v>
      </c>
      <c r="H103">
        <v>2</v>
      </c>
      <c r="I103" t="s">
        <v>456</v>
      </c>
      <c r="J103" t="s">
        <v>463</v>
      </c>
      <c r="K103">
        <v>2</v>
      </c>
      <c r="L103" t="s">
        <v>486</v>
      </c>
      <c r="M103" t="s">
        <v>556</v>
      </c>
      <c r="N103" t="s">
        <v>450</v>
      </c>
      <c r="O103" t="s">
        <v>453</v>
      </c>
      <c r="P103" t="s">
        <v>157</v>
      </c>
      <c r="Q103">
        <v>12</v>
      </c>
      <c r="R103" t="s">
        <v>419</v>
      </c>
      <c r="S103">
        <v>12</v>
      </c>
      <c r="T103" t="s">
        <v>1485</v>
      </c>
      <c r="U103" t="s">
        <v>492</v>
      </c>
      <c r="V103" t="s">
        <v>1181</v>
      </c>
      <c r="W103" t="s">
        <v>477</v>
      </c>
      <c r="X103" t="s">
        <v>2129</v>
      </c>
      <c r="Y103" t="s">
        <v>2488</v>
      </c>
    </row>
    <row r="104" spans="2:25">
      <c r="B104" t="s">
        <v>2483</v>
      </c>
      <c r="C104" t="s" vm="39">
        <v>701</v>
      </c>
      <c r="D104" t="s">
        <v>333</v>
      </c>
      <c r="E104" t="s">
        <v>485</v>
      </c>
      <c r="F104" t="s">
        <v>461</v>
      </c>
      <c r="G104" t="s">
        <v>473</v>
      </c>
      <c r="H104">
        <v>2</v>
      </c>
      <c r="I104" t="s">
        <v>458</v>
      </c>
      <c r="J104" t="s">
        <v>463</v>
      </c>
      <c r="K104">
        <v>2</v>
      </c>
      <c r="L104" t="s">
        <v>486</v>
      </c>
      <c r="M104" t="s">
        <v>556</v>
      </c>
      <c r="N104" t="s">
        <v>450</v>
      </c>
      <c r="O104" t="s">
        <v>453</v>
      </c>
      <c r="P104" t="s">
        <v>157</v>
      </c>
      <c r="Q104">
        <v>12</v>
      </c>
      <c r="R104" t="s">
        <v>419</v>
      </c>
      <c r="S104">
        <v>12</v>
      </c>
      <c r="T104" t="s">
        <v>1485</v>
      </c>
      <c r="U104" t="s">
        <v>492</v>
      </c>
      <c r="V104" t="s">
        <v>1181</v>
      </c>
      <c r="W104" t="s">
        <v>476</v>
      </c>
      <c r="X104" t="s">
        <v>401</v>
      </c>
      <c r="Y104" t="s">
        <v>2487</v>
      </c>
    </row>
    <row r="105" spans="2:25">
      <c r="B105" t="s">
        <v>2483</v>
      </c>
      <c r="C105" t="s" vm="39">
        <v>701</v>
      </c>
      <c r="D105" t="s">
        <v>333</v>
      </c>
      <c r="E105" t="s">
        <v>485</v>
      </c>
      <c r="F105" t="s">
        <v>461</v>
      </c>
      <c r="G105" t="s">
        <v>473</v>
      </c>
      <c r="H105">
        <v>2</v>
      </c>
      <c r="I105" t="s">
        <v>456</v>
      </c>
      <c r="J105" t="s">
        <v>463</v>
      </c>
      <c r="K105">
        <v>2</v>
      </c>
      <c r="L105" t="s">
        <v>486</v>
      </c>
      <c r="M105" t="s">
        <v>556</v>
      </c>
      <c r="N105" t="s">
        <v>450</v>
      </c>
      <c r="O105" t="s">
        <v>453</v>
      </c>
      <c r="P105" t="s">
        <v>157</v>
      </c>
      <c r="Q105">
        <v>12</v>
      </c>
      <c r="R105" t="s">
        <v>419</v>
      </c>
      <c r="S105">
        <v>12</v>
      </c>
      <c r="T105" t="s">
        <v>1485</v>
      </c>
      <c r="U105" t="s">
        <v>492</v>
      </c>
      <c r="V105" t="s">
        <v>1181</v>
      </c>
      <c r="W105" t="s">
        <v>476</v>
      </c>
      <c r="X105" t="s">
        <v>401</v>
      </c>
      <c r="Y105" t="s">
        <v>2486</v>
      </c>
    </row>
    <row r="106" spans="2:25">
      <c r="B106" t="s">
        <v>2483</v>
      </c>
      <c r="C106" t="s" vm="39">
        <v>701</v>
      </c>
      <c r="D106" t="s">
        <v>100</v>
      </c>
      <c r="E106" t="s">
        <v>485</v>
      </c>
      <c r="F106" t="s">
        <v>461</v>
      </c>
      <c r="G106" t="s">
        <v>473</v>
      </c>
      <c r="H106">
        <v>1</v>
      </c>
      <c r="I106" t="s">
        <v>458</v>
      </c>
      <c r="J106" t="s">
        <v>462</v>
      </c>
      <c r="K106">
        <v>2</v>
      </c>
      <c r="L106" t="s">
        <v>486</v>
      </c>
      <c r="M106" t="s">
        <v>556</v>
      </c>
      <c r="N106" t="s">
        <v>450</v>
      </c>
      <c r="O106" t="s">
        <v>453</v>
      </c>
      <c r="P106" t="s">
        <v>421</v>
      </c>
      <c r="Q106">
        <v>0</v>
      </c>
      <c r="R106" t="s">
        <v>159</v>
      </c>
      <c r="S106">
        <v>0</v>
      </c>
      <c r="T106" t="s">
        <v>1485</v>
      </c>
      <c r="U106" t="s">
        <v>492</v>
      </c>
      <c r="V106" t="s">
        <v>1181</v>
      </c>
      <c r="W106" t="s">
        <v>477</v>
      </c>
      <c r="X106" t="s">
        <v>2129</v>
      </c>
      <c r="Y106" t="s">
        <v>2484</v>
      </c>
    </row>
    <row r="107" spans="2:25">
      <c r="B107" t="s">
        <v>2477</v>
      </c>
      <c r="C107" t="s" vm="39">
        <v>701</v>
      </c>
      <c r="D107" t="s">
        <v>100</v>
      </c>
      <c r="E107" t="s">
        <v>485</v>
      </c>
      <c r="F107" t="s">
        <v>461</v>
      </c>
      <c r="G107" t="s">
        <v>487</v>
      </c>
      <c r="H107" t="s">
        <v>123</v>
      </c>
      <c r="I107" t="s">
        <v>456</v>
      </c>
      <c r="J107" t="s">
        <v>463</v>
      </c>
      <c r="K107">
        <v>1</v>
      </c>
      <c r="L107" t="s">
        <v>488</v>
      </c>
      <c r="M107" t="s">
        <v>492</v>
      </c>
      <c r="N107" t="s">
        <v>450</v>
      </c>
      <c r="O107" t="s">
        <v>453</v>
      </c>
      <c r="P107" t="s">
        <v>421</v>
      </c>
      <c r="Q107">
        <v>0</v>
      </c>
      <c r="R107" t="s">
        <v>159</v>
      </c>
      <c r="S107">
        <v>0</v>
      </c>
      <c r="T107" t="s">
        <v>402</v>
      </c>
      <c r="U107" t="s">
        <v>492</v>
      </c>
      <c r="V107" t="s">
        <v>1181</v>
      </c>
      <c r="W107" t="s">
        <v>399</v>
      </c>
      <c r="X107" t="s">
        <v>2129</v>
      </c>
      <c r="Y107" t="s">
        <v>2482</v>
      </c>
    </row>
    <row r="108" spans="2:25">
      <c r="B108" t="s">
        <v>2477</v>
      </c>
      <c r="C108" t="s" vm="39">
        <v>701</v>
      </c>
      <c r="D108" t="s">
        <v>100</v>
      </c>
      <c r="E108" t="s">
        <v>485</v>
      </c>
      <c r="F108" t="s">
        <v>461</v>
      </c>
      <c r="G108" t="s">
        <v>473</v>
      </c>
      <c r="H108">
        <v>1</v>
      </c>
      <c r="I108" t="s">
        <v>456</v>
      </c>
      <c r="J108" t="s">
        <v>462</v>
      </c>
      <c r="K108">
        <v>2</v>
      </c>
      <c r="L108" t="s">
        <v>486</v>
      </c>
      <c r="M108" t="s">
        <v>556</v>
      </c>
      <c r="N108" t="s">
        <v>450</v>
      </c>
      <c r="O108" t="s">
        <v>453</v>
      </c>
      <c r="P108" t="s">
        <v>421</v>
      </c>
      <c r="Q108">
        <v>0</v>
      </c>
      <c r="R108" t="s">
        <v>159</v>
      </c>
      <c r="S108">
        <v>0</v>
      </c>
      <c r="T108" t="s">
        <v>1485</v>
      </c>
      <c r="U108" t="s">
        <v>492</v>
      </c>
      <c r="V108" t="s">
        <v>1181</v>
      </c>
      <c r="W108" t="s">
        <v>477</v>
      </c>
      <c r="X108" t="s">
        <v>2129</v>
      </c>
      <c r="Y108" t="s">
        <v>2479</v>
      </c>
    </row>
    <row r="109" spans="2:25">
      <c r="B109" t="s">
        <v>2477</v>
      </c>
      <c r="C109" t="s" vm="39">
        <v>701</v>
      </c>
      <c r="D109" t="s">
        <v>100</v>
      </c>
      <c r="E109" t="s">
        <v>485</v>
      </c>
      <c r="F109" t="s">
        <v>461</v>
      </c>
      <c r="G109" t="s">
        <v>473</v>
      </c>
      <c r="H109">
        <v>1</v>
      </c>
      <c r="I109" t="s">
        <v>460</v>
      </c>
      <c r="J109" t="s">
        <v>462</v>
      </c>
      <c r="K109">
        <v>2</v>
      </c>
      <c r="L109" t="s">
        <v>486</v>
      </c>
      <c r="M109" t="s">
        <v>556</v>
      </c>
      <c r="N109" t="s">
        <v>450</v>
      </c>
      <c r="O109" t="s">
        <v>453</v>
      </c>
      <c r="P109" t="s">
        <v>421</v>
      </c>
      <c r="Q109">
        <v>0</v>
      </c>
      <c r="R109" t="s">
        <v>159</v>
      </c>
      <c r="S109">
        <v>0</v>
      </c>
      <c r="T109" t="s">
        <v>1485</v>
      </c>
      <c r="U109" t="s">
        <v>492</v>
      </c>
      <c r="V109" t="s">
        <v>1181</v>
      </c>
      <c r="W109" t="s">
        <v>477</v>
      </c>
      <c r="X109" t="s">
        <v>2129</v>
      </c>
      <c r="Y109" t="s">
        <v>2478</v>
      </c>
    </row>
    <row r="110" spans="2:25">
      <c r="B110" t="s">
        <v>2473</v>
      </c>
      <c r="C110" t="s" vm="39">
        <v>701</v>
      </c>
      <c r="D110" t="s">
        <v>333</v>
      </c>
      <c r="E110" t="s">
        <v>485</v>
      </c>
      <c r="F110" t="s">
        <v>461</v>
      </c>
      <c r="G110" t="s">
        <v>473</v>
      </c>
      <c r="H110">
        <v>2</v>
      </c>
      <c r="I110" t="s">
        <v>458</v>
      </c>
      <c r="J110" t="s">
        <v>463</v>
      </c>
      <c r="K110">
        <v>2</v>
      </c>
      <c r="L110" t="s">
        <v>486</v>
      </c>
      <c r="M110" t="s">
        <v>1022</v>
      </c>
      <c r="N110" t="s">
        <v>450</v>
      </c>
      <c r="O110" t="s">
        <v>453</v>
      </c>
      <c r="P110" t="s">
        <v>157</v>
      </c>
      <c r="Q110">
        <v>0</v>
      </c>
      <c r="R110" t="s">
        <v>159</v>
      </c>
      <c r="S110">
        <v>0</v>
      </c>
      <c r="T110" t="s">
        <v>1516</v>
      </c>
      <c r="U110" t="s">
        <v>492</v>
      </c>
      <c r="V110" t="s">
        <v>1181</v>
      </c>
      <c r="W110" t="s">
        <v>399</v>
      </c>
      <c r="X110" t="s">
        <v>401</v>
      </c>
      <c r="Y110" t="s">
        <v>2476</v>
      </c>
    </row>
    <row r="111" spans="2:25">
      <c r="B111" t="s">
        <v>2473</v>
      </c>
      <c r="C111" t="s" vm="39">
        <v>701</v>
      </c>
      <c r="D111" t="s">
        <v>100</v>
      </c>
      <c r="E111" t="s">
        <v>485</v>
      </c>
      <c r="F111" t="s">
        <v>461</v>
      </c>
      <c r="G111" t="s">
        <v>473</v>
      </c>
      <c r="H111">
        <v>1</v>
      </c>
      <c r="I111" t="s">
        <v>456</v>
      </c>
      <c r="J111" t="s">
        <v>463</v>
      </c>
      <c r="K111">
        <v>2</v>
      </c>
      <c r="L111" t="s">
        <v>486</v>
      </c>
      <c r="M111" t="s">
        <v>556</v>
      </c>
      <c r="N111" t="s">
        <v>450</v>
      </c>
      <c r="O111" t="s">
        <v>453</v>
      </c>
      <c r="P111" t="s">
        <v>421</v>
      </c>
      <c r="Q111">
        <v>0</v>
      </c>
      <c r="R111" t="s">
        <v>159</v>
      </c>
      <c r="S111">
        <v>0</v>
      </c>
      <c r="T111" t="s">
        <v>1516</v>
      </c>
      <c r="U111" t="s">
        <v>492</v>
      </c>
      <c r="V111" t="s">
        <v>1181</v>
      </c>
      <c r="W111" t="s">
        <v>399</v>
      </c>
      <c r="X111" t="s">
        <v>2129</v>
      </c>
      <c r="Y111" t="s">
        <v>2475</v>
      </c>
    </row>
    <row r="112" spans="2:25">
      <c r="B112" t="s">
        <v>2473</v>
      </c>
      <c r="C112" t="s" vm="39">
        <v>701</v>
      </c>
      <c r="D112" t="s">
        <v>333</v>
      </c>
      <c r="E112" t="s">
        <v>485</v>
      </c>
      <c r="F112" t="s">
        <v>217</v>
      </c>
      <c r="G112" t="s">
        <v>473</v>
      </c>
      <c r="H112">
        <v>2</v>
      </c>
      <c r="I112" t="s">
        <v>460</v>
      </c>
      <c r="J112" t="s">
        <v>462</v>
      </c>
      <c r="K112">
        <v>2</v>
      </c>
      <c r="L112" t="s">
        <v>486</v>
      </c>
      <c r="M112" t="s">
        <v>2368</v>
      </c>
      <c r="N112" t="s">
        <v>450</v>
      </c>
      <c r="O112" t="s">
        <v>453</v>
      </c>
      <c r="P112" t="s">
        <v>157</v>
      </c>
      <c r="Q112">
        <v>8</v>
      </c>
      <c r="R112" t="s">
        <v>419</v>
      </c>
      <c r="S112">
        <v>8</v>
      </c>
      <c r="T112" t="s">
        <v>1516</v>
      </c>
      <c r="U112" t="s">
        <v>492</v>
      </c>
      <c r="V112" t="s">
        <v>1181</v>
      </c>
      <c r="W112" t="s">
        <v>399</v>
      </c>
      <c r="X112" t="s">
        <v>401</v>
      </c>
      <c r="Y112" t="s">
        <v>2474</v>
      </c>
    </row>
    <row r="113" spans="2:25">
      <c r="B113" t="s">
        <v>2469</v>
      </c>
      <c r="C113" t="s" vm="39">
        <v>701</v>
      </c>
      <c r="D113" t="s">
        <v>333</v>
      </c>
      <c r="E113" t="s">
        <v>485</v>
      </c>
      <c r="F113" t="s">
        <v>217</v>
      </c>
      <c r="G113" t="s">
        <v>473</v>
      </c>
      <c r="H113">
        <v>2</v>
      </c>
      <c r="I113" t="s">
        <v>460</v>
      </c>
      <c r="J113" t="s">
        <v>462</v>
      </c>
      <c r="K113">
        <v>2</v>
      </c>
      <c r="L113" t="s">
        <v>486</v>
      </c>
      <c r="M113" t="s">
        <v>2368</v>
      </c>
      <c r="N113" t="s">
        <v>450</v>
      </c>
      <c r="O113" t="s">
        <v>453</v>
      </c>
      <c r="P113" t="s">
        <v>421</v>
      </c>
      <c r="Q113">
        <v>0</v>
      </c>
      <c r="R113" t="s">
        <v>159</v>
      </c>
      <c r="S113">
        <v>0</v>
      </c>
      <c r="T113" t="s">
        <v>1516</v>
      </c>
      <c r="U113" t="s">
        <v>492</v>
      </c>
      <c r="V113" t="s">
        <v>1181</v>
      </c>
      <c r="W113" t="s">
        <v>399</v>
      </c>
      <c r="X113" t="s">
        <v>401</v>
      </c>
      <c r="Y113" t="s">
        <v>2472</v>
      </c>
    </row>
    <row r="114" spans="2:25">
      <c r="B114" t="s">
        <v>2469</v>
      </c>
      <c r="C114" t="s" vm="39">
        <v>701</v>
      </c>
      <c r="D114" t="s">
        <v>333</v>
      </c>
      <c r="E114" t="s">
        <v>485</v>
      </c>
      <c r="F114" t="s">
        <v>217</v>
      </c>
      <c r="G114" t="s">
        <v>473</v>
      </c>
      <c r="H114">
        <v>2</v>
      </c>
      <c r="I114" t="s">
        <v>460</v>
      </c>
      <c r="J114" t="s">
        <v>462</v>
      </c>
      <c r="K114">
        <v>2</v>
      </c>
      <c r="L114" t="s">
        <v>486</v>
      </c>
      <c r="M114" t="s">
        <v>2368</v>
      </c>
      <c r="N114" t="s">
        <v>450</v>
      </c>
      <c r="O114" t="s">
        <v>453</v>
      </c>
      <c r="P114" t="s">
        <v>158</v>
      </c>
      <c r="Q114">
        <v>12</v>
      </c>
      <c r="R114" t="s">
        <v>416</v>
      </c>
      <c r="S114">
        <v>12</v>
      </c>
      <c r="T114" t="s">
        <v>1516</v>
      </c>
      <c r="U114" t="s">
        <v>492</v>
      </c>
      <c r="V114" t="s">
        <v>1181</v>
      </c>
      <c r="W114" t="s">
        <v>399</v>
      </c>
      <c r="X114" t="s">
        <v>401</v>
      </c>
      <c r="Y114" t="s">
        <v>2471</v>
      </c>
    </row>
    <row r="115" spans="2:25">
      <c r="B115" t="s">
        <v>2469</v>
      </c>
      <c r="C115" t="s" vm="39">
        <v>701</v>
      </c>
      <c r="D115" t="s">
        <v>102</v>
      </c>
      <c r="E115" t="s">
        <v>485</v>
      </c>
      <c r="F115" t="s">
        <v>461</v>
      </c>
      <c r="G115" t="s">
        <v>473</v>
      </c>
      <c r="H115">
        <v>1</v>
      </c>
      <c r="I115" t="s">
        <v>456</v>
      </c>
      <c r="J115" t="s">
        <v>463</v>
      </c>
      <c r="K115">
        <v>2</v>
      </c>
      <c r="L115" t="s">
        <v>486</v>
      </c>
      <c r="M115" t="s">
        <v>556</v>
      </c>
      <c r="N115" t="s">
        <v>450</v>
      </c>
      <c r="O115" t="s">
        <v>453</v>
      </c>
      <c r="P115" t="s">
        <v>157</v>
      </c>
      <c r="Q115">
        <v>12</v>
      </c>
      <c r="R115" t="s">
        <v>419</v>
      </c>
      <c r="S115">
        <v>12</v>
      </c>
      <c r="T115" t="s">
        <v>1516</v>
      </c>
      <c r="U115" t="s">
        <v>492</v>
      </c>
      <c r="V115" t="s">
        <v>1181</v>
      </c>
      <c r="W115" t="s">
        <v>399</v>
      </c>
      <c r="X115" t="s">
        <v>401</v>
      </c>
      <c r="Y115" t="s">
        <v>2470</v>
      </c>
    </row>
    <row r="116" spans="2:25">
      <c r="B116" t="s">
        <v>2466</v>
      </c>
      <c r="C116" t="s" vm="39">
        <v>701</v>
      </c>
      <c r="D116" t="s">
        <v>102</v>
      </c>
      <c r="E116" t="s">
        <v>485</v>
      </c>
      <c r="F116" t="s">
        <v>461</v>
      </c>
      <c r="G116" t="s">
        <v>473</v>
      </c>
      <c r="H116">
        <v>2</v>
      </c>
      <c r="I116" t="s">
        <v>456</v>
      </c>
      <c r="J116" t="s">
        <v>463</v>
      </c>
      <c r="K116">
        <v>2</v>
      </c>
      <c r="L116" t="s">
        <v>486</v>
      </c>
      <c r="M116" t="s">
        <v>556</v>
      </c>
      <c r="N116" t="s">
        <v>450</v>
      </c>
      <c r="O116" t="s">
        <v>453</v>
      </c>
      <c r="P116" t="s">
        <v>421</v>
      </c>
      <c r="Q116">
        <v>0</v>
      </c>
      <c r="R116" t="s">
        <v>159</v>
      </c>
      <c r="S116">
        <v>0</v>
      </c>
      <c r="T116" t="s">
        <v>402</v>
      </c>
      <c r="U116" t="s">
        <v>492</v>
      </c>
      <c r="V116" t="s">
        <v>1181</v>
      </c>
      <c r="W116" t="s">
        <v>399</v>
      </c>
      <c r="X116" t="s">
        <v>401</v>
      </c>
      <c r="Y116" t="s">
        <v>2468</v>
      </c>
    </row>
    <row r="117" spans="2:25">
      <c r="B117" t="s">
        <v>2466</v>
      </c>
      <c r="C117" t="s" vm="39">
        <v>701</v>
      </c>
      <c r="D117" t="s">
        <v>102</v>
      </c>
      <c r="E117" t="s">
        <v>485</v>
      </c>
      <c r="F117" t="s">
        <v>461</v>
      </c>
      <c r="G117" t="s">
        <v>473</v>
      </c>
      <c r="H117">
        <v>2</v>
      </c>
      <c r="I117" t="s">
        <v>456</v>
      </c>
      <c r="J117" t="s">
        <v>463</v>
      </c>
      <c r="K117">
        <v>2</v>
      </c>
      <c r="L117" t="s">
        <v>486</v>
      </c>
      <c r="M117" t="s">
        <v>556</v>
      </c>
      <c r="N117" t="s">
        <v>450</v>
      </c>
      <c r="O117" t="s">
        <v>453</v>
      </c>
      <c r="P117" t="s">
        <v>157</v>
      </c>
      <c r="Q117">
        <v>12</v>
      </c>
      <c r="R117" t="s">
        <v>419</v>
      </c>
      <c r="S117">
        <v>12</v>
      </c>
      <c r="T117" t="s">
        <v>402</v>
      </c>
      <c r="U117" t="s">
        <v>492</v>
      </c>
      <c r="V117" t="s">
        <v>1181</v>
      </c>
      <c r="W117" t="s">
        <v>399</v>
      </c>
      <c r="X117" t="s">
        <v>401</v>
      </c>
      <c r="Y117" t="s">
        <v>2467</v>
      </c>
    </row>
    <row r="118" spans="2:25">
      <c r="B118" t="s">
        <v>2464</v>
      </c>
      <c r="C118" t="s" vm="39">
        <v>701</v>
      </c>
      <c r="D118" t="s">
        <v>333</v>
      </c>
      <c r="E118" t="s">
        <v>485</v>
      </c>
      <c r="F118" t="s">
        <v>461</v>
      </c>
      <c r="G118" t="s">
        <v>473</v>
      </c>
      <c r="H118">
        <v>2</v>
      </c>
      <c r="I118" t="s">
        <v>458</v>
      </c>
      <c r="J118" t="s">
        <v>462</v>
      </c>
      <c r="K118">
        <v>2</v>
      </c>
      <c r="L118" t="s">
        <v>486</v>
      </c>
      <c r="M118" t="s">
        <v>556</v>
      </c>
      <c r="N118" t="s">
        <v>450</v>
      </c>
      <c r="O118" t="s">
        <v>453</v>
      </c>
      <c r="P118" t="s">
        <v>157</v>
      </c>
      <c r="Q118">
        <v>12</v>
      </c>
      <c r="R118" t="s">
        <v>2402</v>
      </c>
      <c r="S118">
        <v>12</v>
      </c>
      <c r="T118" t="s">
        <v>1516</v>
      </c>
      <c r="U118" t="s">
        <v>492</v>
      </c>
      <c r="V118" t="s">
        <v>1181</v>
      </c>
      <c r="W118" t="s">
        <v>2289</v>
      </c>
      <c r="X118" t="s">
        <v>2129</v>
      </c>
      <c r="Y118" t="s">
        <v>2465</v>
      </c>
    </row>
    <row r="119" spans="2:25">
      <c r="B119" t="s">
        <v>2456</v>
      </c>
      <c r="C119" t="s" vm="39">
        <v>701</v>
      </c>
      <c r="D119" t="s">
        <v>333</v>
      </c>
      <c r="E119" t="s">
        <v>485</v>
      </c>
      <c r="F119" t="s">
        <v>461</v>
      </c>
      <c r="G119" t="s">
        <v>473</v>
      </c>
      <c r="H119">
        <v>2</v>
      </c>
      <c r="I119" t="s">
        <v>458</v>
      </c>
      <c r="J119" t="s">
        <v>462</v>
      </c>
      <c r="K119">
        <v>2</v>
      </c>
      <c r="L119" t="s">
        <v>486</v>
      </c>
      <c r="M119" t="s">
        <v>556</v>
      </c>
      <c r="N119" t="s">
        <v>450</v>
      </c>
      <c r="O119" t="s">
        <v>453</v>
      </c>
      <c r="P119" t="s">
        <v>157</v>
      </c>
      <c r="Q119">
        <v>12</v>
      </c>
      <c r="R119" t="s">
        <v>2402</v>
      </c>
      <c r="S119">
        <v>12</v>
      </c>
      <c r="T119" t="s">
        <v>1516</v>
      </c>
      <c r="U119" t="s">
        <v>492</v>
      </c>
      <c r="V119" t="s">
        <v>1181</v>
      </c>
      <c r="W119" t="s">
        <v>399</v>
      </c>
      <c r="X119" t="s">
        <v>2129</v>
      </c>
      <c r="Y119" t="s">
        <v>2463</v>
      </c>
    </row>
    <row r="120" spans="2:25">
      <c r="B120" t="s">
        <v>2456</v>
      </c>
      <c r="C120" t="s" vm="39">
        <v>701</v>
      </c>
      <c r="D120" t="s">
        <v>333</v>
      </c>
      <c r="E120" t="s">
        <v>485</v>
      </c>
      <c r="F120" t="s">
        <v>461</v>
      </c>
      <c r="G120" t="s">
        <v>473</v>
      </c>
      <c r="H120">
        <v>2</v>
      </c>
      <c r="I120" t="s">
        <v>460</v>
      </c>
      <c r="J120" t="s">
        <v>462</v>
      </c>
      <c r="K120">
        <v>2</v>
      </c>
      <c r="L120" t="s">
        <v>486</v>
      </c>
      <c r="M120" t="s">
        <v>556</v>
      </c>
      <c r="N120" t="s">
        <v>450</v>
      </c>
      <c r="O120" t="s">
        <v>453</v>
      </c>
      <c r="P120" t="s">
        <v>157</v>
      </c>
      <c r="Q120">
        <v>12</v>
      </c>
      <c r="R120" t="s">
        <v>2402</v>
      </c>
      <c r="S120">
        <v>12</v>
      </c>
      <c r="T120" t="s">
        <v>1516</v>
      </c>
      <c r="U120" t="s">
        <v>492</v>
      </c>
      <c r="V120" t="s">
        <v>1181</v>
      </c>
      <c r="W120" t="s">
        <v>399</v>
      </c>
      <c r="X120" t="s">
        <v>2129</v>
      </c>
      <c r="Y120" t="s">
        <v>2462</v>
      </c>
    </row>
    <row r="121" spans="2:25">
      <c r="B121" t="s">
        <v>2456</v>
      </c>
      <c r="C121" t="s" vm="39">
        <v>701</v>
      </c>
      <c r="D121" t="s">
        <v>333</v>
      </c>
      <c r="E121" t="s">
        <v>485</v>
      </c>
      <c r="F121" t="s">
        <v>461</v>
      </c>
      <c r="G121" t="s">
        <v>473</v>
      </c>
      <c r="H121">
        <v>2</v>
      </c>
      <c r="I121" t="s">
        <v>460</v>
      </c>
      <c r="J121" t="s">
        <v>462</v>
      </c>
      <c r="K121">
        <v>2</v>
      </c>
      <c r="L121" t="s">
        <v>486</v>
      </c>
      <c r="M121" t="s">
        <v>556</v>
      </c>
      <c r="N121" t="s">
        <v>450</v>
      </c>
      <c r="O121" t="s">
        <v>453</v>
      </c>
      <c r="P121" t="s">
        <v>157</v>
      </c>
      <c r="Q121">
        <v>12</v>
      </c>
      <c r="R121" t="s">
        <v>2402</v>
      </c>
      <c r="S121">
        <v>12</v>
      </c>
      <c r="T121" t="s">
        <v>1516</v>
      </c>
      <c r="U121" t="s">
        <v>492</v>
      </c>
      <c r="V121" t="s">
        <v>1181</v>
      </c>
      <c r="W121" t="s">
        <v>399</v>
      </c>
      <c r="X121" t="s">
        <v>2129</v>
      </c>
      <c r="Y121" t="s">
        <v>2461</v>
      </c>
    </row>
    <row r="122" spans="2:25">
      <c r="B122" t="s">
        <v>2456</v>
      </c>
      <c r="C122" t="s" vm="39">
        <v>701</v>
      </c>
      <c r="D122" t="s">
        <v>333</v>
      </c>
      <c r="E122" t="s">
        <v>485</v>
      </c>
      <c r="F122" t="s">
        <v>461</v>
      </c>
      <c r="G122" t="s">
        <v>473</v>
      </c>
      <c r="H122">
        <v>2</v>
      </c>
      <c r="I122" t="s">
        <v>458</v>
      </c>
      <c r="J122" t="s">
        <v>462</v>
      </c>
      <c r="K122">
        <v>2</v>
      </c>
      <c r="L122" t="s">
        <v>486</v>
      </c>
      <c r="M122" t="s">
        <v>556</v>
      </c>
      <c r="N122" t="s">
        <v>450</v>
      </c>
      <c r="O122" t="s">
        <v>453</v>
      </c>
      <c r="P122" t="s">
        <v>157</v>
      </c>
      <c r="Q122">
        <v>12</v>
      </c>
      <c r="R122" t="s">
        <v>2402</v>
      </c>
      <c r="S122">
        <v>12</v>
      </c>
      <c r="T122" t="s">
        <v>1516</v>
      </c>
      <c r="U122" t="s">
        <v>492</v>
      </c>
      <c r="V122" t="s">
        <v>1181</v>
      </c>
      <c r="W122" t="s">
        <v>399</v>
      </c>
      <c r="X122" t="s">
        <v>401</v>
      </c>
      <c r="Y122" t="s">
        <v>2460</v>
      </c>
    </row>
    <row r="123" spans="2:25">
      <c r="B123" t="s">
        <v>2456</v>
      </c>
      <c r="C123" t="s" vm="39">
        <v>701</v>
      </c>
      <c r="D123" t="s">
        <v>333</v>
      </c>
      <c r="E123" t="s">
        <v>485</v>
      </c>
      <c r="F123" t="s">
        <v>461</v>
      </c>
      <c r="G123" t="s">
        <v>473</v>
      </c>
      <c r="H123">
        <v>2</v>
      </c>
      <c r="I123" t="s">
        <v>458</v>
      </c>
      <c r="J123" t="s">
        <v>462</v>
      </c>
      <c r="K123">
        <v>2</v>
      </c>
      <c r="L123" t="s">
        <v>486</v>
      </c>
      <c r="M123" t="s">
        <v>556</v>
      </c>
      <c r="N123" t="s">
        <v>450</v>
      </c>
      <c r="O123" t="s">
        <v>453</v>
      </c>
      <c r="P123" t="s">
        <v>157</v>
      </c>
      <c r="Q123">
        <v>12</v>
      </c>
      <c r="R123" t="s">
        <v>2402</v>
      </c>
      <c r="S123">
        <v>12</v>
      </c>
      <c r="T123" t="s">
        <v>1516</v>
      </c>
      <c r="U123" t="s">
        <v>492</v>
      </c>
      <c r="V123" t="s">
        <v>1181</v>
      </c>
      <c r="W123" t="s">
        <v>399</v>
      </c>
      <c r="X123" t="s">
        <v>2129</v>
      </c>
      <c r="Y123" t="s">
        <v>2459</v>
      </c>
    </row>
    <row r="124" spans="2:25">
      <c r="B124" t="s">
        <v>2456</v>
      </c>
      <c r="C124" t="s" vm="39">
        <v>701</v>
      </c>
      <c r="D124" t="s">
        <v>333</v>
      </c>
      <c r="E124" t="s">
        <v>485</v>
      </c>
      <c r="F124" t="s">
        <v>461</v>
      </c>
      <c r="G124" t="s">
        <v>473</v>
      </c>
      <c r="H124">
        <v>2</v>
      </c>
      <c r="I124" t="s">
        <v>460</v>
      </c>
      <c r="J124" t="s">
        <v>462</v>
      </c>
      <c r="K124">
        <v>2</v>
      </c>
      <c r="L124" t="s">
        <v>486</v>
      </c>
      <c r="M124" t="s">
        <v>556</v>
      </c>
      <c r="N124" t="s">
        <v>450</v>
      </c>
      <c r="O124" t="s">
        <v>453</v>
      </c>
      <c r="P124" t="s">
        <v>157</v>
      </c>
      <c r="Q124">
        <v>12</v>
      </c>
      <c r="R124" t="s">
        <v>2402</v>
      </c>
      <c r="S124">
        <v>12</v>
      </c>
      <c r="T124" t="s">
        <v>1516</v>
      </c>
      <c r="U124" t="s">
        <v>492</v>
      </c>
      <c r="V124" t="s">
        <v>1181</v>
      </c>
      <c r="W124" t="s">
        <v>399</v>
      </c>
      <c r="X124" t="s">
        <v>2129</v>
      </c>
      <c r="Y124" t="s">
        <v>2458</v>
      </c>
    </row>
    <row r="125" spans="2:25">
      <c r="B125" t="s">
        <v>2456</v>
      </c>
      <c r="C125" t="s" vm="39">
        <v>701</v>
      </c>
      <c r="D125" t="s">
        <v>333</v>
      </c>
      <c r="E125" t="s">
        <v>485</v>
      </c>
      <c r="F125" t="s">
        <v>461</v>
      </c>
      <c r="G125" t="s">
        <v>473</v>
      </c>
      <c r="H125">
        <v>2</v>
      </c>
      <c r="I125" t="s">
        <v>460</v>
      </c>
      <c r="J125" t="s">
        <v>462</v>
      </c>
      <c r="K125">
        <v>2</v>
      </c>
      <c r="L125" t="s">
        <v>486</v>
      </c>
      <c r="M125" t="s">
        <v>556</v>
      </c>
      <c r="N125" t="s">
        <v>450</v>
      </c>
      <c r="O125" t="s">
        <v>453</v>
      </c>
      <c r="P125" t="s">
        <v>157</v>
      </c>
      <c r="Q125">
        <v>12</v>
      </c>
      <c r="R125" t="s">
        <v>2402</v>
      </c>
      <c r="S125">
        <v>12</v>
      </c>
      <c r="T125" t="s">
        <v>1516</v>
      </c>
      <c r="U125" t="s">
        <v>492</v>
      </c>
      <c r="V125" t="s">
        <v>1181</v>
      </c>
      <c r="W125" t="s">
        <v>399</v>
      </c>
      <c r="X125" t="s">
        <v>2129</v>
      </c>
      <c r="Y125" t="s">
        <v>2457</v>
      </c>
    </row>
    <row r="126" spans="2:25">
      <c r="B126" t="s">
        <v>2453</v>
      </c>
      <c r="C126" t="s" vm="39">
        <v>701</v>
      </c>
      <c r="D126" t="s">
        <v>100</v>
      </c>
      <c r="E126" t="s">
        <v>485</v>
      </c>
      <c r="F126" t="s">
        <v>461</v>
      </c>
      <c r="G126" t="s">
        <v>473</v>
      </c>
      <c r="H126">
        <v>1</v>
      </c>
      <c r="I126" t="s">
        <v>456</v>
      </c>
      <c r="J126" t="s">
        <v>463</v>
      </c>
      <c r="K126">
        <v>2</v>
      </c>
      <c r="L126" t="s">
        <v>486</v>
      </c>
      <c r="M126" t="s">
        <v>556</v>
      </c>
      <c r="N126" t="s">
        <v>450</v>
      </c>
      <c r="O126" t="s">
        <v>453</v>
      </c>
      <c r="P126" t="s">
        <v>421</v>
      </c>
      <c r="Q126">
        <v>0</v>
      </c>
      <c r="R126" t="s">
        <v>159</v>
      </c>
      <c r="S126">
        <v>0</v>
      </c>
      <c r="T126" t="s">
        <v>1516</v>
      </c>
      <c r="U126" t="s">
        <v>492</v>
      </c>
      <c r="V126" t="s">
        <v>1181</v>
      </c>
      <c r="W126" t="s">
        <v>477</v>
      </c>
      <c r="X126" t="s">
        <v>2129</v>
      </c>
      <c r="Y126" t="s">
        <v>2455</v>
      </c>
    </row>
    <row r="127" spans="2:25">
      <c r="B127" t="s">
        <v>2453</v>
      </c>
      <c r="C127" t="s" vm="39">
        <v>701</v>
      </c>
      <c r="D127" t="s">
        <v>100</v>
      </c>
      <c r="E127" t="s">
        <v>485</v>
      </c>
      <c r="F127" t="s">
        <v>461</v>
      </c>
      <c r="G127" t="s">
        <v>473</v>
      </c>
      <c r="H127">
        <v>1</v>
      </c>
      <c r="I127" t="s">
        <v>456</v>
      </c>
      <c r="J127" t="s">
        <v>463</v>
      </c>
      <c r="K127">
        <v>2</v>
      </c>
      <c r="L127" t="s">
        <v>486</v>
      </c>
      <c r="M127" t="s">
        <v>556</v>
      </c>
      <c r="N127" t="s">
        <v>450</v>
      </c>
      <c r="O127" t="s">
        <v>453</v>
      </c>
      <c r="P127" t="s">
        <v>421</v>
      </c>
      <c r="Q127">
        <v>0</v>
      </c>
      <c r="R127" t="s">
        <v>159</v>
      </c>
      <c r="S127">
        <v>0</v>
      </c>
      <c r="T127" t="s">
        <v>402</v>
      </c>
      <c r="U127" t="s">
        <v>492</v>
      </c>
      <c r="V127" t="s">
        <v>1181</v>
      </c>
      <c r="W127" t="s">
        <v>477</v>
      </c>
      <c r="X127" t="s">
        <v>2129</v>
      </c>
      <c r="Y127" t="s">
        <v>2454</v>
      </c>
    </row>
    <row r="128" spans="2:25">
      <c r="B128" t="s">
        <v>2451</v>
      </c>
      <c r="C128" t="s" vm="39">
        <v>701</v>
      </c>
      <c r="D128" t="s">
        <v>100</v>
      </c>
      <c r="E128" t="s">
        <v>485</v>
      </c>
      <c r="F128" t="s">
        <v>461</v>
      </c>
      <c r="G128" t="s">
        <v>473</v>
      </c>
      <c r="H128">
        <v>1</v>
      </c>
      <c r="I128" t="s">
        <v>456</v>
      </c>
      <c r="J128" t="s">
        <v>463</v>
      </c>
      <c r="K128">
        <v>2</v>
      </c>
      <c r="L128" t="s">
        <v>486</v>
      </c>
      <c r="M128" t="s">
        <v>556</v>
      </c>
      <c r="N128" t="s">
        <v>450</v>
      </c>
      <c r="O128" t="s">
        <v>453</v>
      </c>
      <c r="P128" t="s">
        <v>157</v>
      </c>
      <c r="Q128">
        <v>8</v>
      </c>
      <c r="R128" t="s">
        <v>416</v>
      </c>
      <c r="S128">
        <v>8</v>
      </c>
      <c r="T128" t="s">
        <v>402</v>
      </c>
      <c r="U128" t="s">
        <v>492</v>
      </c>
      <c r="V128" t="s">
        <v>1181</v>
      </c>
      <c r="W128" t="s">
        <v>399</v>
      </c>
      <c r="X128" t="s">
        <v>2129</v>
      </c>
      <c r="Y128" t="s">
        <v>2452</v>
      </c>
    </row>
    <row r="129" spans="2:25">
      <c r="B129" t="s">
        <v>2449</v>
      </c>
      <c r="C129" t="s" vm="39">
        <v>701</v>
      </c>
      <c r="D129" t="s">
        <v>333</v>
      </c>
      <c r="E129" t="s">
        <v>485</v>
      </c>
      <c r="F129" t="s">
        <v>461</v>
      </c>
      <c r="G129" t="s">
        <v>473</v>
      </c>
      <c r="H129">
        <v>2</v>
      </c>
      <c r="I129" t="s">
        <v>456</v>
      </c>
      <c r="J129" t="s">
        <v>463</v>
      </c>
      <c r="K129">
        <v>2</v>
      </c>
      <c r="L129" t="s">
        <v>486</v>
      </c>
      <c r="M129" t="s">
        <v>556</v>
      </c>
      <c r="N129" t="s">
        <v>450</v>
      </c>
      <c r="O129" t="s">
        <v>453</v>
      </c>
      <c r="P129" t="s">
        <v>421</v>
      </c>
      <c r="Q129">
        <v>0</v>
      </c>
      <c r="R129" t="s">
        <v>159</v>
      </c>
      <c r="S129">
        <v>0</v>
      </c>
      <c r="T129" t="s">
        <v>1516</v>
      </c>
      <c r="U129" t="s">
        <v>492</v>
      </c>
      <c r="V129" t="s">
        <v>1181</v>
      </c>
      <c r="W129" t="s">
        <v>399</v>
      </c>
      <c r="X129" t="s">
        <v>401</v>
      </c>
      <c r="Y129" t="s">
        <v>2450</v>
      </c>
    </row>
    <row r="130" spans="2:25">
      <c r="B130" t="s">
        <v>2445</v>
      </c>
      <c r="C130" t="s" vm="39">
        <v>701</v>
      </c>
      <c r="D130" t="s">
        <v>100</v>
      </c>
      <c r="E130" t="s">
        <v>485</v>
      </c>
      <c r="F130" t="s">
        <v>461</v>
      </c>
      <c r="G130" t="s">
        <v>473</v>
      </c>
      <c r="H130">
        <v>1</v>
      </c>
      <c r="I130" t="s">
        <v>456</v>
      </c>
      <c r="J130" t="s">
        <v>463</v>
      </c>
      <c r="K130">
        <v>2</v>
      </c>
      <c r="L130" t="s">
        <v>486</v>
      </c>
      <c r="M130" t="s">
        <v>556</v>
      </c>
      <c r="N130" t="s">
        <v>450</v>
      </c>
      <c r="O130" t="s">
        <v>453</v>
      </c>
      <c r="P130" t="s">
        <v>157</v>
      </c>
      <c r="Q130">
        <v>8</v>
      </c>
      <c r="R130" t="s">
        <v>419</v>
      </c>
      <c r="S130">
        <v>8</v>
      </c>
      <c r="T130" t="s">
        <v>1516</v>
      </c>
      <c r="U130" t="s">
        <v>492</v>
      </c>
      <c r="V130" t="s">
        <v>1181</v>
      </c>
      <c r="W130" t="s">
        <v>399</v>
      </c>
      <c r="X130" t="s">
        <v>2129</v>
      </c>
      <c r="Y130" t="s">
        <v>2448</v>
      </c>
    </row>
    <row r="131" spans="2:25">
      <c r="B131" t="s">
        <v>2445</v>
      </c>
      <c r="C131" t="s" vm="39">
        <v>701</v>
      </c>
      <c r="D131" t="s">
        <v>100</v>
      </c>
      <c r="E131" t="s">
        <v>485</v>
      </c>
      <c r="F131" t="s">
        <v>461</v>
      </c>
      <c r="G131" t="s">
        <v>473</v>
      </c>
      <c r="H131">
        <v>1</v>
      </c>
      <c r="I131" t="s">
        <v>456</v>
      </c>
      <c r="J131" t="s">
        <v>463</v>
      </c>
      <c r="K131">
        <v>2</v>
      </c>
      <c r="L131" t="s">
        <v>486</v>
      </c>
      <c r="M131" t="s">
        <v>556</v>
      </c>
      <c r="N131" t="s">
        <v>450</v>
      </c>
      <c r="O131" t="s">
        <v>453</v>
      </c>
      <c r="P131" t="s">
        <v>157</v>
      </c>
      <c r="Q131">
        <v>8</v>
      </c>
      <c r="R131" t="s">
        <v>419</v>
      </c>
      <c r="S131">
        <v>8</v>
      </c>
      <c r="T131" t="s">
        <v>1516</v>
      </c>
      <c r="U131" t="s">
        <v>492</v>
      </c>
      <c r="V131" t="s">
        <v>1181</v>
      </c>
      <c r="W131" t="s">
        <v>399</v>
      </c>
      <c r="X131" t="s">
        <v>2129</v>
      </c>
      <c r="Y131" t="s">
        <v>2446</v>
      </c>
    </row>
    <row r="132" spans="2:25">
      <c r="B132" t="s">
        <v>2445</v>
      </c>
      <c r="C132" t="s" vm="39">
        <v>701</v>
      </c>
      <c r="D132" t="s">
        <v>100</v>
      </c>
      <c r="E132" t="s">
        <v>485</v>
      </c>
      <c r="F132" t="s">
        <v>461</v>
      </c>
      <c r="G132" t="s">
        <v>473</v>
      </c>
      <c r="H132">
        <v>1</v>
      </c>
      <c r="I132" t="s">
        <v>456</v>
      </c>
      <c r="J132" t="s">
        <v>463</v>
      </c>
      <c r="K132">
        <v>2</v>
      </c>
      <c r="L132" t="s">
        <v>486</v>
      </c>
      <c r="M132" t="s">
        <v>556</v>
      </c>
      <c r="N132" t="s">
        <v>450</v>
      </c>
      <c r="O132" t="s">
        <v>453</v>
      </c>
      <c r="P132" t="s">
        <v>157</v>
      </c>
      <c r="Q132">
        <v>8</v>
      </c>
      <c r="R132" t="s">
        <v>419</v>
      </c>
      <c r="S132">
        <v>8</v>
      </c>
      <c r="T132" t="s">
        <v>1516</v>
      </c>
      <c r="U132" t="s">
        <v>492</v>
      </c>
      <c r="V132" t="s">
        <v>1181</v>
      </c>
      <c r="W132" t="s">
        <v>399</v>
      </c>
      <c r="X132" t="s">
        <v>2129</v>
      </c>
      <c r="Y132" t="s">
        <v>2447</v>
      </c>
    </row>
    <row r="133" spans="2:25">
      <c r="B133" t="s">
        <v>2445</v>
      </c>
      <c r="C133" t="s" vm="39">
        <v>701</v>
      </c>
      <c r="D133" t="s">
        <v>100</v>
      </c>
      <c r="E133" t="s">
        <v>485</v>
      </c>
      <c r="F133" t="s">
        <v>461</v>
      </c>
      <c r="G133" t="s">
        <v>473</v>
      </c>
      <c r="H133">
        <v>1</v>
      </c>
      <c r="I133" t="s">
        <v>456</v>
      </c>
      <c r="J133" t="s">
        <v>463</v>
      </c>
      <c r="K133">
        <v>2</v>
      </c>
      <c r="L133" t="s">
        <v>486</v>
      </c>
      <c r="M133" t="s">
        <v>556</v>
      </c>
      <c r="N133" t="s">
        <v>450</v>
      </c>
      <c r="O133" t="s">
        <v>453</v>
      </c>
      <c r="P133" t="s">
        <v>157</v>
      </c>
      <c r="Q133">
        <v>8</v>
      </c>
      <c r="R133" t="s">
        <v>419</v>
      </c>
      <c r="S133">
        <v>8</v>
      </c>
      <c r="T133" t="s">
        <v>1516</v>
      </c>
      <c r="U133" t="s">
        <v>492</v>
      </c>
      <c r="V133" t="s">
        <v>1181</v>
      </c>
      <c r="W133" t="s">
        <v>399</v>
      </c>
      <c r="X133" t="s">
        <v>2129</v>
      </c>
      <c r="Y133" t="s">
        <v>2446</v>
      </c>
    </row>
    <row r="134" spans="2:25">
      <c r="B134" t="s">
        <v>2443</v>
      </c>
      <c r="C134" t="s" vm="39">
        <v>701</v>
      </c>
      <c r="D134" t="s">
        <v>333</v>
      </c>
      <c r="E134" t="s">
        <v>485</v>
      </c>
      <c r="F134" t="s">
        <v>461</v>
      </c>
      <c r="G134" t="s">
        <v>473</v>
      </c>
      <c r="H134">
        <v>2</v>
      </c>
      <c r="I134" t="s">
        <v>460</v>
      </c>
      <c r="J134" t="s">
        <v>462</v>
      </c>
      <c r="K134">
        <v>2</v>
      </c>
      <c r="L134" t="s">
        <v>486</v>
      </c>
      <c r="M134" t="s">
        <v>556</v>
      </c>
      <c r="N134" t="s">
        <v>450</v>
      </c>
      <c r="O134" t="s">
        <v>453</v>
      </c>
      <c r="P134" t="s">
        <v>158</v>
      </c>
      <c r="Q134">
        <v>6</v>
      </c>
      <c r="R134" t="s">
        <v>1494</v>
      </c>
      <c r="S134">
        <v>12</v>
      </c>
      <c r="T134" t="s">
        <v>1485</v>
      </c>
      <c r="U134" t="s">
        <v>492</v>
      </c>
      <c r="V134" t="s">
        <v>1181</v>
      </c>
      <c r="W134" t="s">
        <v>399</v>
      </c>
      <c r="X134" t="s">
        <v>401</v>
      </c>
      <c r="Y134" t="s">
        <v>2444</v>
      </c>
    </row>
    <row r="135" spans="2:25">
      <c r="B135" t="s">
        <v>2438</v>
      </c>
      <c r="C135" t="s" vm="39">
        <v>701</v>
      </c>
      <c r="D135" t="s">
        <v>100</v>
      </c>
      <c r="E135" t="s">
        <v>485</v>
      </c>
      <c r="F135" t="s">
        <v>461</v>
      </c>
      <c r="G135" t="s">
        <v>473</v>
      </c>
      <c r="H135">
        <v>1</v>
      </c>
      <c r="I135" t="s">
        <v>458</v>
      </c>
      <c r="J135" t="s">
        <v>462</v>
      </c>
      <c r="K135">
        <v>2</v>
      </c>
      <c r="L135" t="s">
        <v>486</v>
      </c>
      <c r="M135" t="s">
        <v>556</v>
      </c>
      <c r="N135" t="s">
        <v>450</v>
      </c>
      <c r="O135" t="s">
        <v>453</v>
      </c>
      <c r="P135" t="s">
        <v>158</v>
      </c>
      <c r="Q135">
        <v>4</v>
      </c>
      <c r="R135" t="s">
        <v>1494</v>
      </c>
      <c r="S135">
        <v>8</v>
      </c>
      <c r="T135" t="s">
        <v>1485</v>
      </c>
      <c r="U135" t="s">
        <v>492</v>
      </c>
      <c r="V135" t="s">
        <v>1181</v>
      </c>
      <c r="W135" t="s">
        <v>399</v>
      </c>
      <c r="X135" t="s">
        <v>2129</v>
      </c>
      <c r="Y135" t="s">
        <v>2440</v>
      </c>
    </row>
    <row r="136" spans="2:25">
      <c r="B136" t="s">
        <v>2438</v>
      </c>
      <c r="C136" t="s" vm="39">
        <v>701</v>
      </c>
      <c r="D136" t="s">
        <v>100</v>
      </c>
      <c r="E136" t="s">
        <v>485</v>
      </c>
      <c r="F136" t="s">
        <v>461</v>
      </c>
      <c r="G136" t="s">
        <v>473</v>
      </c>
      <c r="H136">
        <v>1</v>
      </c>
      <c r="I136" t="s">
        <v>456</v>
      </c>
      <c r="J136" t="s">
        <v>463</v>
      </c>
      <c r="K136">
        <v>2</v>
      </c>
      <c r="L136" t="s">
        <v>486</v>
      </c>
      <c r="M136" t="s">
        <v>556</v>
      </c>
      <c r="N136" t="s">
        <v>450</v>
      </c>
      <c r="O136" t="s">
        <v>453</v>
      </c>
      <c r="P136" t="s">
        <v>158</v>
      </c>
      <c r="Q136">
        <v>4</v>
      </c>
      <c r="R136" t="s">
        <v>1494</v>
      </c>
      <c r="S136">
        <v>8</v>
      </c>
      <c r="T136" t="s">
        <v>1485</v>
      </c>
      <c r="U136" t="s">
        <v>492</v>
      </c>
      <c r="V136" t="s">
        <v>1181</v>
      </c>
      <c r="W136" t="s">
        <v>399</v>
      </c>
      <c r="X136" t="s">
        <v>2129</v>
      </c>
      <c r="Y136" t="s">
        <v>2439</v>
      </c>
    </row>
    <row r="137" spans="2:25">
      <c r="B137" t="s">
        <v>2436</v>
      </c>
      <c r="C137" t="s" vm="39">
        <v>701</v>
      </c>
      <c r="D137" t="s">
        <v>100</v>
      </c>
      <c r="E137" t="s">
        <v>485</v>
      </c>
      <c r="F137" t="s">
        <v>461</v>
      </c>
      <c r="G137" t="s">
        <v>487</v>
      </c>
      <c r="H137" t="s">
        <v>123</v>
      </c>
      <c r="I137" t="s">
        <v>460</v>
      </c>
      <c r="J137" t="s">
        <v>462</v>
      </c>
      <c r="K137">
        <v>2</v>
      </c>
      <c r="L137" t="s">
        <v>486</v>
      </c>
      <c r="M137" t="s">
        <v>556</v>
      </c>
      <c r="N137" t="s">
        <v>450</v>
      </c>
      <c r="O137" t="s">
        <v>453</v>
      </c>
      <c r="P137" t="s">
        <v>158</v>
      </c>
      <c r="Q137">
        <v>2</v>
      </c>
      <c r="R137" t="s">
        <v>1494</v>
      </c>
      <c r="S137">
        <v>1</v>
      </c>
      <c r="T137" t="s">
        <v>1516</v>
      </c>
      <c r="U137" t="s">
        <v>492</v>
      </c>
      <c r="V137" t="s">
        <v>1181</v>
      </c>
      <c r="W137" t="s">
        <v>399</v>
      </c>
      <c r="X137" t="s">
        <v>2129</v>
      </c>
      <c r="Y137" t="s">
        <v>2437</v>
      </c>
    </row>
    <row r="138" spans="2:25">
      <c r="B138" t="s">
        <v>2434</v>
      </c>
      <c r="C138" t="s" vm="39">
        <v>701</v>
      </c>
      <c r="D138" t="s">
        <v>100</v>
      </c>
      <c r="E138" t="s">
        <v>485</v>
      </c>
      <c r="F138" t="s">
        <v>461</v>
      </c>
      <c r="G138" t="s">
        <v>487</v>
      </c>
      <c r="H138" t="s">
        <v>123</v>
      </c>
      <c r="I138" t="s">
        <v>460</v>
      </c>
      <c r="J138" t="s">
        <v>462</v>
      </c>
      <c r="K138">
        <v>2</v>
      </c>
      <c r="L138" t="s">
        <v>486</v>
      </c>
      <c r="M138" t="s">
        <v>556</v>
      </c>
      <c r="N138" t="s">
        <v>450</v>
      </c>
      <c r="O138" t="s">
        <v>453</v>
      </c>
      <c r="P138" t="s">
        <v>158</v>
      </c>
      <c r="Q138">
        <v>2</v>
      </c>
      <c r="R138" t="s">
        <v>419</v>
      </c>
      <c r="S138">
        <v>1</v>
      </c>
      <c r="T138" t="s">
        <v>1516</v>
      </c>
      <c r="U138" t="s">
        <v>492</v>
      </c>
      <c r="V138" t="s">
        <v>1181</v>
      </c>
      <c r="W138" t="s">
        <v>399</v>
      </c>
      <c r="X138" t="s">
        <v>2129</v>
      </c>
      <c r="Y138" t="s">
        <v>2435</v>
      </c>
    </row>
    <row r="139" spans="2:25">
      <c r="B139" t="s">
        <v>2430</v>
      </c>
      <c r="C139" t="s" vm="39">
        <v>701</v>
      </c>
      <c r="D139" t="s">
        <v>100</v>
      </c>
      <c r="E139" t="s">
        <v>485</v>
      </c>
      <c r="F139" t="s">
        <v>461</v>
      </c>
      <c r="G139" t="s">
        <v>487</v>
      </c>
      <c r="H139" t="s">
        <v>123</v>
      </c>
      <c r="I139" t="s">
        <v>460</v>
      </c>
      <c r="J139" t="s">
        <v>462</v>
      </c>
      <c r="K139">
        <v>2</v>
      </c>
      <c r="L139" t="s">
        <v>486</v>
      </c>
      <c r="M139" t="s">
        <v>556</v>
      </c>
      <c r="N139" t="s">
        <v>450</v>
      </c>
      <c r="O139" t="s">
        <v>453</v>
      </c>
      <c r="P139" t="s">
        <v>421</v>
      </c>
      <c r="Q139">
        <v>0</v>
      </c>
      <c r="R139" t="s">
        <v>159</v>
      </c>
      <c r="S139">
        <v>0</v>
      </c>
      <c r="T139" t="s">
        <v>1516</v>
      </c>
      <c r="U139" t="s">
        <v>492</v>
      </c>
      <c r="V139" t="s">
        <v>1181</v>
      </c>
      <c r="W139" t="s">
        <v>399</v>
      </c>
      <c r="X139" t="s">
        <v>2129</v>
      </c>
      <c r="Y139" t="s">
        <v>2433</v>
      </c>
    </row>
    <row r="140" spans="2:25">
      <c r="B140" t="s">
        <v>2430</v>
      </c>
      <c r="C140" t="s" vm="39">
        <v>701</v>
      </c>
      <c r="D140" t="s">
        <v>100</v>
      </c>
      <c r="E140" t="s">
        <v>485</v>
      </c>
      <c r="F140" t="s">
        <v>461</v>
      </c>
      <c r="G140" t="s">
        <v>123</v>
      </c>
      <c r="H140" t="s">
        <v>123</v>
      </c>
      <c r="I140" t="s">
        <v>460</v>
      </c>
      <c r="J140" t="s">
        <v>462</v>
      </c>
      <c r="K140">
        <v>2</v>
      </c>
      <c r="L140" t="s">
        <v>486</v>
      </c>
      <c r="M140" t="s">
        <v>556</v>
      </c>
      <c r="N140" t="s">
        <v>450</v>
      </c>
      <c r="O140" t="s">
        <v>453</v>
      </c>
      <c r="P140" t="s">
        <v>421</v>
      </c>
      <c r="Q140">
        <v>0</v>
      </c>
      <c r="R140" t="s">
        <v>159</v>
      </c>
      <c r="S140">
        <v>0</v>
      </c>
      <c r="T140" t="s">
        <v>1516</v>
      </c>
      <c r="U140" t="s">
        <v>492</v>
      </c>
      <c r="V140" t="s">
        <v>1181</v>
      </c>
      <c r="W140" t="s">
        <v>399</v>
      </c>
      <c r="X140" t="s">
        <v>2129</v>
      </c>
      <c r="Y140" t="s">
        <v>2431</v>
      </c>
    </row>
    <row r="141" spans="2:25">
      <c r="B141" t="s">
        <v>2427</v>
      </c>
      <c r="C141" t="s" vm="39">
        <v>701</v>
      </c>
      <c r="D141" t="s">
        <v>333</v>
      </c>
      <c r="E141" t="s">
        <v>485</v>
      </c>
      <c r="F141" t="s">
        <v>461</v>
      </c>
      <c r="G141" t="s">
        <v>473</v>
      </c>
      <c r="H141">
        <v>2</v>
      </c>
      <c r="I141" t="s">
        <v>456</v>
      </c>
      <c r="J141" t="s">
        <v>463</v>
      </c>
      <c r="K141">
        <v>2</v>
      </c>
      <c r="L141" t="s">
        <v>486</v>
      </c>
      <c r="M141" t="s">
        <v>1022</v>
      </c>
      <c r="N141" t="s">
        <v>450</v>
      </c>
      <c r="O141" t="s">
        <v>453</v>
      </c>
      <c r="P141" t="s">
        <v>421</v>
      </c>
      <c r="Q141">
        <v>0</v>
      </c>
      <c r="R141" t="s">
        <v>159</v>
      </c>
      <c r="S141">
        <v>0</v>
      </c>
      <c r="T141" t="s">
        <v>1516</v>
      </c>
      <c r="U141" t="s">
        <v>492</v>
      </c>
      <c r="V141" t="s">
        <v>1181</v>
      </c>
      <c r="W141" t="s">
        <v>399</v>
      </c>
      <c r="X141" t="s">
        <v>401</v>
      </c>
      <c r="Y141" t="s">
        <v>2426</v>
      </c>
    </row>
    <row r="142" spans="2:25">
      <c r="B142" t="s">
        <v>2427</v>
      </c>
      <c r="C142" t="s" vm="39">
        <v>701</v>
      </c>
      <c r="D142" t="s">
        <v>333</v>
      </c>
      <c r="E142" t="s">
        <v>485</v>
      </c>
      <c r="F142" t="s">
        <v>461</v>
      </c>
      <c r="G142" t="s">
        <v>473</v>
      </c>
      <c r="H142">
        <v>2</v>
      </c>
      <c r="I142" t="s">
        <v>456</v>
      </c>
      <c r="J142" t="s">
        <v>463</v>
      </c>
      <c r="K142">
        <v>2</v>
      </c>
      <c r="L142" t="s">
        <v>486</v>
      </c>
      <c r="M142" t="s">
        <v>1022</v>
      </c>
      <c r="N142" t="s">
        <v>450</v>
      </c>
      <c r="O142" t="s">
        <v>453</v>
      </c>
      <c r="P142" t="s">
        <v>157</v>
      </c>
      <c r="Q142">
        <v>12</v>
      </c>
      <c r="R142" t="s">
        <v>419</v>
      </c>
      <c r="S142">
        <v>12</v>
      </c>
      <c r="T142" t="s">
        <v>1516</v>
      </c>
      <c r="U142" t="s">
        <v>492</v>
      </c>
      <c r="V142" t="s">
        <v>1181</v>
      </c>
      <c r="W142" t="s">
        <v>399</v>
      </c>
      <c r="X142" t="s">
        <v>401</v>
      </c>
      <c r="Y142" t="s">
        <v>2425</v>
      </c>
    </row>
    <row r="143" spans="2:25">
      <c r="B143" t="s">
        <v>2427</v>
      </c>
      <c r="C143" t="s" vm="39">
        <v>701</v>
      </c>
      <c r="D143" t="s">
        <v>333</v>
      </c>
      <c r="E143" t="s">
        <v>485</v>
      </c>
      <c r="F143" t="s">
        <v>461</v>
      </c>
      <c r="G143" t="s">
        <v>473</v>
      </c>
      <c r="H143">
        <v>2</v>
      </c>
      <c r="I143" t="s">
        <v>456</v>
      </c>
      <c r="J143" t="s">
        <v>463</v>
      </c>
      <c r="K143">
        <v>2</v>
      </c>
      <c r="L143" t="s">
        <v>486</v>
      </c>
      <c r="M143" t="s">
        <v>1022</v>
      </c>
      <c r="N143" t="s">
        <v>450</v>
      </c>
      <c r="O143" t="s">
        <v>453</v>
      </c>
      <c r="P143" t="s">
        <v>157</v>
      </c>
      <c r="Q143">
        <v>8</v>
      </c>
      <c r="R143" t="s">
        <v>419</v>
      </c>
      <c r="S143">
        <v>8</v>
      </c>
      <c r="T143" t="s">
        <v>1516</v>
      </c>
      <c r="U143" t="s">
        <v>492</v>
      </c>
      <c r="V143" t="s">
        <v>1181</v>
      </c>
      <c r="W143" t="s">
        <v>399</v>
      </c>
      <c r="X143" t="s">
        <v>401</v>
      </c>
      <c r="Y143" t="s">
        <v>2429</v>
      </c>
    </row>
    <row r="144" spans="2:25">
      <c r="B144" t="s">
        <v>2427</v>
      </c>
      <c r="C144" t="s" vm="39">
        <v>701</v>
      </c>
      <c r="D144" t="s">
        <v>333</v>
      </c>
      <c r="E144" t="s">
        <v>485</v>
      </c>
      <c r="F144" t="s">
        <v>461</v>
      </c>
      <c r="G144" t="s">
        <v>473</v>
      </c>
      <c r="H144">
        <v>2</v>
      </c>
      <c r="I144" t="s">
        <v>456</v>
      </c>
      <c r="J144" t="s">
        <v>463</v>
      </c>
      <c r="K144">
        <v>2</v>
      </c>
      <c r="L144" t="s">
        <v>486</v>
      </c>
      <c r="M144" t="s">
        <v>1022</v>
      </c>
      <c r="N144" t="s">
        <v>450</v>
      </c>
      <c r="O144" t="s">
        <v>453</v>
      </c>
      <c r="P144" t="s">
        <v>421</v>
      </c>
      <c r="Q144">
        <v>0</v>
      </c>
      <c r="R144" t="s">
        <v>159</v>
      </c>
      <c r="S144">
        <v>0</v>
      </c>
      <c r="T144" t="s">
        <v>1516</v>
      </c>
      <c r="U144" t="s">
        <v>492</v>
      </c>
      <c r="V144" t="s">
        <v>1181</v>
      </c>
      <c r="W144" t="s">
        <v>399</v>
      </c>
      <c r="X144" t="s">
        <v>401</v>
      </c>
      <c r="Y144" t="s">
        <v>2428</v>
      </c>
    </row>
    <row r="145" spans="2:25">
      <c r="B145" t="s">
        <v>2424</v>
      </c>
      <c r="C145" t="s" vm="39">
        <v>701</v>
      </c>
      <c r="D145" t="s">
        <v>333</v>
      </c>
      <c r="E145" t="s">
        <v>485</v>
      </c>
      <c r="F145" t="s">
        <v>461</v>
      </c>
      <c r="G145" t="s">
        <v>473</v>
      </c>
      <c r="H145">
        <v>2</v>
      </c>
      <c r="I145" t="s">
        <v>456</v>
      </c>
      <c r="J145" t="s">
        <v>463</v>
      </c>
      <c r="K145">
        <v>2</v>
      </c>
      <c r="L145" t="s">
        <v>486</v>
      </c>
      <c r="M145" t="s">
        <v>1022</v>
      </c>
      <c r="N145" t="s">
        <v>450</v>
      </c>
      <c r="O145" t="s">
        <v>453</v>
      </c>
      <c r="P145" t="s">
        <v>421</v>
      </c>
      <c r="Q145">
        <v>0</v>
      </c>
      <c r="R145" t="s">
        <v>159</v>
      </c>
      <c r="S145">
        <v>0</v>
      </c>
      <c r="T145" t="s">
        <v>1516</v>
      </c>
      <c r="U145" t="s">
        <v>492</v>
      </c>
      <c r="V145" t="s">
        <v>1181</v>
      </c>
      <c r="W145" t="s">
        <v>399</v>
      </c>
      <c r="X145" t="s">
        <v>401</v>
      </c>
      <c r="Y145" t="s">
        <v>2426</v>
      </c>
    </row>
    <row r="146" spans="2:25">
      <c r="B146" t="s">
        <v>2424</v>
      </c>
      <c r="C146" t="s" vm="39">
        <v>701</v>
      </c>
      <c r="D146" t="s">
        <v>333</v>
      </c>
      <c r="E146" t="s">
        <v>485</v>
      </c>
      <c r="F146" t="s">
        <v>461</v>
      </c>
      <c r="G146" t="s">
        <v>473</v>
      </c>
      <c r="H146">
        <v>2</v>
      </c>
      <c r="I146" t="s">
        <v>456</v>
      </c>
      <c r="J146" t="s">
        <v>463</v>
      </c>
      <c r="K146">
        <v>2</v>
      </c>
      <c r="L146" t="s">
        <v>486</v>
      </c>
      <c r="M146" t="s">
        <v>1022</v>
      </c>
      <c r="N146" t="s">
        <v>450</v>
      </c>
      <c r="O146" t="s">
        <v>453</v>
      </c>
      <c r="P146" t="s">
        <v>157</v>
      </c>
      <c r="Q146">
        <v>12</v>
      </c>
      <c r="R146" t="s">
        <v>419</v>
      </c>
      <c r="S146">
        <v>12</v>
      </c>
      <c r="T146" t="s">
        <v>1516</v>
      </c>
      <c r="U146" t="s">
        <v>492</v>
      </c>
      <c r="V146" t="s">
        <v>1181</v>
      </c>
      <c r="W146" t="s">
        <v>399</v>
      </c>
      <c r="X146" t="s">
        <v>401</v>
      </c>
      <c r="Y146" t="s">
        <v>2425</v>
      </c>
    </row>
    <row r="147" spans="2:25">
      <c r="B147" t="s">
        <v>2408</v>
      </c>
      <c r="C147" t="s" vm="39">
        <v>701</v>
      </c>
      <c r="D147" t="s">
        <v>333</v>
      </c>
      <c r="E147" t="s">
        <v>485</v>
      </c>
      <c r="F147" t="s">
        <v>461</v>
      </c>
      <c r="G147" t="s">
        <v>473</v>
      </c>
      <c r="H147">
        <v>2</v>
      </c>
      <c r="I147" t="s">
        <v>456</v>
      </c>
      <c r="J147" t="s">
        <v>464</v>
      </c>
      <c r="K147">
        <v>2</v>
      </c>
      <c r="L147" t="s">
        <v>486</v>
      </c>
      <c r="M147" t="s">
        <v>1022</v>
      </c>
      <c r="N147" t="s">
        <v>450</v>
      </c>
      <c r="O147" t="s">
        <v>453</v>
      </c>
      <c r="P147" t="s">
        <v>421</v>
      </c>
      <c r="Q147">
        <v>0</v>
      </c>
      <c r="R147" t="s">
        <v>159</v>
      </c>
      <c r="S147">
        <v>0</v>
      </c>
      <c r="T147" t="s">
        <v>2413</v>
      </c>
      <c r="U147" t="s">
        <v>492</v>
      </c>
      <c r="V147" t="s">
        <v>1181</v>
      </c>
      <c r="W147" t="s">
        <v>399</v>
      </c>
      <c r="X147" t="s">
        <v>401</v>
      </c>
      <c r="Y147" t="s">
        <v>2423</v>
      </c>
    </row>
    <row r="148" spans="2:25">
      <c r="B148" t="s">
        <v>2408</v>
      </c>
      <c r="C148" t="s" vm="39">
        <v>701</v>
      </c>
      <c r="D148" t="s">
        <v>333</v>
      </c>
      <c r="E148" t="s">
        <v>485</v>
      </c>
      <c r="F148" t="s">
        <v>461</v>
      </c>
      <c r="G148" t="s">
        <v>473</v>
      </c>
      <c r="H148">
        <v>2</v>
      </c>
      <c r="I148" t="s">
        <v>456</v>
      </c>
      <c r="J148" t="s">
        <v>464</v>
      </c>
      <c r="K148">
        <v>2</v>
      </c>
      <c r="L148" t="s">
        <v>486</v>
      </c>
      <c r="M148" t="s">
        <v>1022</v>
      </c>
      <c r="N148" t="s">
        <v>450</v>
      </c>
      <c r="O148" t="s">
        <v>453</v>
      </c>
      <c r="P148" t="s">
        <v>421</v>
      </c>
      <c r="Q148">
        <v>0</v>
      </c>
      <c r="R148" t="s">
        <v>159</v>
      </c>
      <c r="S148">
        <v>0</v>
      </c>
      <c r="T148" t="s">
        <v>1516</v>
      </c>
      <c r="U148" t="s">
        <v>492</v>
      </c>
      <c r="V148" t="s">
        <v>1181</v>
      </c>
      <c r="W148" t="s">
        <v>399</v>
      </c>
      <c r="X148" t="s">
        <v>401</v>
      </c>
      <c r="Y148" t="s">
        <v>2422</v>
      </c>
    </row>
    <row r="149" spans="2:25">
      <c r="B149" t="s">
        <v>2408</v>
      </c>
      <c r="C149" t="s" vm="39">
        <v>701</v>
      </c>
      <c r="D149" t="s">
        <v>333</v>
      </c>
      <c r="E149" t="s">
        <v>485</v>
      </c>
      <c r="F149" t="s">
        <v>461</v>
      </c>
      <c r="G149" t="s">
        <v>473</v>
      </c>
      <c r="H149">
        <v>2</v>
      </c>
      <c r="I149" t="s">
        <v>456</v>
      </c>
      <c r="J149" t="s">
        <v>464</v>
      </c>
      <c r="K149">
        <v>2</v>
      </c>
      <c r="L149" t="s">
        <v>486</v>
      </c>
      <c r="M149" t="s">
        <v>1022</v>
      </c>
      <c r="N149" t="s">
        <v>450</v>
      </c>
      <c r="O149" t="s">
        <v>453</v>
      </c>
      <c r="P149" t="s">
        <v>421</v>
      </c>
      <c r="Q149">
        <v>0</v>
      </c>
      <c r="R149" t="s">
        <v>1494</v>
      </c>
      <c r="S149">
        <v>12</v>
      </c>
      <c r="T149" t="s">
        <v>1516</v>
      </c>
      <c r="U149" t="s">
        <v>492</v>
      </c>
      <c r="V149" t="s">
        <v>1181</v>
      </c>
      <c r="W149" t="s">
        <v>399</v>
      </c>
      <c r="X149" t="s">
        <v>401</v>
      </c>
      <c r="Y149" t="s">
        <v>2421</v>
      </c>
    </row>
    <row r="150" spans="2:25">
      <c r="B150" t="s">
        <v>2408</v>
      </c>
      <c r="C150" t="s" vm="39">
        <v>701</v>
      </c>
      <c r="D150" t="s">
        <v>333</v>
      </c>
      <c r="E150" t="s">
        <v>485</v>
      </c>
      <c r="F150" t="s">
        <v>461</v>
      </c>
      <c r="G150" t="s">
        <v>473</v>
      </c>
      <c r="H150">
        <v>2</v>
      </c>
      <c r="I150" t="s">
        <v>456</v>
      </c>
      <c r="J150" t="s">
        <v>464</v>
      </c>
      <c r="K150">
        <v>2</v>
      </c>
      <c r="L150" t="s">
        <v>486</v>
      </c>
      <c r="M150" t="s">
        <v>1022</v>
      </c>
      <c r="N150" t="s">
        <v>450</v>
      </c>
      <c r="O150" t="s">
        <v>453</v>
      </c>
      <c r="P150" t="s">
        <v>421</v>
      </c>
      <c r="Q150">
        <v>0</v>
      </c>
      <c r="R150" t="s">
        <v>419</v>
      </c>
      <c r="S150">
        <v>12</v>
      </c>
      <c r="T150" t="s">
        <v>1516</v>
      </c>
      <c r="U150" t="s">
        <v>492</v>
      </c>
      <c r="V150" t="s">
        <v>1181</v>
      </c>
      <c r="W150" t="s">
        <v>399</v>
      </c>
      <c r="X150" t="s">
        <v>401</v>
      </c>
      <c r="Y150" t="s">
        <v>2420</v>
      </c>
    </row>
    <row r="151" spans="2:25">
      <c r="B151" t="s">
        <v>2408</v>
      </c>
      <c r="C151" t="s" vm="39">
        <v>701</v>
      </c>
      <c r="D151" t="s">
        <v>333</v>
      </c>
      <c r="E151" t="s">
        <v>485</v>
      </c>
      <c r="F151" t="s">
        <v>461</v>
      </c>
      <c r="G151" t="s">
        <v>473</v>
      </c>
      <c r="H151">
        <v>2</v>
      </c>
      <c r="I151" t="s">
        <v>456</v>
      </c>
      <c r="J151" t="s">
        <v>464</v>
      </c>
      <c r="K151">
        <v>2</v>
      </c>
      <c r="L151" t="s">
        <v>486</v>
      </c>
      <c r="M151" t="s">
        <v>1022</v>
      </c>
      <c r="N151" t="s">
        <v>450</v>
      </c>
      <c r="O151" t="s">
        <v>453</v>
      </c>
      <c r="P151" t="s">
        <v>421</v>
      </c>
      <c r="Q151">
        <v>0</v>
      </c>
      <c r="R151" t="s">
        <v>419</v>
      </c>
      <c r="S151">
        <v>12</v>
      </c>
      <c r="T151" t="s">
        <v>2413</v>
      </c>
      <c r="U151" t="s">
        <v>492</v>
      </c>
      <c r="V151" t="s">
        <v>1181</v>
      </c>
      <c r="W151" t="s">
        <v>399</v>
      </c>
      <c r="X151" t="s">
        <v>401</v>
      </c>
      <c r="Y151" t="s">
        <v>2419</v>
      </c>
    </row>
    <row r="152" spans="2:25">
      <c r="B152" t="s">
        <v>2408</v>
      </c>
      <c r="C152" t="s" vm="39">
        <v>701</v>
      </c>
      <c r="D152" t="s">
        <v>333</v>
      </c>
      <c r="E152" t="s">
        <v>485</v>
      </c>
      <c r="F152" t="s">
        <v>461</v>
      </c>
      <c r="G152" t="s">
        <v>473</v>
      </c>
      <c r="H152">
        <v>2</v>
      </c>
      <c r="I152" t="s">
        <v>456</v>
      </c>
      <c r="J152" t="s">
        <v>464</v>
      </c>
      <c r="K152">
        <v>2</v>
      </c>
      <c r="L152" t="s">
        <v>486</v>
      </c>
      <c r="M152" t="s">
        <v>1022</v>
      </c>
      <c r="N152" t="s">
        <v>450</v>
      </c>
      <c r="O152" t="s">
        <v>453</v>
      </c>
      <c r="P152" t="s">
        <v>421</v>
      </c>
      <c r="Q152">
        <v>0</v>
      </c>
      <c r="R152" t="s">
        <v>419</v>
      </c>
      <c r="S152">
        <v>12</v>
      </c>
      <c r="T152" t="s">
        <v>2413</v>
      </c>
      <c r="U152" t="s">
        <v>492</v>
      </c>
      <c r="V152" t="s">
        <v>1181</v>
      </c>
      <c r="W152" t="s">
        <v>399</v>
      </c>
      <c r="X152" t="s">
        <v>401</v>
      </c>
      <c r="Y152" t="s">
        <v>2417</v>
      </c>
    </row>
    <row r="153" spans="2:25">
      <c r="B153" t="s">
        <v>2408</v>
      </c>
      <c r="C153" t="s" vm="39">
        <v>701</v>
      </c>
      <c r="D153" t="s">
        <v>333</v>
      </c>
      <c r="E153" t="s">
        <v>485</v>
      </c>
      <c r="F153" t="s">
        <v>461</v>
      </c>
      <c r="G153" t="s">
        <v>473</v>
      </c>
      <c r="H153">
        <v>2</v>
      </c>
      <c r="I153" t="s">
        <v>456</v>
      </c>
      <c r="J153" t="s">
        <v>464</v>
      </c>
      <c r="K153">
        <v>2</v>
      </c>
      <c r="L153" t="s">
        <v>486</v>
      </c>
      <c r="M153" t="s">
        <v>1022</v>
      </c>
      <c r="N153" t="s">
        <v>450</v>
      </c>
      <c r="O153" t="s">
        <v>453</v>
      </c>
      <c r="P153" t="s">
        <v>421</v>
      </c>
      <c r="Q153">
        <v>0</v>
      </c>
      <c r="R153" t="s">
        <v>1494</v>
      </c>
      <c r="S153">
        <v>12</v>
      </c>
      <c r="T153" t="s">
        <v>1516</v>
      </c>
      <c r="U153" t="s">
        <v>492</v>
      </c>
      <c r="V153" t="s">
        <v>1181</v>
      </c>
      <c r="W153" t="s">
        <v>399</v>
      </c>
      <c r="X153" t="s">
        <v>401</v>
      </c>
      <c r="Y153" t="s">
        <v>2416</v>
      </c>
    </row>
    <row r="154" spans="2:25">
      <c r="B154" t="s">
        <v>2408</v>
      </c>
      <c r="C154" t="s" vm="39">
        <v>701</v>
      </c>
      <c r="D154" t="s">
        <v>333</v>
      </c>
      <c r="E154" t="s">
        <v>485</v>
      </c>
      <c r="F154" t="s">
        <v>461</v>
      </c>
      <c r="G154" t="s">
        <v>473</v>
      </c>
      <c r="H154">
        <v>2</v>
      </c>
      <c r="I154" t="s">
        <v>456</v>
      </c>
      <c r="J154" t="s">
        <v>464</v>
      </c>
      <c r="K154">
        <v>2</v>
      </c>
      <c r="L154" t="s">
        <v>486</v>
      </c>
      <c r="M154" t="s">
        <v>1022</v>
      </c>
      <c r="N154" t="s">
        <v>450</v>
      </c>
      <c r="O154" t="s">
        <v>453</v>
      </c>
      <c r="P154" t="s">
        <v>421</v>
      </c>
      <c r="Q154">
        <v>0</v>
      </c>
      <c r="R154" t="s">
        <v>419</v>
      </c>
      <c r="S154">
        <v>12</v>
      </c>
      <c r="T154" t="s">
        <v>1516</v>
      </c>
      <c r="U154" t="s">
        <v>492</v>
      </c>
      <c r="V154" t="s">
        <v>1181</v>
      </c>
      <c r="W154" t="s">
        <v>399</v>
      </c>
      <c r="X154" t="s">
        <v>401</v>
      </c>
      <c r="Y154" t="s">
        <v>2415</v>
      </c>
    </row>
    <row r="155" spans="2:25">
      <c r="B155" t="s">
        <v>2408</v>
      </c>
      <c r="C155" t="s" vm="39">
        <v>701</v>
      </c>
      <c r="D155" t="s">
        <v>333</v>
      </c>
      <c r="E155" t="s">
        <v>485</v>
      </c>
      <c r="F155" t="s">
        <v>461</v>
      </c>
      <c r="G155" t="s">
        <v>473</v>
      </c>
      <c r="H155">
        <v>2</v>
      </c>
      <c r="I155" t="s">
        <v>456</v>
      </c>
      <c r="J155" t="s">
        <v>464</v>
      </c>
      <c r="K155">
        <v>2</v>
      </c>
      <c r="L155" t="s">
        <v>486</v>
      </c>
      <c r="M155" t="s">
        <v>1022</v>
      </c>
      <c r="N155" t="s">
        <v>450</v>
      </c>
      <c r="O155" t="s">
        <v>453</v>
      </c>
      <c r="P155" t="s">
        <v>421</v>
      </c>
      <c r="Q155">
        <v>0</v>
      </c>
      <c r="R155" t="s">
        <v>159</v>
      </c>
      <c r="S155">
        <v>0</v>
      </c>
      <c r="T155" t="s">
        <v>1516</v>
      </c>
      <c r="U155" t="s">
        <v>492</v>
      </c>
      <c r="V155" t="s">
        <v>1181</v>
      </c>
      <c r="W155" t="s">
        <v>399</v>
      </c>
      <c r="X155" t="s">
        <v>401</v>
      </c>
      <c r="Y155" t="s">
        <v>2414</v>
      </c>
    </row>
    <row r="156" spans="2:25">
      <c r="B156" t="s">
        <v>2408</v>
      </c>
      <c r="C156" t="s" vm="39">
        <v>701</v>
      </c>
      <c r="D156" t="s">
        <v>100</v>
      </c>
      <c r="E156" t="s">
        <v>485</v>
      </c>
      <c r="F156" t="s">
        <v>461</v>
      </c>
      <c r="G156" t="s">
        <v>473</v>
      </c>
      <c r="H156">
        <v>1</v>
      </c>
      <c r="I156" t="s">
        <v>458</v>
      </c>
      <c r="J156" t="s">
        <v>463</v>
      </c>
      <c r="K156">
        <v>2</v>
      </c>
      <c r="L156" t="s">
        <v>486</v>
      </c>
      <c r="M156" t="s">
        <v>556</v>
      </c>
      <c r="N156" t="s">
        <v>450</v>
      </c>
      <c r="O156" t="s">
        <v>453</v>
      </c>
      <c r="P156" t="s">
        <v>421</v>
      </c>
      <c r="Q156">
        <v>0</v>
      </c>
      <c r="R156" t="s">
        <v>159</v>
      </c>
      <c r="S156">
        <v>0</v>
      </c>
      <c r="T156" t="s">
        <v>1516</v>
      </c>
      <c r="U156" t="s">
        <v>492</v>
      </c>
      <c r="V156" t="s">
        <v>1181</v>
      </c>
      <c r="W156" t="s">
        <v>399</v>
      </c>
      <c r="X156" t="s">
        <v>2129</v>
      </c>
      <c r="Y156" t="s">
        <v>2411</v>
      </c>
    </row>
    <row r="157" spans="2:25">
      <c r="B157" t="s">
        <v>2408</v>
      </c>
      <c r="C157" t="s" vm="39">
        <v>701</v>
      </c>
      <c r="D157" t="s">
        <v>100</v>
      </c>
      <c r="E157" t="s">
        <v>485</v>
      </c>
      <c r="F157" t="s">
        <v>461</v>
      </c>
      <c r="G157" t="s">
        <v>473</v>
      </c>
      <c r="H157">
        <v>1</v>
      </c>
      <c r="I157" t="s">
        <v>458</v>
      </c>
      <c r="J157" t="s">
        <v>463</v>
      </c>
      <c r="K157">
        <v>2</v>
      </c>
      <c r="L157" t="s">
        <v>486</v>
      </c>
      <c r="M157" t="s">
        <v>556</v>
      </c>
      <c r="N157" t="s">
        <v>450</v>
      </c>
      <c r="O157" t="s">
        <v>453</v>
      </c>
      <c r="P157" t="s">
        <v>421</v>
      </c>
      <c r="Q157">
        <v>0</v>
      </c>
      <c r="R157" t="s">
        <v>159</v>
      </c>
      <c r="S157">
        <v>0</v>
      </c>
      <c r="T157" t="s">
        <v>1516</v>
      </c>
      <c r="U157" t="s">
        <v>492</v>
      </c>
      <c r="V157" t="s">
        <v>1181</v>
      </c>
      <c r="W157" t="s">
        <v>399</v>
      </c>
      <c r="X157" t="s">
        <v>2129</v>
      </c>
      <c r="Y157" t="s">
        <v>2410</v>
      </c>
    </row>
    <row r="158" spans="2:25">
      <c r="B158" t="s">
        <v>2408</v>
      </c>
      <c r="C158" t="s" vm="39">
        <v>701</v>
      </c>
      <c r="D158" t="s">
        <v>100</v>
      </c>
      <c r="E158" t="s">
        <v>485</v>
      </c>
      <c r="F158" t="s">
        <v>461</v>
      </c>
      <c r="G158" t="s">
        <v>473</v>
      </c>
      <c r="H158">
        <v>1</v>
      </c>
      <c r="I158" t="s">
        <v>458</v>
      </c>
      <c r="J158" t="s">
        <v>463</v>
      </c>
      <c r="K158">
        <v>2</v>
      </c>
      <c r="L158" t="s">
        <v>486</v>
      </c>
      <c r="M158" t="s">
        <v>556</v>
      </c>
      <c r="N158" t="s">
        <v>450</v>
      </c>
      <c r="O158" t="s">
        <v>453</v>
      </c>
      <c r="P158" t="s">
        <v>421</v>
      </c>
      <c r="Q158">
        <v>0</v>
      </c>
      <c r="R158" t="s">
        <v>159</v>
      </c>
      <c r="S158">
        <v>0</v>
      </c>
      <c r="T158" t="s">
        <v>1516</v>
      </c>
      <c r="U158" t="s">
        <v>492</v>
      </c>
      <c r="V158" t="s">
        <v>1181</v>
      </c>
      <c r="W158" t="s">
        <v>399</v>
      </c>
      <c r="X158" t="s">
        <v>2129</v>
      </c>
      <c r="Y158" t="s">
        <v>2409</v>
      </c>
    </row>
    <row r="159" spans="2:25">
      <c r="B159" t="s">
        <v>2405</v>
      </c>
      <c r="C159" t="s" vm="39">
        <v>701</v>
      </c>
      <c r="D159" t="s">
        <v>100</v>
      </c>
      <c r="E159" t="s">
        <v>485</v>
      </c>
      <c r="F159" t="s">
        <v>461</v>
      </c>
      <c r="G159" t="s">
        <v>473</v>
      </c>
      <c r="H159">
        <v>1</v>
      </c>
      <c r="I159" t="s">
        <v>458</v>
      </c>
      <c r="J159" t="s">
        <v>463</v>
      </c>
      <c r="K159">
        <v>2</v>
      </c>
      <c r="L159" t="s">
        <v>486</v>
      </c>
      <c r="M159" t="s">
        <v>556</v>
      </c>
      <c r="N159" t="s">
        <v>450</v>
      </c>
      <c r="O159" t="s">
        <v>453</v>
      </c>
      <c r="P159" t="s">
        <v>421</v>
      </c>
      <c r="Q159">
        <v>0</v>
      </c>
      <c r="R159" t="s">
        <v>159</v>
      </c>
      <c r="S159">
        <v>0</v>
      </c>
      <c r="T159" t="s">
        <v>1516</v>
      </c>
      <c r="U159" t="s">
        <v>492</v>
      </c>
      <c r="V159" t="s">
        <v>1181</v>
      </c>
      <c r="W159" t="s">
        <v>399</v>
      </c>
      <c r="X159" t="s">
        <v>2129</v>
      </c>
      <c r="Y159" t="s">
        <v>2407</v>
      </c>
    </row>
    <row r="160" spans="2:25">
      <c r="B160" t="s">
        <v>2405</v>
      </c>
      <c r="C160" t="s" vm="39">
        <v>701</v>
      </c>
      <c r="D160" t="s">
        <v>333</v>
      </c>
      <c r="E160" t="s">
        <v>485</v>
      </c>
      <c r="F160" t="s">
        <v>217</v>
      </c>
      <c r="G160" t="s">
        <v>473</v>
      </c>
      <c r="H160">
        <v>1</v>
      </c>
      <c r="I160" t="s">
        <v>457</v>
      </c>
      <c r="J160" t="s">
        <v>464</v>
      </c>
      <c r="K160">
        <v>1</v>
      </c>
      <c r="L160" t="s">
        <v>486</v>
      </c>
      <c r="M160" t="s">
        <v>1022</v>
      </c>
      <c r="N160" t="s">
        <v>450</v>
      </c>
      <c r="O160" t="s">
        <v>453</v>
      </c>
      <c r="P160" t="s">
        <v>157</v>
      </c>
      <c r="Q160">
        <v>12</v>
      </c>
      <c r="R160" t="s">
        <v>419</v>
      </c>
      <c r="S160">
        <v>12</v>
      </c>
      <c r="T160" t="s">
        <v>1516</v>
      </c>
      <c r="U160" t="s">
        <v>492</v>
      </c>
      <c r="V160" t="s">
        <v>1181</v>
      </c>
      <c r="W160" t="s">
        <v>399</v>
      </c>
      <c r="X160" t="s">
        <v>401</v>
      </c>
      <c r="Y160" t="s">
        <v>2406</v>
      </c>
    </row>
    <row r="161" spans="2:25">
      <c r="B161" t="s">
        <v>2403</v>
      </c>
      <c r="C161" t="s" vm="39">
        <v>701</v>
      </c>
      <c r="D161" t="s">
        <v>1019</v>
      </c>
      <c r="E161" t="s">
        <v>485</v>
      </c>
      <c r="F161" t="s">
        <v>461</v>
      </c>
      <c r="G161" t="s">
        <v>473</v>
      </c>
      <c r="H161">
        <v>2</v>
      </c>
      <c r="I161" t="s">
        <v>456</v>
      </c>
      <c r="J161" t="s">
        <v>464</v>
      </c>
      <c r="K161">
        <v>2</v>
      </c>
      <c r="L161" t="s">
        <v>486</v>
      </c>
      <c r="M161" t="s">
        <v>1475</v>
      </c>
      <c r="N161" t="s">
        <v>450</v>
      </c>
      <c r="O161" t="s">
        <v>453</v>
      </c>
      <c r="P161" t="s">
        <v>157</v>
      </c>
      <c r="Q161">
        <v>6</v>
      </c>
      <c r="R161" t="s">
        <v>2402</v>
      </c>
      <c r="S161">
        <v>12</v>
      </c>
      <c r="T161" t="s">
        <v>2401</v>
      </c>
      <c r="U161" t="s">
        <v>492</v>
      </c>
      <c r="V161" t="s">
        <v>1181</v>
      </c>
      <c r="W161" t="s">
        <v>399</v>
      </c>
      <c r="X161" t="s">
        <v>401</v>
      </c>
      <c r="Y161" t="s">
        <v>2404</v>
      </c>
    </row>
    <row r="162" spans="2:25">
      <c r="B162" t="s">
        <v>2394</v>
      </c>
      <c r="C162" t="s" vm="39">
        <v>701</v>
      </c>
      <c r="D162" t="s">
        <v>333</v>
      </c>
      <c r="E162" t="s">
        <v>485</v>
      </c>
      <c r="F162" t="s">
        <v>461</v>
      </c>
      <c r="G162" t="s">
        <v>473</v>
      </c>
      <c r="H162">
        <v>2</v>
      </c>
      <c r="I162" t="s">
        <v>2398</v>
      </c>
      <c r="J162" t="s">
        <v>463</v>
      </c>
      <c r="K162">
        <v>2</v>
      </c>
      <c r="L162" t="s">
        <v>486</v>
      </c>
      <c r="M162" t="s">
        <v>1022</v>
      </c>
      <c r="N162" t="s">
        <v>450</v>
      </c>
      <c r="O162" t="s">
        <v>453</v>
      </c>
      <c r="P162" t="s">
        <v>421</v>
      </c>
      <c r="Q162">
        <v>0</v>
      </c>
      <c r="R162" t="s">
        <v>159</v>
      </c>
      <c r="S162">
        <v>0</v>
      </c>
      <c r="T162" t="s">
        <v>1516</v>
      </c>
      <c r="U162" t="s">
        <v>492</v>
      </c>
      <c r="V162" t="s">
        <v>1181</v>
      </c>
      <c r="W162" t="s">
        <v>399</v>
      </c>
      <c r="X162" t="s">
        <v>401</v>
      </c>
      <c r="Y162" t="s">
        <v>2400</v>
      </c>
    </row>
    <row r="163" spans="2:25">
      <c r="B163" t="s">
        <v>2394</v>
      </c>
      <c r="C163" t="s" vm="39">
        <v>701</v>
      </c>
      <c r="D163" t="s">
        <v>333</v>
      </c>
      <c r="E163" t="s">
        <v>485</v>
      </c>
      <c r="F163" t="s">
        <v>461</v>
      </c>
      <c r="G163" t="s">
        <v>473</v>
      </c>
      <c r="H163">
        <v>2</v>
      </c>
      <c r="I163" t="s">
        <v>2398</v>
      </c>
      <c r="J163" t="s">
        <v>463</v>
      </c>
      <c r="K163">
        <v>2</v>
      </c>
      <c r="L163" t="s">
        <v>486</v>
      </c>
      <c r="M163" t="s">
        <v>1022</v>
      </c>
      <c r="N163" t="s">
        <v>450</v>
      </c>
      <c r="O163" t="s">
        <v>453</v>
      </c>
      <c r="P163" t="s">
        <v>157</v>
      </c>
      <c r="Q163">
        <v>12</v>
      </c>
      <c r="R163" t="s">
        <v>1494</v>
      </c>
      <c r="S163">
        <v>12</v>
      </c>
      <c r="T163" t="s">
        <v>1516</v>
      </c>
      <c r="U163" t="s">
        <v>492</v>
      </c>
      <c r="V163" t="s">
        <v>1181</v>
      </c>
      <c r="W163" t="s">
        <v>399</v>
      </c>
      <c r="X163" t="s">
        <v>401</v>
      </c>
      <c r="Y163" t="s">
        <v>2399</v>
      </c>
    </row>
    <row r="164" spans="2:25">
      <c r="B164" t="s">
        <v>2394</v>
      </c>
      <c r="C164" t="s" vm="39">
        <v>701</v>
      </c>
      <c r="D164" t="s">
        <v>333</v>
      </c>
      <c r="E164" t="s">
        <v>485</v>
      </c>
      <c r="F164" t="s">
        <v>461</v>
      </c>
      <c r="G164" t="s">
        <v>473</v>
      </c>
      <c r="H164">
        <v>2</v>
      </c>
      <c r="I164" t="s">
        <v>458</v>
      </c>
      <c r="J164" t="s">
        <v>463</v>
      </c>
      <c r="K164">
        <v>2</v>
      </c>
      <c r="L164" t="s">
        <v>486</v>
      </c>
      <c r="M164" t="s">
        <v>1022</v>
      </c>
      <c r="N164" t="s">
        <v>450</v>
      </c>
      <c r="O164" t="s">
        <v>453</v>
      </c>
      <c r="P164" t="s">
        <v>157</v>
      </c>
      <c r="Q164">
        <v>12</v>
      </c>
      <c r="R164" t="s">
        <v>1494</v>
      </c>
      <c r="S164">
        <v>12</v>
      </c>
      <c r="T164" t="s">
        <v>1516</v>
      </c>
      <c r="U164" t="s">
        <v>492</v>
      </c>
      <c r="V164" t="s">
        <v>1181</v>
      </c>
      <c r="W164" t="s">
        <v>399</v>
      </c>
      <c r="X164" t="s">
        <v>401</v>
      </c>
      <c r="Y164" t="s">
        <v>2397</v>
      </c>
    </row>
    <row r="165" spans="2:25">
      <c r="B165" t="s">
        <v>2394</v>
      </c>
      <c r="C165" t="s" vm="39">
        <v>701</v>
      </c>
      <c r="D165" t="s">
        <v>333</v>
      </c>
      <c r="E165" t="s">
        <v>485</v>
      </c>
      <c r="F165" t="s">
        <v>461</v>
      </c>
      <c r="G165" t="s">
        <v>473</v>
      </c>
      <c r="H165">
        <v>2</v>
      </c>
      <c r="I165" t="s">
        <v>458</v>
      </c>
      <c r="J165" t="s">
        <v>463</v>
      </c>
      <c r="K165">
        <v>2</v>
      </c>
      <c r="L165" t="s">
        <v>486</v>
      </c>
      <c r="M165" t="s">
        <v>1022</v>
      </c>
      <c r="N165" t="s">
        <v>450</v>
      </c>
      <c r="O165" t="s">
        <v>453</v>
      </c>
      <c r="P165" t="s">
        <v>157</v>
      </c>
      <c r="Q165">
        <v>12</v>
      </c>
      <c r="R165" t="s">
        <v>1494</v>
      </c>
      <c r="S165">
        <v>12</v>
      </c>
      <c r="T165" t="s">
        <v>1516</v>
      </c>
      <c r="U165" t="s">
        <v>492</v>
      </c>
      <c r="V165" t="s">
        <v>1181</v>
      </c>
      <c r="W165" t="s">
        <v>399</v>
      </c>
      <c r="X165" t="s">
        <v>401</v>
      </c>
      <c r="Y165" t="s">
        <v>2397</v>
      </c>
    </row>
    <row r="166" spans="2:25">
      <c r="B166" t="s">
        <v>2394</v>
      </c>
      <c r="C166" t="s" vm="39">
        <v>701</v>
      </c>
      <c r="D166" t="s">
        <v>333</v>
      </c>
      <c r="E166" t="s">
        <v>485</v>
      </c>
      <c r="F166" t="s">
        <v>461</v>
      </c>
      <c r="G166" t="s">
        <v>473</v>
      </c>
      <c r="H166">
        <v>2</v>
      </c>
      <c r="I166" t="s">
        <v>460</v>
      </c>
      <c r="J166" t="s">
        <v>463</v>
      </c>
      <c r="K166">
        <v>2</v>
      </c>
      <c r="L166" t="s">
        <v>486</v>
      </c>
      <c r="M166" t="s">
        <v>1022</v>
      </c>
      <c r="N166" t="s">
        <v>450</v>
      </c>
      <c r="O166" t="s">
        <v>453</v>
      </c>
      <c r="P166" t="s">
        <v>157</v>
      </c>
      <c r="Q166">
        <v>12</v>
      </c>
      <c r="R166" t="s">
        <v>1494</v>
      </c>
      <c r="S166">
        <v>12</v>
      </c>
      <c r="T166" t="s">
        <v>1516</v>
      </c>
      <c r="U166" t="s">
        <v>492</v>
      </c>
      <c r="V166" t="s">
        <v>1181</v>
      </c>
      <c r="W166" t="s">
        <v>399</v>
      </c>
      <c r="X166" t="s">
        <v>401</v>
      </c>
      <c r="Y166" t="s">
        <v>2395</v>
      </c>
    </row>
    <row r="167" spans="2:25">
      <c r="B167" t="s">
        <v>2394</v>
      </c>
      <c r="C167" t="s" vm="39">
        <v>701</v>
      </c>
      <c r="D167" t="s">
        <v>333</v>
      </c>
      <c r="E167" t="s">
        <v>485</v>
      </c>
      <c r="F167" t="s">
        <v>461</v>
      </c>
      <c r="G167" t="s">
        <v>473</v>
      </c>
      <c r="H167">
        <v>2</v>
      </c>
      <c r="I167" t="s">
        <v>460</v>
      </c>
      <c r="J167" t="s">
        <v>463</v>
      </c>
      <c r="K167">
        <v>2</v>
      </c>
      <c r="L167" t="s">
        <v>486</v>
      </c>
      <c r="M167" t="s">
        <v>1022</v>
      </c>
      <c r="N167" t="s">
        <v>450</v>
      </c>
      <c r="O167" t="s">
        <v>453</v>
      </c>
      <c r="P167" t="s">
        <v>421</v>
      </c>
      <c r="Q167">
        <v>0</v>
      </c>
      <c r="R167" t="s">
        <v>159</v>
      </c>
      <c r="S167">
        <v>0</v>
      </c>
      <c r="T167" t="s">
        <v>1516</v>
      </c>
      <c r="U167" t="s">
        <v>492</v>
      </c>
      <c r="V167" t="s">
        <v>1181</v>
      </c>
      <c r="W167" t="s">
        <v>399</v>
      </c>
      <c r="X167" t="s">
        <v>401</v>
      </c>
      <c r="Y167" t="s">
        <v>2396</v>
      </c>
    </row>
    <row r="168" spans="2:25">
      <c r="B168" t="s">
        <v>2394</v>
      </c>
      <c r="C168" t="s" vm="39">
        <v>701</v>
      </c>
      <c r="D168" t="s">
        <v>333</v>
      </c>
      <c r="E168" t="s">
        <v>485</v>
      </c>
      <c r="F168" t="s">
        <v>461</v>
      </c>
      <c r="G168" t="s">
        <v>473</v>
      </c>
      <c r="H168">
        <v>2</v>
      </c>
      <c r="I168" t="s">
        <v>460</v>
      </c>
      <c r="J168" t="s">
        <v>463</v>
      </c>
      <c r="K168">
        <v>2</v>
      </c>
      <c r="L168" t="s">
        <v>486</v>
      </c>
      <c r="M168" t="s">
        <v>1022</v>
      </c>
      <c r="N168" t="s">
        <v>450</v>
      </c>
      <c r="O168" t="s">
        <v>453</v>
      </c>
      <c r="P168" t="s">
        <v>157</v>
      </c>
      <c r="Q168">
        <v>12</v>
      </c>
      <c r="R168" t="s">
        <v>1494</v>
      </c>
      <c r="S168">
        <v>12</v>
      </c>
      <c r="T168" t="s">
        <v>1516</v>
      </c>
      <c r="U168" t="s">
        <v>492</v>
      </c>
      <c r="V168" t="s">
        <v>1181</v>
      </c>
      <c r="W168" t="s">
        <v>399</v>
      </c>
      <c r="X168" t="s">
        <v>401</v>
      </c>
      <c r="Y168" t="s">
        <v>2395</v>
      </c>
    </row>
    <row r="169" spans="2:25">
      <c r="B169" t="s">
        <v>2392</v>
      </c>
      <c r="C169" t="s" vm="39">
        <v>701</v>
      </c>
      <c r="D169" t="s">
        <v>100</v>
      </c>
      <c r="E169" t="s">
        <v>485</v>
      </c>
      <c r="F169" t="s">
        <v>461</v>
      </c>
      <c r="G169" t="s">
        <v>473</v>
      </c>
      <c r="H169">
        <v>1</v>
      </c>
      <c r="I169" t="s">
        <v>456</v>
      </c>
      <c r="J169" t="s">
        <v>463</v>
      </c>
      <c r="K169">
        <v>2</v>
      </c>
      <c r="L169" t="s">
        <v>486</v>
      </c>
      <c r="M169" t="s">
        <v>556</v>
      </c>
      <c r="N169" t="s">
        <v>450</v>
      </c>
      <c r="O169" t="s">
        <v>453</v>
      </c>
      <c r="P169" t="s">
        <v>421</v>
      </c>
      <c r="Q169">
        <v>0</v>
      </c>
      <c r="R169" t="s">
        <v>159</v>
      </c>
      <c r="S169">
        <v>0</v>
      </c>
      <c r="T169" t="s">
        <v>402</v>
      </c>
      <c r="U169" t="s">
        <v>492</v>
      </c>
      <c r="V169" t="s">
        <v>1181</v>
      </c>
      <c r="W169" t="s">
        <v>399</v>
      </c>
      <c r="X169" t="s">
        <v>2129</v>
      </c>
      <c r="Y169" t="s">
        <v>2393</v>
      </c>
    </row>
    <row r="170" spans="2:25">
      <c r="B170" t="s">
        <v>2389</v>
      </c>
      <c r="C170" t="s" vm="39">
        <v>701</v>
      </c>
      <c r="D170" t="s">
        <v>1019</v>
      </c>
      <c r="E170" t="s">
        <v>485</v>
      </c>
      <c r="F170" t="s">
        <v>461</v>
      </c>
      <c r="G170" t="s">
        <v>473</v>
      </c>
      <c r="H170">
        <v>2</v>
      </c>
      <c r="I170" t="s">
        <v>458</v>
      </c>
      <c r="J170" t="s">
        <v>462</v>
      </c>
      <c r="K170">
        <v>2</v>
      </c>
      <c r="L170" t="s">
        <v>486</v>
      </c>
      <c r="M170" t="s">
        <v>1864</v>
      </c>
      <c r="N170" t="s">
        <v>450</v>
      </c>
      <c r="O170" t="s">
        <v>453</v>
      </c>
      <c r="P170" t="s">
        <v>158</v>
      </c>
      <c r="Q170">
        <v>12</v>
      </c>
      <c r="R170" t="s">
        <v>416</v>
      </c>
      <c r="S170">
        <v>12</v>
      </c>
      <c r="T170" t="s">
        <v>1485</v>
      </c>
      <c r="U170" t="s">
        <v>492</v>
      </c>
      <c r="V170" t="s">
        <v>1181</v>
      </c>
      <c r="W170" t="s">
        <v>399</v>
      </c>
      <c r="X170" t="s">
        <v>401</v>
      </c>
      <c r="Y170" t="s">
        <v>2391</v>
      </c>
    </row>
    <row r="171" spans="2:25">
      <c r="B171" t="s">
        <v>2389</v>
      </c>
      <c r="C171" t="s" vm="39">
        <v>701</v>
      </c>
      <c r="D171" t="s">
        <v>1019</v>
      </c>
      <c r="E171" t="s">
        <v>485</v>
      </c>
      <c r="F171" t="s">
        <v>461</v>
      </c>
      <c r="G171" t="s">
        <v>473</v>
      </c>
      <c r="H171">
        <v>2</v>
      </c>
      <c r="I171" t="s">
        <v>456</v>
      </c>
      <c r="J171" t="s">
        <v>462</v>
      </c>
      <c r="K171">
        <v>2</v>
      </c>
      <c r="L171" t="s">
        <v>486</v>
      </c>
      <c r="M171" t="s">
        <v>1864</v>
      </c>
      <c r="N171" t="s">
        <v>450</v>
      </c>
      <c r="O171" t="s">
        <v>453</v>
      </c>
      <c r="P171" t="s">
        <v>158</v>
      </c>
      <c r="Q171">
        <v>12</v>
      </c>
      <c r="R171" t="s">
        <v>416</v>
      </c>
      <c r="S171">
        <v>12</v>
      </c>
      <c r="T171" t="s">
        <v>1485</v>
      </c>
      <c r="U171" t="s">
        <v>492</v>
      </c>
      <c r="V171" t="s">
        <v>1181</v>
      </c>
      <c r="W171" t="s">
        <v>399</v>
      </c>
      <c r="X171" t="s">
        <v>401</v>
      </c>
      <c r="Y171" t="s">
        <v>2390</v>
      </c>
    </row>
    <row r="172" spans="2:25">
      <c r="B172" t="s">
        <v>2381</v>
      </c>
      <c r="C172" t="s" vm="39">
        <v>701</v>
      </c>
      <c r="D172" t="s">
        <v>100</v>
      </c>
      <c r="E172" t="s">
        <v>485</v>
      </c>
      <c r="F172" t="s">
        <v>461</v>
      </c>
      <c r="G172" t="s">
        <v>473</v>
      </c>
      <c r="H172">
        <v>1</v>
      </c>
      <c r="I172" t="s">
        <v>456</v>
      </c>
      <c r="J172" t="s">
        <v>462</v>
      </c>
      <c r="K172">
        <v>2</v>
      </c>
      <c r="L172" t="s">
        <v>486</v>
      </c>
      <c r="M172" t="s">
        <v>556</v>
      </c>
      <c r="N172" t="s">
        <v>450</v>
      </c>
      <c r="O172" t="s">
        <v>453</v>
      </c>
      <c r="P172" t="s">
        <v>421</v>
      </c>
      <c r="Q172">
        <v>0</v>
      </c>
      <c r="R172" t="s">
        <v>159</v>
      </c>
      <c r="S172">
        <v>0</v>
      </c>
      <c r="T172" t="s">
        <v>1485</v>
      </c>
      <c r="U172" t="s">
        <v>492</v>
      </c>
      <c r="V172" t="s">
        <v>1181</v>
      </c>
      <c r="W172" t="s">
        <v>399</v>
      </c>
      <c r="X172" t="s">
        <v>2129</v>
      </c>
      <c r="Y172" t="s">
        <v>2385</v>
      </c>
    </row>
    <row r="173" spans="2:25">
      <c r="B173" t="s">
        <v>2381</v>
      </c>
      <c r="C173" t="s" vm="39">
        <v>701</v>
      </c>
      <c r="D173" t="s">
        <v>100</v>
      </c>
      <c r="E173" t="s">
        <v>485</v>
      </c>
      <c r="F173" t="s">
        <v>461</v>
      </c>
      <c r="G173" t="s">
        <v>473</v>
      </c>
      <c r="H173">
        <v>1</v>
      </c>
      <c r="I173" t="s">
        <v>456</v>
      </c>
      <c r="J173" t="s">
        <v>462</v>
      </c>
      <c r="K173">
        <v>2</v>
      </c>
      <c r="L173" t="s">
        <v>486</v>
      </c>
      <c r="M173" t="s">
        <v>556</v>
      </c>
      <c r="N173" t="s">
        <v>450</v>
      </c>
      <c r="O173" t="s">
        <v>453</v>
      </c>
      <c r="P173" t="s">
        <v>421</v>
      </c>
      <c r="Q173">
        <v>0</v>
      </c>
      <c r="R173" t="s">
        <v>159</v>
      </c>
      <c r="S173">
        <v>0</v>
      </c>
      <c r="T173" t="s">
        <v>1485</v>
      </c>
      <c r="U173" t="s">
        <v>492</v>
      </c>
      <c r="V173" t="s">
        <v>1181</v>
      </c>
      <c r="W173" t="s">
        <v>399</v>
      </c>
      <c r="X173" t="s">
        <v>2129</v>
      </c>
      <c r="Y173" t="s">
        <v>2385</v>
      </c>
    </row>
    <row r="174" spans="2:25">
      <c r="B174" t="s">
        <v>2381</v>
      </c>
      <c r="C174" t="s" vm="39">
        <v>701</v>
      </c>
      <c r="D174" t="s">
        <v>100</v>
      </c>
      <c r="E174" t="s">
        <v>485</v>
      </c>
      <c r="F174" t="s">
        <v>461</v>
      </c>
      <c r="G174" t="s">
        <v>473</v>
      </c>
      <c r="H174">
        <v>1</v>
      </c>
      <c r="I174" t="s">
        <v>456</v>
      </c>
      <c r="J174" t="s">
        <v>462</v>
      </c>
      <c r="K174">
        <v>2</v>
      </c>
      <c r="L174" t="s">
        <v>486</v>
      </c>
      <c r="M174" t="s">
        <v>556</v>
      </c>
      <c r="N174" t="s">
        <v>450</v>
      </c>
      <c r="O174" t="s">
        <v>453</v>
      </c>
      <c r="P174" t="s">
        <v>421</v>
      </c>
      <c r="Q174">
        <v>0</v>
      </c>
      <c r="R174" t="s">
        <v>159</v>
      </c>
      <c r="S174">
        <v>0</v>
      </c>
      <c r="T174" t="s">
        <v>1485</v>
      </c>
      <c r="U174" t="s">
        <v>492</v>
      </c>
      <c r="V174" t="s">
        <v>1181</v>
      </c>
      <c r="W174" t="s">
        <v>399</v>
      </c>
      <c r="X174" t="s">
        <v>2129</v>
      </c>
      <c r="Y174" t="s">
        <v>2384</v>
      </c>
    </row>
    <row r="175" spans="2:25">
      <c r="B175" t="s">
        <v>2381</v>
      </c>
      <c r="C175" t="s" vm="39">
        <v>701</v>
      </c>
      <c r="D175" t="s">
        <v>100</v>
      </c>
      <c r="E175" t="s">
        <v>485</v>
      </c>
      <c r="F175" t="s">
        <v>461</v>
      </c>
      <c r="G175" t="s">
        <v>473</v>
      </c>
      <c r="H175">
        <v>1</v>
      </c>
      <c r="I175" t="s">
        <v>456</v>
      </c>
      <c r="J175" t="s">
        <v>462</v>
      </c>
      <c r="K175">
        <v>2</v>
      </c>
      <c r="L175" t="s">
        <v>486</v>
      </c>
      <c r="M175" t="s">
        <v>556</v>
      </c>
      <c r="N175" t="s">
        <v>450</v>
      </c>
      <c r="O175" t="s">
        <v>453</v>
      </c>
      <c r="P175" t="s">
        <v>421</v>
      </c>
      <c r="Q175">
        <v>0</v>
      </c>
      <c r="R175" t="s">
        <v>159</v>
      </c>
      <c r="S175">
        <v>0</v>
      </c>
      <c r="T175" t="s">
        <v>1485</v>
      </c>
      <c r="U175" t="s">
        <v>492</v>
      </c>
      <c r="V175" t="s">
        <v>1181</v>
      </c>
      <c r="W175" t="s">
        <v>399</v>
      </c>
      <c r="X175" t="s">
        <v>2129</v>
      </c>
      <c r="Y175" t="s">
        <v>2383</v>
      </c>
    </row>
    <row r="176" spans="2:25">
      <c r="B176" t="s">
        <v>2381</v>
      </c>
      <c r="C176" t="s" vm="39">
        <v>701</v>
      </c>
      <c r="D176" t="s">
        <v>100</v>
      </c>
      <c r="E176" t="s">
        <v>485</v>
      </c>
      <c r="F176" t="s">
        <v>461</v>
      </c>
      <c r="G176" t="s">
        <v>473</v>
      </c>
      <c r="H176">
        <v>1</v>
      </c>
      <c r="I176" t="s">
        <v>456</v>
      </c>
      <c r="J176" t="s">
        <v>462</v>
      </c>
      <c r="K176">
        <v>2</v>
      </c>
      <c r="L176" t="s">
        <v>486</v>
      </c>
      <c r="M176" t="s">
        <v>556</v>
      </c>
      <c r="N176" t="s">
        <v>450</v>
      </c>
      <c r="O176" t="s">
        <v>453</v>
      </c>
      <c r="P176" t="s">
        <v>421</v>
      </c>
      <c r="Q176">
        <v>0</v>
      </c>
      <c r="R176" t="s">
        <v>159</v>
      </c>
      <c r="S176">
        <v>0</v>
      </c>
      <c r="T176" t="s">
        <v>1485</v>
      </c>
      <c r="U176" t="s">
        <v>492</v>
      </c>
      <c r="V176" t="s">
        <v>1181</v>
      </c>
      <c r="W176" t="s">
        <v>399</v>
      </c>
      <c r="X176" t="s">
        <v>2129</v>
      </c>
      <c r="Y176" t="s">
        <v>2382</v>
      </c>
    </row>
    <row r="177" spans="2:25">
      <c r="B177" t="s">
        <v>2374</v>
      </c>
      <c r="C177" t="s" vm="39">
        <v>701</v>
      </c>
      <c r="D177" t="s">
        <v>333</v>
      </c>
      <c r="E177" t="s">
        <v>485</v>
      </c>
      <c r="F177" t="s">
        <v>217</v>
      </c>
      <c r="G177" t="s">
        <v>473</v>
      </c>
      <c r="H177">
        <v>2</v>
      </c>
      <c r="I177" t="s">
        <v>458</v>
      </c>
      <c r="J177" t="s">
        <v>462</v>
      </c>
      <c r="K177">
        <v>2</v>
      </c>
      <c r="L177" t="s">
        <v>486</v>
      </c>
      <c r="M177" t="s">
        <v>556</v>
      </c>
      <c r="N177" t="s">
        <v>450</v>
      </c>
      <c r="O177" t="s">
        <v>453</v>
      </c>
      <c r="P177" t="s">
        <v>158</v>
      </c>
      <c r="Q177">
        <v>12</v>
      </c>
      <c r="R177" t="s">
        <v>416</v>
      </c>
      <c r="S177">
        <v>12</v>
      </c>
      <c r="T177" t="s">
        <v>1485</v>
      </c>
      <c r="U177" t="s">
        <v>492</v>
      </c>
      <c r="V177" t="s">
        <v>1181</v>
      </c>
      <c r="W177" t="s">
        <v>399</v>
      </c>
      <c r="X177" t="s">
        <v>401</v>
      </c>
      <c r="Y177" t="s">
        <v>2380</v>
      </c>
    </row>
    <row r="178" spans="2:25">
      <c r="B178" t="s">
        <v>2374</v>
      </c>
      <c r="C178" t="s" vm="39">
        <v>701</v>
      </c>
      <c r="D178" t="s">
        <v>100</v>
      </c>
      <c r="E178" t="s">
        <v>485</v>
      </c>
      <c r="F178" t="s">
        <v>461</v>
      </c>
      <c r="G178" t="s">
        <v>473</v>
      </c>
      <c r="H178">
        <v>1</v>
      </c>
      <c r="I178" t="s">
        <v>456</v>
      </c>
      <c r="J178" t="s">
        <v>463</v>
      </c>
      <c r="K178">
        <v>1</v>
      </c>
      <c r="L178" t="s">
        <v>486</v>
      </c>
      <c r="M178" t="s">
        <v>556</v>
      </c>
      <c r="N178" t="s">
        <v>450</v>
      </c>
      <c r="O178" t="s">
        <v>453</v>
      </c>
      <c r="P178" t="s">
        <v>157</v>
      </c>
      <c r="Q178">
        <v>8</v>
      </c>
      <c r="R178" t="s">
        <v>419</v>
      </c>
      <c r="S178">
        <v>8</v>
      </c>
      <c r="T178" t="s">
        <v>402</v>
      </c>
      <c r="U178" t="s">
        <v>492</v>
      </c>
      <c r="V178" t="s">
        <v>1181</v>
      </c>
      <c r="W178" t="s">
        <v>399</v>
      </c>
      <c r="X178" t="s">
        <v>2131</v>
      </c>
      <c r="Y178" t="s">
        <v>2377</v>
      </c>
    </row>
    <row r="179" spans="2:25">
      <c r="B179" t="s">
        <v>2374</v>
      </c>
      <c r="C179" t="s" vm="39">
        <v>701</v>
      </c>
      <c r="D179" t="s">
        <v>100</v>
      </c>
      <c r="E179" t="s">
        <v>485</v>
      </c>
      <c r="F179" t="s">
        <v>461</v>
      </c>
      <c r="G179" t="s">
        <v>473</v>
      </c>
      <c r="H179" t="s">
        <v>123</v>
      </c>
      <c r="I179" t="s">
        <v>456</v>
      </c>
      <c r="J179" t="s">
        <v>463</v>
      </c>
      <c r="K179">
        <v>1</v>
      </c>
      <c r="L179" t="s">
        <v>486</v>
      </c>
      <c r="M179" t="s">
        <v>556</v>
      </c>
      <c r="N179" t="s">
        <v>450</v>
      </c>
      <c r="O179" t="s">
        <v>453</v>
      </c>
      <c r="P179" t="s">
        <v>157</v>
      </c>
      <c r="Q179">
        <v>8</v>
      </c>
      <c r="R179" t="s">
        <v>419</v>
      </c>
      <c r="S179">
        <v>8</v>
      </c>
      <c r="T179" t="s">
        <v>402</v>
      </c>
      <c r="U179" t="s">
        <v>492</v>
      </c>
      <c r="V179" t="s">
        <v>1181</v>
      </c>
      <c r="W179" t="s">
        <v>399</v>
      </c>
      <c r="X179" t="s">
        <v>2131</v>
      </c>
      <c r="Y179" t="s">
        <v>2376</v>
      </c>
    </row>
    <row r="180" spans="2:25">
      <c r="B180" t="s">
        <v>2374</v>
      </c>
      <c r="C180" t="s" vm="39">
        <v>701</v>
      </c>
      <c r="D180" t="s">
        <v>100</v>
      </c>
      <c r="E180" t="s">
        <v>485</v>
      </c>
      <c r="F180" t="s">
        <v>461</v>
      </c>
      <c r="G180" t="s">
        <v>473</v>
      </c>
      <c r="H180">
        <v>1</v>
      </c>
      <c r="I180" t="s">
        <v>456</v>
      </c>
      <c r="J180" t="s">
        <v>463</v>
      </c>
      <c r="K180">
        <v>2</v>
      </c>
      <c r="L180" t="s">
        <v>486</v>
      </c>
      <c r="M180" t="s">
        <v>556</v>
      </c>
      <c r="N180" t="s">
        <v>450</v>
      </c>
      <c r="O180" t="s">
        <v>453</v>
      </c>
      <c r="P180" t="s">
        <v>157</v>
      </c>
      <c r="Q180">
        <v>8</v>
      </c>
      <c r="R180" t="s">
        <v>419</v>
      </c>
      <c r="S180">
        <v>8</v>
      </c>
      <c r="T180" t="s">
        <v>1410</v>
      </c>
      <c r="U180" t="s">
        <v>492</v>
      </c>
      <c r="V180" t="s">
        <v>1181</v>
      </c>
      <c r="W180" t="s">
        <v>399</v>
      </c>
      <c r="X180" t="s">
        <v>2131</v>
      </c>
      <c r="Y180" t="s">
        <v>2375</v>
      </c>
    </row>
    <row r="181" spans="2:25">
      <c r="B181" t="s">
        <v>2372</v>
      </c>
      <c r="C181" t="s" vm="39">
        <v>701</v>
      </c>
      <c r="D181" t="s">
        <v>333</v>
      </c>
      <c r="E181" t="s">
        <v>485</v>
      </c>
      <c r="F181" t="s">
        <v>461</v>
      </c>
      <c r="G181" t="s">
        <v>473</v>
      </c>
      <c r="H181">
        <v>2</v>
      </c>
      <c r="I181" t="s">
        <v>458</v>
      </c>
      <c r="J181" t="s">
        <v>462</v>
      </c>
      <c r="K181">
        <v>2</v>
      </c>
      <c r="L181" t="s">
        <v>486</v>
      </c>
      <c r="M181" t="s">
        <v>2368</v>
      </c>
      <c r="N181" t="s">
        <v>450</v>
      </c>
      <c r="O181" t="s">
        <v>453</v>
      </c>
      <c r="P181" t="s">
        <v>157</v>
      </c>
      <c r="Q181">
        <v>6</v>
      </c>
      <c r="R181" t="s">
        <v>419</v>
      </c>
      <c r="S181">
        <v>12</v>
      </c>
      <c r="T181" t="s">
        <v>1516</v>
      </c>
      <c r="U181" t="s">
        <v>492</v>
      </c>
      <c r="V181" t="s">
        <v>1181</v>
      </c>
      <c r="W181" t="s">
        <v>399</v>
      </c>
      <c r="X181" t="s">
        <v>2129</v>
      </c>
      <c r="Y181" t="s">
        <v>2373</v>
      </c>
    </row>
    <row r="182" spans="2:25">
      <c r="B182" t="s">
        <v>2369</v>
      </c>
      <c r="C182" t="s" vm="39">
        <v>701</v>
      </c>
      <c r="D182" t="s">
        <v>333</v>
      </c>
      <c r="E182" t="s">
        <v>485</v>
      </c>
      <c r="F182" t="s">
        <v>461</v>
      </c>
      <c r="G182" t="s">
        <v>473</v>
      </c>
      <c r="H182">
        <v>2</v>
      </c>
      <c r="I182" t="s">
        <v>458</v>
      </c>
      <c r="J182" t="s">
        <v>462</v>
      </c>
      <c r="K182">
        <v>2</v>
      </c>
      <c r="L182" t="s">
        <v>486</v>
      </c>
      <c r="M182" t="s">
        <v>2368</v>
      </c>
      <c r="N182" t="s">
        <v>450</v>
      </c>
      <c r="O182" t="s">
        <v>453</v>
      </c>
      <c r="P182" t="s">
        <v>157</v>
      </c>
      <c r="Q182">
        <v>6</v>
      </c>
      <c r="R182" t="s">
        <v>1494</v>
      </c>
      <c r="S182">
        <v>12</v>
      </c>
      <c r="T182" t="s">
        <v>1516</v>
      </c>
      <c r="U182" t="s">
        <v>492</v>
      </c>
      <c r="V182" t="s">
        <v>1181</v>
      </c>
      <c r="W182" t="s">
        <v>399</v>
      </c>
      <c r="X182" t="s">
        <v>2129</v>
      </c>
      <c r="Y182" t="s">
        <v>2370</v>
      </c>
    </row>
    <row r="183" spans="2:25">
      <c r="B183" t="s">
        <v>2366</v>
      </c>
      <c r="C183" t="s" vm="39">
        <v>701</v>
      </c>
      <c r="D183" t="s">
        <v>100</v>
      </c>
      <c r="E183" t="s">
        <v>485</v>
      </c>
      <c r="F183" t="s">
        <v>461</v>
      </c>
      <c r="G183" t="s">
        <v>473</v>
      </c>
      <c r="H183">
        <v>1</v>
      </c>
      <c r="I183" t="s">
        <v>456</v>
      </c>
      <c r="J183" t="s">
        <v>462</v>
      </c>
      <c r="K183">
        <v>2</v>
      </c>
      <c r="L183" t="s">
        <v>486</v>
      </c>
      <c r="M183" t="s">
        <v>492</v>
      </c>
      <c r="N183" t="s">
        <v>450</v>
      </c>
      <c r="O183" t="s">
        <v>453</v>
      </c>
      <c r="P183" t="s">
        <v>421</v>
      </c>
      <c r="Q183">
        <v>0</v>
      </c>
      <c r="R183" t="s">
        <v>159</v>
      </c>
      <c r="S183">
        <v>0</v>
      </c>
      <c r="T183" t="s">
        <v>1485</v>
      </c>
      <c r="U183" t="s">
        <v>492</v>
      </c>
      <c r="V183" t="s">
        <v>1181</v>
      </c>
      <c r="W183" t="s">
        <v>399</v>
      </c>
      <c r="X183" t="s">
        <v>2129</v>
      </c>
      <c r="Y183" t="s">
        <v>2367</v>
      </c>
    </row>
    <row r="184" spans="2:25">
      <c r="B184" t="s">
        <v>2359</v>
      </c>
      <c r="C184" t="s" vm="39">
        <v>701</v>
      </c>
      <c r="D184" t="s">
        <v>100</v>
      </c>
      <c r="E184" t="s">
        <v>485</v>
      </c>
      <c r="F184" t="s">
        <v>461</v>
      </c>
      <c r="G184" t="s">
        <v>473</v>
      </c>
      <c r="H184">
        <v>1</v>
      </c>
      <c r="I184" t="s">
        <v>460</v>
      </c>
      <c r="J184" t="s">
        <v>462</v>
      </c>
      <c r="K184">
        <v>2</v>
      </c>
      <c r="L184" t="s">
        <v>486</v>
      </c>
      <c r="M184" t="s">
        <v>492</v>
      </c>
      <c r="N184" t="s">
        <v>450</v>
      </c>
      <c r="O184" t="s">
        <v>453</v>
      </c>
      <c r="P184" t="s">
        <v>421</v>
      </c>
      <c r="Q184">
        <v>0</v>
      </c>
      <c r="R184" t="s">
        <v>159</v>
      </c>
      <c r="S184">
        <v>0</v>
      </c>
      <c r="T184" t="s">
        <v>1485</v>
      </c>
      <c r="U184" t="s">
        <v>492</v>
      </c>
      <c r="V184" t="s">
        <v>1181</v>
      </c>
      <c r="W184" t="s">
        <v>399</v>
      </c>
      <c r="X184" t="s">
        <v>2129</v>
      </c>
      <c r="Y184" t="s">
        <v>2364</v>
      </c>
    </row>
    <row r="185" spans="2:25">
      <c r="B185" t="s">
        <v>2359</v>
      </c>
      <c r="C185" t="s" vm="39">
        <v>701</v>
      </c>
      <c r="D185" t="s">
        <v>100</v>
      </c>
      <c r="E185" t="s">
        <v>485</v>
      </c>
      <c r="F185" t="s">
        <v>461</v>
      </c>
      <c r="G185" t="s">
        <v>473</v>
      </c>
      <c r="H185">
        <v>1</v>
      </c>
      <c r="I185" t="s">
        <v>460</v>
      </c>
      <c r="J185" t="s">
        <v>462</v>
      </c>
      <c r="K185">
        <v>2</v>
      </c>
      <c r="L185" t="s">
        <v>486</v>
      </c>
      <c r="M185" t="s">
        <v>492</v>
      </c>
      <c r="N185" t="s">
        <v>450</v>
      </c>
      <c r="O185" t="s">
        <v>453</v>
      </c>
      <c r="P185" t="s">
        <v>421</v>
      </c>
      <c r="Q185">
        <v>0</v>
      </c>
      <c r="R185" t="s">
        <v>159</v>
      </c>
      <c r="S185">
        <v>0</v>
      </c>
      <c r="T185" t="s">
        <v>1485</v>
      </c>
      <c r="U185" t="s">
        <v>492</v>
      </c>
      <c r="V185" t="s">
        <v>1181</v>
      </c>
      <c r="W185" t="s">
        <v>399</v>
      </c>
      <c r="X185" t="s">
        <v>2129</v>
      </c>
      <c r="Y185" t="s">
        <v>2364</v>
      </c>
    </row>
    <row r="186" spans="2:25">
      <c r="B186" t="s">
        <v>2359</v>
      </c>
      <c r="C186" t="s" vm="39">
        <v>701</v>
      </c>
      <c r="D186" t="s">
        <v>100</v>
      </c>
      <c r="E186" t="s">
        <v>485</v>
      </c>
      <c r="F186" t="s">
        <v>461</v>
      </c>
      <c r="G186" t="s">
        <v>473</v>
      </c>
      <c r="H186">
        <v>1</v>
      </c>
      <c r="I186" t="s">
        <v>460</v>
      </c>
      <c r="J186" t="s">
        <v>464</v>
      </c>
      <c r="K186">
        <v>2</v>
      </c>
      <c r="L186" t="s">
        <v>486</v>
      </c>
      <c r="M186" t="s">
        <v>556</v>
      </c>
      <c r="N186" t="s">
        <v>450</v>
      </c>
      <c r="O186" t="s">
        <v>453</v>
      </c>
      <c r="P186" t="s">
        <v>421</v>
      </c>
      <c r="Q186">
        <v>0</v>
      </c>
      <c r="R186" t="s">
        <v>159</v>
      </c>
      <c r="S186">
        <v>0</v>
      </c>
      <c r="T186" t="s">
        <v>2358</v>
      </c>
      <c r="U186" t="s">
        <v>492</v>
      </c>
      <c r="V186" t="s">
        <v>1181</v>
      </c>
      <c r="W186" t="s">
        <v>477</v>
      </c>
      <c r="X186" t="s">
        <v>2129</v>
      </c>
      <c r="Y186" t="s">
        <v>2361</v>
      </c>
    </row>
    <row r="187" spans="2:25">
      <c r="B187" t="s">
        <v>2359</v>
      </c>
      <c r="C187" t="s" vm="39">
        <v>701</v>
      </c>
      <c r="D187" t="s">
        <v>100</v>
      </c>
      <c r="E187" t="s">
        <v>485</v>
      </c>
      <c r="F187" t="s">
        <v>461</v>
      </c>
      <c r="G187" t="s">
        <v>473</v>
      </c>
      <c r="H187">
        <v>1</v>
      </c>
      <c r="I187" t="s">
        <v>460</v>
      </c>
      <c r="J187" t="s">
        <v>464</v>
      </c>
      <c r="K187">
        <v>2</v>
      </c>
      <c r="L187" t="s">
        <v>486</v>
      </c>
      <c r="M187" t="s">
        <v>556</v>
      </c>
      <c r="N187" t="s">
        <v>450</v>
      </c>
      <c r="O187" t="s">
        <v>453</v>
      </c>
      <c r="P187" t="s">
        <v>421</v>
      </c>
      <c r="Q187">
        <v>0</v>
      </c>
      <c r="R187" t="s">
        <v>159</v>
      </c>
      <c r="S187">
        <v>0</v>
      </c>
      <c r="T187" t="s">
        <v>2358</v>
      </c>
      <c r="U187" t="s">
        <v>492</v>
      </c>
      <c r="V187" t="s">
        <v>1181</v>
      </c>
      <c r="W187" t="s">
        <v>477</v>
      </c>
      <c r="X187" t="s">
        <v>2129</v>
      </c>
      <c r="Y187" t="s">
        <v>2361</v>
      </c>
    </row>
    <row r="188" spans="2:25">
      <c r="B188" t="s">
        <v>2359</v>
      </c>
      <c r="C188" t="s" vm="39">
        <v>701</v>
      </c>
      <c r="D188" t="s">
        <v>100</v>
      </c>
      <c r="E188" t="s">
        <v>485</v>
      </c>
      <c r="F188" t="s">
        <v>461</v>
      </c>
      <c r="G188" t="s">
        <v>473</v>
      </c>
      <c r="H188">
        <v>1</v>
      </c>
      <c r="I188" t="s">
        <v>460</v>
      </c>
      <c r="J188" t="s">
        <v>464</v>
      </c>
      <c r="K188">
        <v>2</v>
      </c>
      <c r="L188" t="s">
        <v>486</v>
      </c>
      <c r="M188" t="s">
        <v>556</v>
      </c>
      <c r="N188" t="s">
        <v>450</v>
      </c>
      <c r="O188" t="s">
        <v>453</v>
      </c>
      <c r="P188" t="s">
        <v>421</v>
      </c>
      <c r="Q188">
        <v>0</v>
      </c>
      <c r="R188" t="s">
        <v>159</v>
      </c>
      <c r="S188">
        <v>0</v>
      </c>
      <c r="T188" t="s">
        <v>2358</v>
      </c>
      <c r="U188" t="s">
        <v>492</v>
      </c>
      <c r="V188" t="s">
        <v>1181</v>
      </c>
      <c r="W188" t="s">
        <v>477</v>
      </c>
      <c r="X188" t="s">
        <v>2129</v>
      </c>
      <c r="Y188" t="s">
        <v>2360</v>
      </c>
    </row>
    <row r="189" spans="2:25">
      <c r="B189" t="s">
        <v>2356</v>
      </c>
      <c r="C189" t="s" vm="39">
        <v>701</v>
      </c>
      <c r="D189" t="s">
        <v>100</v>
      </c>
      <c r="E189" t="s">
        <v>485</v>
      </c>
      <c r="F189" t="s">
        <v>461</v>
      </c>
      <c r="G189" t="s">
        <v>487</v>
      </c>
      <c r="H189" t="s">
        <v>123</v>
      </c>
      <c r="I189" t="s">
        <v>456</v>
      </c>
      <c r="J189" t="s">
        <v>463</v>
      </c>
      <c r="K189">
        <v>2</v>
      </c>
      <c r="L189" t="s">
        <v>486</v>
      </c>
      <c r="M189" t="s">
        <v>556</v>
      </c>
      <c r="N189" t="s">
        <v>450</v>
      </c>
      <c r="O189" t="s">
        <v>453</v>
      </c>
      <c r="P189" t="s">
        <v>157</v>
      </c>
      <c r="Q189">
        <v>8</v>
      </c>
      <c r="R189" t="s">
        <v>419</v>
      </c>
      <c r="S189">
        <v>8</v>
      </c>
      <c r="T189" t="s">
        <v>402</v>
      </c>
      <c r="U189" t="s">
        <v>492</v>
      </c>
      <c r="V189" t="s">
        <v>1181</v>
      </c>
      <c r="W189" t="s">
        <v>399</v>
      </c>
      <c r="X189" t="s">
        <v>2129</v>
      </c>
      <c r="Y189" t="s">
        <v>2357</v>
      </c>
    </row>
    <row r="190" spans="2:25">
      <c r="B190" t="s">
        <v>2354</v>
      </c>
      <c r="C190" t="s" vm="39">
        <v>701</v>
      </c>
      <c r="D190" t="s">
        <v>100</v>
      </c>
      <c r="E190" t="s">
        <v>485</v>
      </c>
      <c r="F190" t="s">
        <v>461</v>
      </c>
      <c r="G190" t="s">
        <v>487</v>
      </c>
      <c r="H190" t="s">
        <v>123</v>
      </c>
      <c r="I190" t="s">
        <v>456</v>
      </c>
      <c r="J190" t="s">
        <v>463</v>
      </c>
      <c r="K190">
        <v>2</v>
      </c>
      <c r="L190" t="s">
        <v>486</v>
      </c>
      <c r="M190" t="s">
        <v>556</v>
      </c>
      <c r="N190" t="s">
        <v>450</v>
      </c>
      <c r="O190" t="s">
        <v>453</v>
      </c>
      <c r="P190" t="s">
        <v>421</v>
      </c>
      <c r="Q190">
        <v>0</v>
      </c>
      <c r="R190" t="s">
        <v>159</v>
      </c>
      <c r="S190">
        <v>0</v>
      </c>
      <c r="T190" t="s">
        <v>402</v>
      </c>
      <c r="U190" t="s">
        <v>492</v>
      </c>
      <c r="V190" t="s">
        <v>1181</v>
      </c>
      <c r="W190" t="s">
        <v>399</v>
      </c>
      <c r="X190" t="s">
        <v>2129</v>
      </c>
      <c r="Y190" t="s">
        <v>2355</v>
      </c>
    </row>
    <row r="191" spans="2:25">
      <c r="B191" t="s">
        <v>2352</v>
      </c>
      <c r="C191" t="s" vm="39">
        <v>701</v>
      </c>
      <c r="D191" t="s">
        <v>333</v>
      </c>
      <c r="E191" t="s">
        <v>485</v>
      </c>
      <c r="F191" t="s">
        <v>461</v>
      </c>
      <c r="G191" t="s">
        <v>473</v>
      </c>
      <c r="H191">
        <v>2</v>
      </c>
      <c r="I191" t="s">
        <v>456</v>
      </c>
      <c r="J191" t="s">
        <v>463</v>
      </c>
      <c r="K191">
        <v>2</v>
      </c>
      <c r="L191" t="s">
        <v>486</v>
      </c>
      <c r="M191" t="s">
        <v>556</v>
      </c>
      <c r="N191" t="s">
        <v>450</v>
      </c>
      <c r="O191" t="s">
        <v>453</v>
      </c>
      <c r="P191" t="s">
        <v>157</v>
      </c>
      <c r="Q191">
        <v>6</v>
      </c>
      <c r="R191" t="s">
        <v>419</v>
      </c>
      <c r="S191">
        <v>12</v>
      </c>
      <c r="T191" t="s">
        <v>1516</v>
      </c>
      <c r="U191" t="s">
        <v>492</v>
      </c>
      <c r="V191" t="s">
        <v>1181</v>
      </c>
      <c r="W191" t="s">
        <v>399</v>
      </c>
      <c r="X191" t="s">
        <v>401</v>
      </c>
      <c r="Y191" t="s">
        <v>2353</v>
      </c>
    </row>
    <row r="192" spans="2:25">
      <c r="B192" t="s">
        <v>2348</v>
      </c>
      <c r="C192" t="s" vm="39">
        <v>701</v>
      </c>
      <c r="D192" t="s">
        <v>100</v>
      </c>
      <c r="E192" t="s">
        <v>485</v>
      </c>
      <c r="F192" t="s">
        <v>461</v>
      </c>
      <c r="G192" t="s">
        <v>473</v>
      </c>
      <c r="H192">
        <v>1</v>
      </c>
      <c r="I192" t="s">
        <v>456</v>
      </c>
      <c r="J192" t="s">
        <v>463</v>
      </c>
      <c r="K192">
        <v>2</v>
      </c>
      <c r="L192" t="s">
        <v>486</v>
      </c>
      <c r="M192" t="s">
        <v>556</v>
      </c>
      <c r="N192" t="s">
        <v>450</v>
      </c>
      <c r="O192" t="s">
        <v>453</v>
      </c>
      <c r="P192" t="s">
        <v>421</v>
      </c>
      <c r="Q192">
        <v>0</v>
      </c>
      <c r="R192" t="s">
        <v>159</v>
      </c>
      <c r="S192">
        <v>0</v>
      </c>
      <c r="T192" t="s">
        <v>402</v>
      </c>
      <c r="U192" t="s">
        <v>492</v>
      </c>
      <c r="V192" t="s">
        <v>1181</v>
      </c>
      <c r="W192" t="s">
        <v>399</v>
      </c>
      <c r="X192" t="s">
        <v>2129</v>
      </c>
      <c r="Y192" t="s">
        <v>2349</v>
      </c>
    </row>
    <row r="193" spans="2:25">
      <c r="B193" t="s">
        <v>2343</v>
      </c>
      <c r="C193" t="s" vm="39">
        <v>701</v>
      </c>
      <c r="D193" t="s">
        <v>1019</v>
      </c>
      <c r="E193" t="s">
        <v>485</v>
      </c>
      <c r="F193" t="s">
        <v>461</v>
      </c>
      <c r="G193" t="s">
        <v>473</v>
      </c>
      <c r="H193">
        <v>2</v>
      </c>
      <c r="I193" t="s">
        <v>456</v>
      </c>
      <c r="J193" t="s">
        <v>463</v>
      </c>
      <c r="K193">
        <v>2</v>
      </c>
      <c r="L193" t="s">
        <v>486</v>
      </c>
      <c r="M193" t="s">
        <v>1022</v>
      </c>
      <c r="N193" t="s">
        <v>450</v>
      </c>
      <c r="O193" t="s">
        <v>453</v>
      </c>
      <c r="P193" t="s">
        <v>421</v>
      </c>
      <c r="Q193">
        <v>0</v>
      </c>
      <c r="R193" t="s">
        <v>159</v>
      </c>
      <c r="S193">
        <v>0</v>
      </c>
      <c r="T193" t="s">
        <v>1516</v>
      </c>
      <c r="U193" t="s">
        <v>492</v>
      </c>
      <c r="V193" t="s">
        <v>1181</v>
      </c>
      <c r="W193" t="s">
        <v>399</v>
      </c>
      <c r="X193" t="s">
        <v>401</v>
      </c>
      <c r="Y193" t="s">
        <v>2347</v>
      </c>
    </row>
    <row r="194" spans="2:25">
      <c r="B194" t="s">
        <v>2343</v>
      </c>
      <c r="C194" t="s" vm="39">
        <v>701</v>
      </c>
      <c r="D194" t="s">
        <v>1019</v>
      </c>
      <c r="E194" t="s">
        <v>485</v>
      </c>
      <c r="F194" t="s">
        <v>461</v>
      </c>
      <c r="G194" t="s">
        <v>473</v>
      </c>
      <c r="H194">
        <v>2</v>
      </c>
      <c r="I194" t="s">
        <v>456</v>
      </c>
      <c r="J194" t="s">
        <v>463</v>
      </c>
      <c r="K194">
        <v>2</v>
      </c>
      <c r="L194" t="s">
        <v>486</v>
      </c>
      <c r="M194" t="s">
        <v>1022</v>
      </c>
      <c r="N194" t="s">
        <v>450</v>
      </c>
      <c r="O194" t="s">
        <v>453</v>
      </c>
      <c r="P194" t="s">
        <v>421</v>
      </c>
      <c r="Q194">
        <v>0</v>
      </c>
      <c r="R194" t="s">
        <v>159</v>
      </c>
      <c r="S194">
        <v>0</v>
      </c>
      <c r="T194" t="s">
        <v>1516</v>
      </c>
      <c r="U194" t="s">
        <v>492</v>
      </c>
      <c r="V194" t="s">
        <v>1181</v>
      </c>
      <c r="W194" t="s">
        <v>399</v>
      </c>
      <c r="X194" t="s">
        <v>401</v>
      </c>
      <c r="Y194" t="s">
        <v>2347</v>
      </c>
    </row>
    <row r="195" spans="2:25">
      <c r="B195" t="s">
        <v>2343</v>
      </c>
      <c r="C195" t="s" vm="39">
        <v>701</v>
      </c>
      <c r="D195" t="s">
        <v>333</v>
      </c>
      <c r="E195" t="s">
        <v>485</v>
      </c>
      <c r="F195" t="s">
        <v>461</v>
      </c>
      <c r="G195" t="s">
        <v>473</v>
      </c>
      <c r="H195">
        <v>2</v>
      </c>
      <c r="I195" t="s">
        <v>458</v>
      </c>
      <c r="J195" t="s">
        <v>463</v>
      </c>
      <c r="K195">
        <v>2</v>
      </c>
      <c r="L195" t="s">
        <v>488</v>
      </c>
      <c r="M195" t="s">
        <v>492</v>
      </c>
      <c r="N195" t="s">
        <v>496</v>
      </c>
      <c r="O195" t="s">
        <v>453</v>
      </c>
      <c r="P195" t="s">
        <v>157</v>
      </c>
      <c r="Q195">
        <v>12</v>
      </c>
      <c r="R195" t="s">
        <v>419</v>
      </c>
      <c r="S195">
        <v>12</v>
      </c>
      <c r="T195" t="s">
        <v>402</v>
      </c>
      <c r="U195" t="s">
        <v>492</v>
      </c>
      <c r="V195" t="s">
        <v>1181</v>
      </c>
      <c r="W195" t="s">
        <v>399</v>
      </c>
      <c r="X195" t="s">
        <v>401</v>
      </c>
      <c r="Y195" t="s">
        <v>2346</v>
      </c>
    </row>
    <row r="196" spans="2:25">
      <c r="B196" t="s">
        <v>2343</v>
      </c>
      <c r="C196" t="s" vm="39">
        <v>701</v>
      </c>
      <c r="D196" t="s">
        <v>333</v>
      </c>
      <c r="E196" t="s">
        <v>485</v>
      </c>
      <c r="F196" t="s">
        <v>461</v>
      </c>
      <c r="G196" t="s">
        <v>473</v>
      </c>
      <c r="H196">
        <v>2</v>
      </c>
      <c r="I196" t="s">
        <v>458</v>
      </c>
      <c r="J196" t="s">
        <v>463</v>
      </c>
      <c r="K196">
        <v>2</v>
      </c>
      <c r="L196" t="s">
        <v>488</v>
      </c>
      <c r="M196" t="s">
        <v>492</v>
      </c>
      <c r="N196" t="s">
        <v>496</v>
      </c>
      <c r="O196" t="s">
        <v>453</v>
      </c>
      <c r="P196" t="s">
        <v>157</v>
      </c>
      <c r="Q196">
        <v>12</v>
      </c>
      <c r="R196" t="s">
        <v>419</v>
      </c>
      <c r="S196">
        <v>12</v>
      </c>
      <c r="T196" t="s">
        <v>402</v>
      </c>
      <c r="U196" t="s">
        <v>492</v>
      </c>
      <c r="V196" t="s">
        <v>1181</v>
      </c>
      <c r="W196" t="s">
        <v>399</v>
      </c>
      <c r="X196" t="s">
        <v>401</v>
      </c>
      <c r="Y196" t="s">
        <v>2345</v>
      </c>
    </row>
    <row r="197" spans="2:25">
      <c r="B197" t="s">
        <v>2343</v>
      </c>
      <c r="C197" t="s" vm="39">
        <v>701</v>
      </c>
      <c r="D197" t="s">
        <v>333</v>
      </c>
      <c r="E197" t="s">
        <v>485</v>
      </c>
      <c r="F197" t="s">
        <v>461</v>
      </c>
      <c r="G197" t="s">
        <v>473</v>
      </c>
      <c r="H197">
        <v>2</v>
      </c>
      <c r="I197" t="s">
        <v>458</v>
      </c>
      <c r="J197" t="s">
        <v>463</v>
      </c>
      <c r="K197">
        <v>2</v>
      </c>
      <c r="L197" t="s">
        <v>488</v>
      </c>
      <c r="M197" t="s">
        <v>492</v>
      </c>
      <c r="N197" t="s">
        <v>496</v>
      </c>
      <c r="O197" t="s">
        <v>453</v>
      </c>
      <c r="P197" t="s">
        <v>157</v>
      </c>
      <c r="Q197">
        <v>6</v>
      </c>
      <c r="R197" t="s">
        <v>419</v>
      </c>
      <c r="S197">
        <v>12</v>
      </c>
      <c r="T197" t="s">
        <v>402</v>
      </c>
      <c r="U197" t="s">
        <v>492</v>
      </c>
      <c r="V197" t="s">
        <v>1181</v>
      </c>
      <c r="W197" t="s">
        <v>399</v>
      </c>
      <c r="X197" t="s">
        <v>401</v>
      </c>
      <c r="Y197" t="s">
        <v>2344</v>
      </c>
    </row>
    <row r="198" spans="2:25">
      <c r="B198" t="s">
        <v>2341</v>
      </c>
      <c r="C198" t="s" vm="39">
        <v>701</v>
      </c>
      <c r="D198" t="s">
        <v>333</v>
      </c>
      <c r="E198" t="s">
        <v>485</v>
      </c>
      <c r="F198" t="s">
        <v>461</v>
      </c>
      <c r="G198" t="s">
        <v>473</v>
      </c>
      <c r="H198">
        <v>2</v>
      </c>
      <c r="I198" t="s">
        <v>458</v>
      </c>
      <c r="J198" t="s">
        <v>464</v>
      </c>
      <c r="K198">
        <v>2</v>
      </c>
      <c r="L198" t="s">
        <v>486</v>
      </c>
      <c r="M198" t="s">
        <v>1022</v>
      </c>
      <c r="N198" t="s">
        <v>450</v>
      </c>
      <c r="O198" t="s">
        <v>453</v>
      </c>
      <c r="P198" t="s">
        <v>157</v>
      </c>
      <c r="Q198">
        <v>6</v>
      </c>
      <c r="R198" t="s">
        <v>1494</v>
      </c>
      <c r="S198">
        <v>12</v>
      </c>
      <c r="T198" t="s">
        <v>402</v>
      </c>
      <c r="U198" t="s">
        <v>492</v>
      </c>
      <c r="V198" t="s">
        <v>1181</v>
      </c>
      <c r="W198" t="s">
        <v>399</v>
      </c>
      <c r="X198" t="s">
        <v>401</v>
      </c>
      <c r="Y198" t="s">
        <v>2342</v>
      </c>
    </row>
    <row r="199" spans="2:25">
      <c r="B199" t="s">
        <v>2337</v>
      </c>
      <c r="C199" t="s" vm="39">
        <v>701</v>
      </c>
      <c r="D199" t="s">
        <v>100</v>
      </c>
      <c r="E199" t="s">
        <v>485</v>
      </c>
      <c r="F199" t="s">
        <v>461</v>
      </c>
      <c r="G199" t="s">
        <v>473</v>
      </c>
      <c r="H199">
        <v>1</v>
      </c>
      <c r="I199" t="s">
        <v>456</v>
      </c>
      <c r="J199" t="s">
        <v>463</v>
      </c>
      <c r="K199">
        <v>2</v>
      </c>
      <c r="L199" t="s">
        <v>486</v>
      </c>
      <c r="M199" t="s">
        <v>556</v>
      </c>
      <c r="N199" t="s">
        <v>450</v>
      </c>
      <c r="O199" t="s">
        <v>453</v>
      </c>
      <c r="P199" t="s">
        <v>421</v>
      </c>
      <c r="Q199">
        <v>0</v>
      </c>
      <c r="R199" t="s">
        <v>159</v>
      </c>
      <c r="S199">
        <v>0</v>
      </c>
      <c r="T199" t="s">
        <v>1516</v>
      </c>
      <c r="U199" t="s">
        <v>492</v>
      </c>
      <c r="V199" t="s">
        <v>1181</v>
      </c>
      <c r="W199" t="s">
        <v>399</v>
      </c>
      <c r="X199" t="s">
        <v>2129</v>
      </c>
      <c r="Y199" t="s">
        <v>2340</v>
      </c>
    </row>
    <row r="200" spans="2:25">
      <c r="B200" t="s">
        <v>2337</v>
      </c>
      <c r="C200" t="s" vm="39">
        <v>701</v>
      </c>
      <c r="D200" t="s">
        <v>100</v>
      </c>
      <c r="E200" t="s">
        <v>485</v>
      </c>
      <c r="F200" t="s">
        <v>461</v>
      </c>
      <c r="G200" t="s">
        <v>473</v>
      </c>
      <c r="H200">
        <v>1</v>
      </c>
      <c r="I200" t="s">
        <v>456</v>
      </c>
      <c r="J200" t="s">
        <v>463</v>
      </c>
      <c r="K200">
        <v>2</v>
      </c>
      <c r="L200" t="s">
        <v>486</v>
      </c>
      <c r="M200" t="s">
        <v>556</v>
      </c>
      <c r="N200" t="s">
        <v>450</v>
      </c>
      <c r="O200" t="s">
        <v>453</v>
      </c>
      <c r="P200" t="s">
        <v>421</v>
      </c>
      <c r="Q200">
        <v>0</v>
      </c>
      <c r="R200" t="s">
        <v>159</v>
      </c>
      <c r="S200">
        <v>0</v>
      </c>
      <c r="T200" t="s">
        <v>1516</v>
      </c>
      <c r="U200" t="s">
        <v>492</v>
      </c>
      <c r="V200" t="s">
        <v>1181</v>
      </c>
      <c r="W200" t="s">
        <v>399</v>
      </c>
      <c r="X200" t="s">
        <v>2129</v>
      </c>
      <c r="Y200" t="s">
        <v>2339</v>
      </c>
    </row>
    <row r="201" spans="2:25">
      <c r="B201" t="s">
        <v>2337</v>
      </c>
      <c r="C201" t="s" vm="39">
        <v>701</v>
      </c>
      <c r="D201" t="s">
        <v>100</v>
      </c>
      <c r="E201" t="s">
        <v>485</v>
      </c>
      <c r="F201" t="s">
        <v>461</v>
      </c>
      <c r="G201" t="s">
        <v>473</v>
      </c>
      <c r="H201">
        <v>1</v>
      </c>
      <c r="I201" t="s">
        <v>456</v>
      </c>
      <c r="J201" t="s">
        <v>463</v>
      </c>
      <c r="K201">
        <v>2</v>
      </c>
      <c r="L201" t="s">
        <v>486</v>
      </c>
      <c r="M201" t="s">
        <v>556</v>
      </c>
      <c r="N201" t="s">
        <v>450</v>
      </c>
      <c r="O201" t="s">
        <v>453</v>
      </c>
      <c r="P201" t="s">
        <v>157</v>
      </c>
      <c r="Q201">
        <v>8</v>
      </c>
      <c r="R201" t="s">
        <v>419</v>
      </c>
      <c r="S201">
        <v>8</v>
      </c>
      <c r="T201" t="s">
        <v>1516</v>
      </c>
      <c r="U201" t="s">
        <v>492</v>
      </c>
      <c r="V201" t="s">
        <v>1181</v>
      </c>
      <c r="W201" t="s">
        <v>399</v>
      </c>
      <c r="X201" t="s">
        <v>2129</v>
      </c>
      <c r="Y201" t="s">
        <v>2338</v>
      </c>
    </row>
    <row r="202" spans="2:25">
      <c r="B202" t="s">
        <v>2337</v>
      </c>
      <c r="C202" t="s" vm="39">
        <v>701</v>
      </c>
      <c r="D202" t="s">
        <v>100</v>
      </c>
      <c r="E202" t="s">
        <v>485</v>
      </c>
      <c r="F202" t="s">
        <v>461</v>
      </c>
      <c r="G202" t="s">
        <v>473</v>
      </c>
      <c r="H202">
        <v>1</v>
      </c>
      <c r="I202" t="s">
        <v>456</v>
      </c>
      <c r="J202" t="s">
        <v>463</v>
      </c>
      <c r="K202">
        <v>2</v>
      </c>
      <c r="L202" t="s">
        <v>486</v>
      </c>
      <c r="M202" t="s">
        <v>556</v>
      </c>
      <c r="N202" t="s">
        <v>450</v>
      </c>
      <c r="O202" t="s">
        <v>453</v>
      </c>
      <c r="P202" t="s">
        <v>157</v>
      </c>
      <c r="Q202">
        <v>8</v>
      </c>
      <c r="R202" t="s">
        <v>419</v>
      </c>
      <c r="S202">
        <v>8</v>
      </c>
      <c r="T202" t="s">
        <v>1516</v>
      </c>
      <c r="U202" t="s">
        <v>492</v>
      </c>
      <c r="V202" t="s">
        <v>1181</v>
      </c>
      <c r="W202" t="s">
        <v>399</v>
      </c>
      <c r="X202" t="s">
        <v>2129</v>
      </c>
      <c r="Y202" t="s">
        <v>2338</v>
      </c>
    </row>
    <row r="203" spans="2:25">
      <c r="B203" t="s">
        <v>2334</v>
      </c>
      <c r="C203" t="s" vm="39">
        <v>701</v>
      </c>
      <c r="D203" t="s">
        <v>1019</v>
      </c>
      <c r="E203" t="s">
        <v>485</v>
      </c>
      <c r="F203" t="s">
        <v>461</v>
      </c>
      <c r="G203" t="s">
        <v>473</v>
      </c>
      <c r="H203">
        <v>2</v>
      </c>
      <c r="I203" t="s">
        <v>458</v>
      </c>
      <c r="J203" t="s">
        <v>462</v>
      </c>
      <c r="K203">
        <v>2</v>
      </c>
      <c r="L203" t="s">
        <v>486</v>
      </c>
      <c r="M203" t="s">
        <v>1022</v>
      </c>
      <c r="N203" t="s">
        <v>450</v>
      </c>
      <c r="O203" t="s">
        <v>453</v>
      </c>
      <c r="P203" t="s">
        <v>421</v>
      </c>
      <c r="Q203">
        <v>0</v>
      </c>
      <c r="R203" t="s">
        <v>159</v>
      </c>
      <c r="S203">
        <v>0</v>
      </c>
      <c r="T203" t="s">
        <v>1516</v>
      </c>
      <c r="U203" t="s">
        <v>492</v>
      </c>
      <c r="V203" t="s">
        <v>1181</v>
      </c>
      <c r="W203" t="s">
        <v>399</v>
      </c>
      <c r="X203" t="s">
        <v>401</v>
      </c>
      <c r="Y203" t="s">
        <v>2336</v>
      </c>
    </row>
    <row r="204" spans="2:25">
      <c r="B204" t="s">
        <v>2334</v>
      </c>
      <c r="C204" t="s" vm="39">
        <v>701</v>
      </c>
      <c r="D204" t="s">
        <v>1019</v>
      </c>
      <c r="E204" t="s">
        <v>485</v>
      </c>
      <c r="F204" t="s">
        <v>461</v>
      </c>
      <c r="G204" t="s">
        <v>473</v>
      </c>
      <c r="H204">
        <v>2</v>
      </c>
      <c r="I204" t="s">
        <v>458</v>
      </c>
      <c r="J204" t="s">
        <v>462</v>
      </c>
      <c r="K204">
        <v>2</v>
      </c>
      <c r="L204" t="s">
        <v>486</v>
      </c>
      <c r="M204" t="s">
        <v>1022</v>
      </c>
      <c r="N204" t="s">
        <v>450</v>
      </c>
      <c r="O204" t="s">
        <v>453</v>
      </c>
      <c r="P204" t="s">
        <v>421</v>
      </c>
      <c r="Q204">
        <v>0</v>
      </c>
      <c r="R204" t="s">
        <v>159</v>
      </c>
      <c r="S204">
        <v>0</v>
      </c>
      <c r="T204" t="s">
        <v>1516</v>
      </c>
      <c r="U204" t="s">
        <v>492</v>
      </c>
      <c r="V204" t="s">
        <v>1181</v>
      </c>
      <c r="W204" t="s">
        <v>399</v>
      </c>
      <c r="X204" t="s">
        <v>401</v>
      </c>
      <c r="Y204" t="s">
        <v>2335</v>
      </c>
    </row>
    <row r="205" spans="2:25">
      <c r="B205" t="s">
        <v>2329</v>
      </c>
      <c r="C205" t="s" vm="39">
        <v>701</v>
      </c>
      <c r="D205" t="s">
        <v>100</v>
      </c>
      <c r="E205" t="s">
        <v>485</v>
      </c>
      <c r="F205" t="s">
        <v>461</v>
      </c>
      <c r="G205" t="s">
        <v>473</v>
      </c>
      <c r="H205">
        <v>1</v>
      </c>
      <c r="I205" t="s">
        <v>456</v>
      </c>
      <c r="J205" t="s">
        <v>463</v>
      </c>
      <c r="K205">
        <v>2</v>
      </c>
      <c r="L205" t="s">
        <v>486</v>
      </c>
      <c r="M205" t="s">
        <v>556</v>
      </c>
      <c r="N205" t="s">
        <v>450</v>
      </c>
      <c r="O205" t="s">
        <v>453</v>
      </c>
      <c r="P205" t="s">
        <v>157</v>
      </c>
      <c r="Q205">
        <v>4</v>
      </c>
      <c r="R205" t="s">
        <v>159</v>
      </c>
      <c r="S205">
        <v>0</v>
      </c>
      <c r="T205" t="s">
        <v>1516</v>
      </c>
      <c r="U205" t="s">
        <v>492</v>
      </c>
      <c r="V205" t="s">
        <v>1181</v>
      </c>
      <c r="W205" t="s">
        <v>399</v>
      </c>
      <c r="X205" t="s">
        <v>2129</v>
      </c>
      <c r="Y205" t="s">
        <v>2331</v>
      </c>
    </row>
    <row r="206" spans="2:25">
      <c r="B206" t="s">
        <v>2329</v>
      </c>
      <c r="C206" t="s" vm="39">
        <v>701</v>
      </c>
      <c r="D206" t="s">
        <v>100</v>
      </c>
      <c r="E206" t="s">
        <v>485</v>
      </c>
      <c r="F206" t="s">
        <v>461</v>
      </c>
      <c r="G206" t="s">
        <v>473</v>
      </c>
      <c r="H206">
        <v>1</v>
      </c>
      <c r="I206" t="s">
        <v>456</v>
      </c>
      <c r="J206" t="s">
        <v>463</v>
      </c>
      <c r="K206">
        <v>2</v>
      </c>
      <c r="L206" t="s">
        <v>486</v>
      </c>
      <c r="M206" t="s">
        <v>556</v>
      </c>
      <c r="N206" t="s">
        <v>450</v>
      </c>
      <c r="O206" t="s">
        <v>453</v>
      </c>
      <c r="P206" t="s">
        <v>157</v>
      </c>
      <c r="Q206">
        <v>4</v>
      </c>
      <c r="R206" t="s">
        <v>159</v>
      </c>
      <c r="S206">
        <v>0</v>
      </c>
      <c r="T206" t="s">
        <v>1516</v>
      </c>
      <c r="U206" t="s">
        <v>492</v>
      </c>
      <c r="V206" t="s">
        <v>1181</v>
      </c>
      <c r="W206" t="s">
        <v>399</v>
      </c>
      <c r="X206" t="s">
        <v>2129</v>
      </c>
      <c r="Y206" t="s">
        <v>2330</v>
      </c>
    </row>
    <row r="207" spans="2:25">
      <c r="B207" t="s">
        <v>2323</v>
      </c>
      <c r="C207" t="s" vm="39">
        <v>701</v>
      </c>
      <c r="D207" t="s">
        <v>100</v>
      </c>
      <c r="E207" t="s">
        <v>485</v>
      </c>
      <c r="F207" t="s">
        <v>461</v>
      </c>
      <c r="G207" t="s">
        <v>473</v>
      </c>
      <c r="H207">
        <v>1</v>
      </c>
      <c r="I207" t="s">
        <v>456</v>
      </c>
      <c r="J207" t="s">
        <v>463</v>
      </c>
      <c r="K207">
        <v>2</v>
      </c>
      <c r="L207" t="s">
        <v>488</v>
      </c>
      <c r="M207" t="s">
        <v>492</v>
      </c>
      <c r="N207" t="s">
        <v>496</v>
      </c>
      <c r="O207" t="s">
        <v>453</v>
      </c>
      <c r="P207" t="s">
        <v>157</v>
      </c>
      <c r="Q207">
        <v>8</v>
      </c>
      <c r="R207" t="s">
        <v>159</v>
      </c>
      <c r="S207">
        <v>0</v>
      </c>
      <c r="T207" t="s">
        <v>402</v>
      </c>
      <c r="U207" t="s">
        <v>492</v>
      </c>
      <c r="V207" t="s">
        <v>1181</v>
      </c>
      <c r="W207" t="s">
        <v>399</v>
      </c>
      <c r="X207" t="s">
        <v>2129</v>
      </c>
      <c r="Y207" t="s">
        <v>2328</v>
      </c>
    </row>
    <row r="208" spans="2:25">
      <c r="B208" t="s">
        <v>2323</v>
      </c>
      <c r="C208" t="s" vm="39">
        <v>701</v>
      </c>
      <c r="D208" t="s">
        <v>101</v>
      </c>
      <c r="E208" t="s">
        <v>485</v>
      </c>
      <c r="F208" t="s">
        <v>461</v>
      </c>
      <c r="G208" t="s">
        <v>473</v>
      </c>
      <c r="H208">
        <v>1</v>
      </c>
      <c r="I208" t="s">
        <v>456</v>
      </c>
      <c r="J208" t="s">
        <v>463</v>
      </c>
      <c r="K208">
        <v>2</v>
      </c>
      <c r="L208" t="s">
        <v>488</v>
      </c>
      <c r="M208" t="s">
        <v>492</v>
      </c>
      <c r="N208" t="s">
        <v>496</v>
      </c>
      <c r="O208" t="s">
        <v>453</v>
      </c>
      <c r="P208" t="s">
        <v>157</v>
      </c>
      <c r="Q208">
        <v>8</v>
      </c>
      <c r="R208" t="s">
        <v>159</v>
      </c>
      <c r="S208">
        <v>0</v>
      </c>
      <c r="T208" t="s">
        <v>402</v>
      </c>
      <c r="U208" t="s">
        <v>492</v>
      </c>
      <c r="V208" t="s">
        <v>1181</v>
      </c>
      <c r="W208" t="s">
        <v>399</v>
      </c>
      <c r="X208" t="s">
        <v>2129</v>
      </c>
      <c r="Y208" t="s">
        <v>2325</v>
      </c>
    </row>
    <row r="209" spans="2:25">
      <c r="B209" t="s">
        <v>2323</v>
      </c>
      <c r="C209" t="s" vm="39">
        <v>701</v>
      </c>
      <c r="D209" t="s">
        <v>101</v>
      </c>
      <c r="E209" t="s">
        <v>485</v>
      </c>
      <c r="F209" t="s">
        <v>461</v>
      </c>
      <c r="G209" t="s">
        <v>473</v>
      </c>
      <c r="H209">
        <v>1</v>
      </c>
      <c r="I209" t="s">
        <v>456</v>
      </c>
      <c r="J209" t="s">
        <v>463</v>
      </c>
      <c r="K209">
        <v>2</v>
      </c>
      <c r="L209" t="s">
        <v>488</v>
      </c>
      <c r="M209" t="s">
        <v>492</v>
      </c>
      <c r="N209" t="s">
        <v>496</v>
      </c>
      <c r="O209" t="s">
        <v>453</v>
      </c>
      <c r="P209" t="s">
        <v>157</v>
      </c>
      <c r="Q209">
        <v>8</v>
      </c>
      <c r="R209" t="s">
        <v>159</v>
      </c>
      <c r="S209">
        <v>0</v>
      </c>
      <c r="T209" t="s">
        <v>402</v>
      </c>
      <c r="U209" t="s">
        <v>492</v>
      </c>
      <c r="V209" t="s">
        <v>1181</v>
      </c>
      <c r="W209" t="s">
        <v>399</v>
      </c>
      <c r="X209" t="s">
        <v>2129</v>
      </c>
      <c r="Y209" t="s">
        <v>2324</v>
      </c>
    </row>
    <row r="210" spans="2:25">
      <c r="B210" t="s">
        <v>2318</v>
      </c>
      <c r="C210" t="s" vm="39">
        <v>701</v>
      </c>
      <c r="D210" t="s">
        <v>333</v>
      </c>
      <c r="E210" t="s">
        <v>485</v>
      </c>
      <c r="F210" t="s">
        <v>461</v>
      </c>
      <c r="G210" t="s">
        <v>473</v>
      </c>
      <c r="H210">
        <v>2</v>
      </c>
      <c r="I210" t="s">
        <v>456</v>
      </c>
      <c r="J210" t="s">
        <v>463</v>
      </c>
      <c r="K210">
        <v>2</v>
      </c>
      <c r="L210" t="s">
        <v>486</v>
      </c>
      <c r="M210" t="s">
        <v>1022</v>
      </c>
      <c r="N210" t="s">
        <v>450</v>
      </c>
      <c r="O210" t="s">
        <v>453</v>
      </c>
      <c r="P210" t="s">
        <v>421</v>
      </c>
      <c r="Q210">
        <v>0</v>
      </c>
      <c r="R210" t="s">
        <v>159</v>
      </c>
      <c r="S210">
        <v>0</v>
      </c>
      <c r="T210" t="s">
        <v>1516</v>
      </c>
      <c r="U210" t="s">
        <v>492</v>
      </c>
      <c r="V210" t="s">
        <v>1181</v>
      </c>
      <c r="W210" t="s">
        <v>477</v>
      </c>
      <c r="X210" t="s">
        <v>401</v>
      </c>
      <c r="Y210" t="s">
        <v>2322</v>
      </c>
    </row>
    <row r="211" spans="2:25">
      <c r="B211" t="s">
        <v>2318</v>
      </c>
      <c r="C211" t="s" vm="39">
        <v>701</v>
      </c>
      <c r="D211" t="s">
        <v>333</v>
      </c>
      <c r="E211" t="s">
        <v>485</v>
      </c>
      <c r="F211" t="s">
        <v>461</v>
      </c>
      <c r="G211" t="s">
        <v>473</v>
      </c>
      <c r="H211">
        <v>2</v>
      </c>
      <c r="I211" t="s">
        <v>456</v>
      </c>
      <c r="J211" t="s">
        <v>463</v>
      </c>
      <c r="K211">
        <v>2</v>
      </c>
      <c r="L211" t="s">
        <v>486</v>
      </c>
      <c r="M211" t="s">
        <v>1022</v>
      </c>
      <c r="N211" t="s">
        <v>450</v>
      </c>
      <c r="O211" t="s">
        <v>453</v>
      </c>
      <c r="P211" t="s">
        <v>421</v>
      </c>
      <c r="Q211">
        <v>0</v>
      </c>
      <c r="R211" t="s">
        <v>159</v>
      </c>
      <c r="S211">
        <v>0</v>
      </c>
      <c r="T211" t="s">
        <v>1516</v>
      </c>
      <c r="U211" t="s">
        <v>492</v>
      </c>
      <c r="V211" t="s">
        <v>1181</v>
      </c>
      <c r="W211">
        <v>0</v>
      </c>
      <c r="X211" t="s">
        <v>401</v>
      </c>
      <c r="Y211" t="s">
        <v>2321</v>
      </c>
    </row>
    <row r="212" spans="2:25">
      <c r="B212" t="s">
        <v>2318</v>
      </c>
      <c r="C212" t="s" vm="39">
        <v>701</v>
      </c>
      <c r="D212" t="s">
        <v>333</v>
      </c>
      <c r="E212" t="s">
        <v>485</v>
      </c>
      <c r="F212" t="s">
        <v>461</v>
      </c>
      <c r="G212" t="s">
        <v>473</v>
      </c>
      <c r="H212">
        <v>2</v>
      </c>
      <c r="I212" t="s">
        <v>456</v>
      </c>
      <c r="J212" t="s">
        <v>463</v>
      </c>
      <c r="K212">
        <v>2</v>
      </c>
      <c r="L212" t="s">
        <v>486</v>
      </c>
      <c r="M212" t="s">
        <v>1022</v>
      </c>
      <c r="N212" t="s">
        <v>450</v>
      </c>
      <c r="O212" t="s">
        <v>453</v>
      </c>
      <c r="P212" t="s">
        <v>421</v>
      </c>
      <c r="Q212">
        <v>0</v>
      </c>
      <c r="R212" t="s">
        <v>159</v>
      </c>
      <c r="S212">
        <v>0</v>
      </c>
      <c r="T212" t="s">
        <v>1516</v>
      </c>
      <c r="U212" t="s">
        <v>492</v>
      </c>
      <c r="V212" t="s">
        <v>1181</v>
      </c>
      <c r="W212">
        <v>0</v>
      </c>
      <c r="X212" t="s">
        <v>401</v>
      </c>
      <c r="Y212" t="s">
        <v>2320</v>
      </c>
    </row>
    <row r="213" spans="2:25">
      <c r="B213" t="s">
        <v>2318</v>
      </c>
      <c r="C213" t="s" vm="39">
        <v>701</v>
      </c>
      <c r="D213" t="s">
        <v>333</v>
      </c>
      <c r="E213" t="s">
        <v>485</v>
      </c>
      <c r="F213" t="s">
        <v>461</v>
      </c>
      <c r="G213" t="s">
        <v>473</v>
      </c>
      <c r="H213">
        <v>2</v>
      </c>
      <c r="I213" t="s">
        <v>456</v>
      </c>
      <c r="J213" t="s">
        <v>463</v>
      </c>
      <c r="K213">
        <v>2</v>
      </c>
      <c r="L213" t="s">
        <v>486</v>
      </c>
      <c r="M213" t="s">
        <v>1022</v>
      </c>
      <c r="N213" t="s">
        <v>450</v>
      </c>
      <c r="O213" t="s">
        <v>453</v>
      </c>
      <c r="P213" t="s">
        <v>157</v>
      </c>
      <c r="Q213">
        <v>12</v>
      </c>
      <c r="R213" t="s">
        <v>419</v>
      </c>
      <c r="S213">
        <v>12</v>
      </c>
      <c r="T213" t="s">
        <v>1516</v>
      </c>
      <c r="U213" t="s">
        <v>492</v>
      </c>
      <c r="V213" t="s">
        <v>1181</v>
      </c>
      <c r="W213">
        <v>0</v>
      </c>
      <c r="X213" t="s">
        <v>401</v>
      </c>
      <c r="Y213" t="s">
        <v>2319</v>
      </c>
    </row>
    <row r="214" spans="2:25">
      <c r="B214" t="s">
        <v>2316</v>
      </c>
      <c r="C214" t="s" vm="39">
        <v>701</v>
      </c>
      <c r="D214" t="s">
        <v>101</v>
      </c>
      <c r="E214" t="s">
        <v>485</v>
      </c>
      <c r="F214" t="s">
        <v>217</v>
      </c>
      <c r="G214" t="s">
        <v>473</v>
      </c>
      <c r="H214">
        <v>1</v>
      </c>
      <c r="I214" t="s">
        <v>456</v>
      </c>
      <c r="J214" t="s">
        <v>463</v>
      </c>
      <c r="K214">
        <v>1</v>
      </c>
      <c r="L214" t="s">
        <v>486</v>
      </c>
      <c r="M214" t="s">
        <v>556</v>
      </c>
      <c r="N214" t="s">
        <v>450</v>
      </c>
      <c r="O214" t="s">
        <v>453</v>
      </c>
      <c r="P214" t="s">
        <v>157</v>
      </c>
      <c r="Q214">
        <v>8</v>
      </c>
      <c r="R214" t="s">
        <v>419</v>
      </c>
      <c r="S214">
        <v>8</v>
      </c>
      <c r="T214" t="s">
        <v>402</v>
      </c>
      <c r="U214" t="s">
        <v>492</v>
      </c>
      <c r="V214" t="s">
        <v>1181</v>
      </c>
      <c r="W214">
        <v>0</v>
      </c>
      <c r="X214" t="s">
        <v>2129</v>
      </c>
      <c r="Y214" t="s">
        <v>2317</v>
      </c>
    </row>
    <row r="215" spans="2:25">
      <c r="B215" t="s">
        <v>2310</v>
      </c>
      <c r="C215" t="s" vm="39">
        <v>701</v>
      </c>
      <c r="D215" t="s">
        <v>333</v>
      </c>
      <c r="E215" t="s">
        <v>485</v>
      </c>
      <c r="F215" t="s">
        <v>217</v>
      </c>
      <c r="G215" t="s">
        <v>473</v>
      </c>
      <c r="H215">
        <v>2</v>
      </c>
      <c r="I215" t="s">
        <v>458</v>
      </c>
      <c r="J215" t="s">
        <v>462</v>
      </c>
      <c r="K215">
        <v>2</v>
      </c>
      <c r="L215" t="s">
        <v>488</v>
      </c>
      <c r="M215" t="s">
        <v>492</v>
      </c>
      <c r="N215" t="s">
        <v>496</v>
      </c>
      <c r="O215" t="s">
        <v>453</v>
      </c>
      <c r="P215" t="s">
        <v>421</v>
      </c>
      <c r="Q215">
        <v>0</v>
      </c>
      <c r="R215" t="s">
        <v>159</v>
      </c>
      <c r="S215">
        <v>0</v>
      </c>
      <c r="T215" t="s">
        <v>402</v>
      </c>
      <c r="U215" t="s">
        <v>492</v>
      </c>
      <c r="V215" t="s">
        <v>1181</v>
      </c>
      <c r="W215">
        <v>0</v>
      </c>
      <c r="X215" t="s">
        <v>401</v>
      </c>
      <c r="Y215" t="s">
        <v>2314</v>
      </c>
    </row>
    <row r="216" spans="2:25">
      <c r="B216" t="s">
        <v>2310</v>
      </c>
      <c r="C216" t="s" vm="39">
        <v>701</v>
      </c>
      <c r="D216" t="s">
        <v>333</v>
      </c>
      <c r="E216" t="s">
        <v>485</v>
      </c>
      <c r="F216" t="s">
        <v>217</v>
      </c>
      <c r="G216" t="s">
        <v>473</v>
      </c>
      <c r="H216">
        <v>2</v>
      </c>
      <c r="I216" t="s">
        <v>458</v>
      </c>
      <c r="J216" t="s">
        <v>462</v>
      </c>
      <c r="K216">
        <v>2</v>
      </c>
      <c r="L216" t="s">
        <v>488</v>
      </c>
      <c r="M216" t="s">
        <v>492</v>
      </c>
      <c r="N216" t="s">
        <v>496</v>
      </c>
      <c r="O216" t="s">
        <v>453</v>
      </c>
      <c r="P216" t="s">
        <v>157</v>
      </c>
      <c r="Q216">
        <v>12</v>
      </c>
      <c r="R216" t="s">
        <v>416</v>
      </c>
      <c r="S216">
        <v>12</v>
      </c>
      <c r="T216" t="s">
        <v>402</v>
      </c>
      <c r="U216" t="s">
        <v>492</v>
      </c>
      <c r="V216" t="s">
        <v>1181</v>
      </c>
      <c r="W216">
        <v>0</v>
      </c>
      <c r="X216" t="s">
        <v>401</v>
      </c>
      <c r="Y216" t="s">
        <v>2315</v>
      </c>
    </row>
    <row r="217" spans="2:25">
      <c r="B217" t="s">
        <v>2310</v>
      </c>
      <c r="C217" t="s" vm="39">
        <v>701</v>
      </c>
      <c r="D217" t="s">
        <v>333</v>
      </c>
      <c r="E217" t="s">
        <v>485</v>
      </c>
      <c r="F217" t="s">
        <v>217</v>
      </c>
      <c r="G217" t="s">
        <v>473</v>
      </c>
      <c r="H217">
        <v>2</v>
      </c>
      <c r="I217" t="s">
        <v>458</v>
      </c>
      <c r="J217" t="s">
        <v>462</v>
      </c>
      <c r="K217">
        <v>2</v>
      </c>
      <c r="L217" t="s">
        <v>488</v>
      </c>
      <c r="M217" t="s">
        <v>492</v>
      </c>
      <c r="N217" t="s">
        <v>496</v>
      </c>
      <c r="O217" t="s">
        <v>453</v>
      </c>
      <c r="P217" t="s">
        <v>421</v>
      </c>
      <c r="Q217">
        <v>0</v>
      </c>
      <c r="R217" t="s">
        <v>159</v>
      </c>
      <c r="S217">
        <v>0</v>
      </c>
      <c r="T217" t="s">
        <v>402</v>
      </c>
      <c r="U217" t="s">
        <v>492</v>
      </c>
      <c r="V217" t="s">
        <v>1181</v>
      </c>
      <c r="W217">
        <v>0</v>
      </c>
      <c r="X217" t="s">
        <v>401</v>
      </c>
      <c r="Y217" t="s">
        <v>2314</v>
      </c>
    </row>
    <row r="218" spans="2:25">
      <c r="B218" t="s">
        <v>2310</v>
      </c>
      <c r="C218" t="s" vm="39">
        <v>701</v>
      </c>
      <c r="D218" t="s">
        <v>333</v>
      </c>
      <c r="E218" t="s">
        <v>485</v>
      </c>
      <c r="F218" t="s">
        <v>217</v>
      </c>
      <c r="G218" t="s">
        <v>473</v>
      </c>
      <c r="H218">
        <v>2</v>
      </c>
      <c r="I218" t="s">
        <v>458</v>
      </c>
      <c r="J218" t="s">
        <v>462</v>
      </c>
      <c r="K218">
        <v>2</v>
      </c>
      <c r="L218" t="s">
        <v>488</v>
      </c>
      <c r="M218" t="s">
        <v>492</v>
      </c>
      <c r="N218" t="s">
        <v>496</v>
      </c>
      <c r="O218" t="s">
        <v>453</v>
      </c>
      <c r="P218" t="s">
        <v>421</v>
      </c>
      <c r="Q218">
        <v>0</v>
      </c>
      <c r="R218" t="s">
        <v>159</v>
      </c>
      <c r="S218">
        <v>0</v>
      </c>
      <c r="T218" t="s">
        <v>402</v>
      </c>
      <c r="U218" t="s">
        <v>492</v>
      </c>
      <c r="V218" t="s">
        <v>1181</v>
      </c>
      <c r="W218">
        <v>0</v>
      </c>
      <c r="X218" t="s">
        <v>401</v>
      </c>
      <c r="Y218" t="s">
        <v>2313</v>
      </c>
    </row>
    <row r="219" spans="2:25">
      <c r="B219" t="s">
        <v>2310</v>
      </c>
      <c r="C219" t="s" vm="39">
        <v>701</v>
      </c>
      <c r="D219" t="s">
        <v>100</v>
      </c>
      <c r="E219" t="s">
        <v>485</v>
      </c>
      <c r="F219" t="s">
        <v>461</v>
      </c>
      <c r="G219" t="s">
        <v>123</v>
      </c>
      <c r="H219" t="s">
        <v>123</v>
      </c>
      <c r="I219" t="s">
        <v>456</v>
      </c>
      <c r="J219" t="s">
        <v>463</v>
      </c>
      <c r="K219">
        <v>2</v>
      </c>
      <c r="L219" t="s">
        <v>486</v>
      </c>
      <c r="M219" t="s">
        <v>556</v>
      </c>
      <c r="N219" t="s">
        <v>450</v>
      </c>
      <c r="O219" t="s">
        <v>453</v>
      </c>
      <c r="P219" t="s">
        <v>421</v>
      </c>
      <c r="Q219">
        <v>0</v>
      </c>
      <c r="R219" t="s">
        <v>159</v>
      </c>
      <c r="S219">
        <v>0</v>
      </c>
      <c r="T219" t="s">
        <v>402</v>
      </c>
      <c r="U219" t="s">
        <v>492</v>
      </c>
      <c r="V219" t="s">
        <v>1181</v>
      </c>
      <c r="W219">
        <v>0</v>
      </c>
      <c r="X219" t="s">
        <v>2129</v>
      </c>
      <c r="Y219" t="s">
        <v>2312</v>
      </c>
    </row>
    <row r="220" spans="2:25">
      <c r="B220" t="s">
        <v>2310</v>
      </c>
      <c r="C220" t="s" vm="39">
        <v>701</v>
      </c>
      <c r="D220" t="s">
        <v>100</v>
      </c>
      <c r="E220" t="s">
        <v>485</v>
      </c>
      <c r="F220" t="s">
        <v>461</v>
      </c>
      <c r="G220" t="s">
        <v>123</v>
      </c>
      <c r="H220" t="s">
        <v>123</v>
      </c>
      <c r="I220" t="s">
        <v>456</v>
      </c>
      <c r="J220" t="s">
        <v>463</v>
      </c>
      <c r="K220">
        <v>2</v>
      </c>
      <c r="L220" t="s">
        <v>486</v>
      </c>
      <c r="M220" t="s">
        <v>556</v>
      </c>
      <c r="N220" t="s">
        <v>450</v>
      </c>
      <c r="O220" t="s">
        <v>453</v>
      </c>
      <c r="P220" t="s">
        <v>421</v>
      </c>
      <c r="Q220">
        <v>0</v>
      </c>
      <c r="R220" t="s">
        <v>159</v>
      </c>
      <c r="S220">
        <v>0</v>
      </c>
      <c r="T220" t="s">
        <v>402</v>
      </c>
      <c r="U220" t="s">
        <v>492</v>
      </c>
      <c r="V220" t="s">
        <v>1181</v>
      </c>
      <c r="W220">
        <v>0</v>
      </c>
      <c r="X220" t="s">
        <v>2129</v>
      </c>
      <c r="Y220" t="s">
        <v>2311</v>
      </c>
    </row>
    <row r="221" spans="2:25">
      <c r="B221" t="s">
        <v>2308</v>
      </c>
      <c r="C221" t="s" vm="39">
        <v>701</v>
      </c>
      <c r="D221" t="s">
        <v>100</v>
      </c>
      <c r="E221" t="s">
        <v>485</v>
      </c>
      <c r="F221" t="s">
        <v>461</v>
      </c>
      <c r="G221" t="s">
        <v>123</v>
      </c>
      <c r="H221" t="s">
        <v>123</v>
      </c>
      <c r="I221" t="s">
        <v>456</v>
      </c>
      <c r="J221" t="s">
        <v>463</v>
      </c>
      <c r="K221">
        <v>2</v>
      </c>
      <c r="L221" t="s">
        <v>486</v>
      </c>
      <c r="M221" t="s">
        <v>556</v>
      </c>
      <c r="N221" t="s">
        <v>450</v>
      </c>
      <c r="O221" t="s">
        <v>453</v>
      </c>
      <c r="P221" t="s">
        <v>421</v>
      </c>
      <c r="Q221">
        <v>0</v>
      </c>
      <c r="R221" t="s">
        <v>159</v>
      </c>
      <c r="S221">
        <v>0</v>
      </c>
      <c r="T221" t="s">
        <v>402</v>
      </c>
      <c r="U221" t="s">
        <v>492</v>
      </c>
      <c r="V221" t="s">
        <v>1181</v>
      </c>
      <c r="W221">
        <v>0</v>
      </c>
      <c r="X221" t="s">
        <v>2129</v>
      </c>
      <c r="Y221" t="s">
        <v>2309</v>
      </c>
    </row>
    <row r="222" spans="2:25">
      <c r="B222" t="s">
        <v>2301</v>
      </c>
      <c r="C222" t="s" vm="39">
        <v>701</v>
      </c>
      <c r="D222" t="s">
        <v>100</v>
      </c>
      <c r="E222" t="s">
        <v>485</v>
      </c>
      <c r="F222" t="s">
        <v>461</v>
      </c>
      <c r="G222" t="s">
        <v>473</v>
      </c>
      <c r="H222">
        <v>1</v>
      </c>
      <c r="I222" t="s">
        <v>456</v>
      </c>
      <c r="J222" t="s">
        <v>463</v>
      </c>
      <c r="K222">
        <v>2</v>
      </c>
      <c r="L222" t="s">
        <v>486</v>
      </c>
      <c r="M222" t="s">
        <v>556</v>
      </c>
      <c r="N222" t="s">
        <v>450</v>
      </c>
      <c r="O222" t="s">
        <v>453</v>
      </c>
      <c r="P222" t="s">
        <v>421</v>
      </c>
      <c r="Q222">
        <v>0</v>
      </c>
      <c r="R222" t="s">
        <v>159</v>
      </c>
      <c r="S222">
        <v>0</v>
      </c>
      <c r="T222" t="s">
        <v>402</v>
      </c>
      <c r="U222" t="s">
        <v>492</v>
      </c>
      <c r="V222" t="s">
        <v>1181</v>
      </c>
      <c r="W222">
        <v>0</v>
      </c>
      <c r="X222" t="s">
        <v>2129</v>
      </c>
      <c r="Y222" t="s">
        <v>2305</v>
      </c>
    </row>
    <row r="223" spans="2:25">
      <c r="B223" t="s">
        <v>2301</v>
      </c>
      <c r="C223" t="s" vm="39">
        <v>701</v>
      </c>
      <c r="D223" t="s">
        <v>100</v>
      </c>
      <c r="E223" t="s">
        <v>485</v>
      </c>
      <c r="F223" t="s">
        <v>461</v>
      </c>
      <c r="G223" t="s">
        <v>473</v>
      </c>
      <c r="H223">
        <v>1</v>
      </c>
      <c r="I223" t="s">
        <v>456</v>
      </c>
      <c r="J223" t="s">
        <v>463</v>
      </c>
      <c r="K223">
        <v>2</v>
      </c>
      <c r="L223" t="s">
        <v>486</v>
      </c>
      <c r="M223" t="s">
        <v>556</v>
      </c>
      <c r="N223" t="s">
        <v>450</v>
      </c>
      <c r="O223" t="s">
        <v>453</v>
      </c>
      <c r="P223" t="s">
        <v>421</v>
      </c>
      <c r="Q223">
        <v>0</v>
      </c>
      <c r="R223" t="s">
        <v>159</v>
      </c>
      <c r="S223">
        <v>0</v>
      </c>
      <c r="T223" t="s">
        <v>402</v>
      </c>
      <c r="U223" t="s">
        <v>492</v>
      </c>
      <c r="V223" t="s">
        <v>1181</v>
      </c>
      <c r="W223">
        <v>0</v>
      </c>
      <c r="X223" t="s">
        <v>2129</v>
      </c>
      <c r="Y223" t="s">
        <v>2305</v>
      </c>
    </row>
    <row r="224" spans="2:25">
      <c r="B224" t="s">
        <v>2301</v>
      </c>
      <c r="C224" t="s" vm="39">
        <v>701</v>
      </c>
      <c r="D224" t="s">
        <v>100</v>
      </c>
      <c r="E224" t="s">
        <v>485</v>
      </c>
      <c r="F224" t="s">
        <v>461</v>
      </c>
      <c r="G224" t="s">
        <v>473</v>
      </c>
      <c r="H224">
        <v>1</v>
      </c>
      <c r="I224" t="s">
        <v>456</v>
      </c>
      <c r="J224" t="s">
        <v>464</v>
      </c>
      <c r="K224">
        <v>2</v>
      </c>
      <c r="L224" t="s">
        <v>486</v>
      </c>
      <c r="M224" t="s">
        <v>556</v>
      </c>
      <c r="N224" t="s">
        <v>450</v>
      </c>
      <c r="O224" t="s">
        <v>453</v>
      </c>
      <c r="P224" t="s">
        <v>157</v>
      </c>
      <c r="Q224">
        <v>8</v>
      </c>
      <c r="R224" t="s">
        <v>419</v>
      </c>
      <c r="S224">
        <v>8</v>
      </c>
      <c r="T224" t="s">
        <v>1516</v>
      </c>
      <c r="U224" t="s">
        <v>492</v>
      </c>
      <c r="V224" t="s">
        <v>1181</v>
      </c>
      <c r="W224">
        <v>0</v>
      </c>
      <c r="X224" t="s">
        <v>2129</v>
      </c>
      <c r="Y224" t="s">
        <v>2302</v>
      </c>
    </row>
    <row r="225" spans="2:25">
      <c r="B225" t="s">
        <v>2301</v>
      </c>
      <c r="C225" t="s" vm="39">
        <v>701</v>
      </c>
      <c r="D225" t="s">
        <v>100</v>
      </c>
      <c r="E225" t="s">
        <v>485</v>
      </c>
      <c r="F225" t="s">
        <v>461</v>
      </c>
      <c r="G225" t="s">
        <v>473</v>
      </c>
      <c r="H225">
        <v>1</v>
      </c>
      <c r="I225" t="s">
        <v>456</v>
      </c>
      <c r="J225" t="s">
        <v>464</v>
      </c>
      <c r="K225">
        <v>2</v>
      </c>
      <c r="L225" t="s">
        <v>486</v>
      </c>
      <c r="M225" t="s">
        <v>556</v>
      </c>
      <c r="N225" t="s">
        <v>450</v>
      </c>
      <c r="O225" t="s">
        <v>453</v>
      </c>
      <c r="P225" t="s">
        <v>157</v>
      </c>
      <c r="Q225">
        <v>8</v>
      </c>
      <c r="R225" t="s">
        <v>419</v>
      </c>
      <c r="S225">
        <v>8</v>
      </c>
      <c r="T225" t="s">
        <v>1516</v>
      </c>
      <c r="U225" t="s">
        <v>492</v>
      </c>
      <c r="V225" t="s">
        <v>1181</v>
      </c>
      <c r="W225">
        <v>0</v>
      </c>
      <c r="X225" t="s">
        <v>2129</v>
      </c>
      <c r="Y225" t="s">
        <v>2302</v>
      </c>
    </row>
    <row r="226" spans="2:25">
      <c r="B226" t="s">
        <v>2296</v>
      </c>
      <c r="C226" t="s" vm="39">
        <v>701</v>
      </c>
      <c r="D226" t="s">
        <v>331</v>
      </c>
      <c r="E226" t="s">
        <v>485</v>
      </c>
      <c r="F226" t="s">
        <v>461</v>
      </c>
      <c r="G226" t="s">
        <v>473</v>
      </c>
      <c r="H226">
        <v>2</v>
      </c>
      <c r="I226" t="s">
        <v>456</v>
      </c>
      <c r="J226" t="s">
        <v>463</v>
      </c>
      <c r="K226">
        <v>2</v>
      </c>
      <c r="L226" t="s">
        <v>486</v>
      </c>
      <c r="M226" t="s">
        <v>1864</v>
      </c>
      <c r="N226" t="s">
        <v>450</v>
      </c>
      <c r="O226" t="s">
        <v>453</v>
      </c>
      <c r="P226" t="s">
        <v>421</v>
      </c>
      <c r="Q226">
        <v>0</v>
      </c>
      <c r="R226" t="s">
        <v>123</v>
      </c>
      <c r="S226">
        <v>0</v>
      </c>
      <c r="T226" t="s">
        <v>481</v>
      </c>
      <c r="U226" t="s">
        <v>492</v>
      </c>
      <c r="V226" t="s">
        <v>1181</v>
      </c>
      <c r="W226" t="s">
        <v>2289</v>
      </c>
      <c r="X226" t="s">
        <v>401</v>
      </c>
      <c r="Y226" t="s">
        <v>2300</v>
      </c>
    </row>
    <row r="227" spans="2:25">
      <c r="B227" t="s">
        <v>2296</v>
      </c>
      <c r="C227" t="s" vm="39">
        <v>701</v>
      </c>
      <c r="D227" t="s">
        <v>331</v>
      </c>
      <c r="E227" t="s">
        <v>485</v>
      </c>
      <c r="F227" t="s">
        <v>461</v>
      </c>
      <c r="G227" t="s">
        <v>473</v>
      </c>
      <c r="H227">
        <v>2</v>
      </c>
      <c r="I227" t="s">
        <v>456</v>
      </c>
      <c r="J227" t="s">
        <v>463</v>
      </c>
      <c r="K227">
        <v>2</v>
      </c>
      <c r="L227" t="s">
        <v>486</v>
      </c>
      <c r="M227" t="s">
        <v>1864</v>
      </c>
      <c r="N227" t="s">
        <v>450</v>
      </c>
      <c r="O227" t="s">
        <v>453</v>
      </c>
      <c r="P227" t="s">
        <v>421</v>
      </c>
      <c r="Q227">
        <v>0</v>
      </c>
      <c r="R227" t="s">
        <v>123</v>
      </c>
      <c r="S227">
        <v>0</v>
      </c>
      <c r="T227" t="s">
        <v>481</v>
      </c>
      <c r="U227" t="s">
        <v>492</v>
      </c>
      <c r="V227" t="s">
        <v>1181</v>
      </c>
      <c r="W227" t="s">
        <v>2289</v>
      </c>
      <c r="X227" t="s">
        <v>401</v>
      </c>
      <c r="Y227" t="s">
        <v>2300</v>
      </c>
    </row>
    <row r="228" spans="2:25">
      <c r="B228" t="s">
        <v>2296</v>
      </c>
      <c r="C228" t="s" vm="39">
        <v>701</v>
      </c>
      <c r="D228" t="s">
        <v>331</v>
      </c>
      <c r="E228" t="s">
        <v>485</v>
      </c>
      <c r="F228" t="s">
        <v>461</v>
      </c>
      <c r="G228" t="s">
        <v>473</v>
      </c>
      <c r="H228">
        <v>2</v>
      </c>
      <c r="I228" t="s">
        <v>456</v>
      </c>
      <c r="J228" t="s">
        <v>463</v>
      </c>
      <c r="K228">
        <v>2</v>
      </c>
      <c r="L228" t="s">
        <v>486</v>
      </c>
      <c r="M228" t="s">
        <v>1864</v>
      </c>
      <c r="N228" t="s">
        <v>450</v>
      </c>
      <c r="O228" t="s">
        <v>453</v>
      </c>
      <c r="P228" t="s">
        <v>421</v>
      </c>
      <c r="Q228">
        <v>0</v>
      </c>
      <c r="R228" t="s">
        <v>123</v>
      </c>
      <c r="S228">
        <v>0</v>
      </c>
      <c r="T228" t="s">
        <v>481</v>
      </c>
      <c r="U228" t="s">
        <v>492</v>
      </c>
      <c r="V228" t="s">
        <v>1181</v>
      </c>
      <c r="W228" t="s">
        <v>2289</v>
      </c>
      <c r="X228" t="s">
        <v>2129</v>
      </c>
      <c r="Y228" t="s">
        <v>2299</v>
      </c>
    </row>
    <row r="229" spans="2:25">
      <c r="B229" t="s">
        <v>2296</v>
      </c>
      <c r="C229" t="s" vm="39">
        <v>701</v>
      </c>
      <c r="D229" t="s">
        <v>331</v>
      </c>
      <c r="E229" t="s">
        <v>485</v>
      </c>
      <c r="F229" t="s">
        <v>461</v>
      </c>
      <c r="G229" t="s">
        <v>473</v>
      </c>
      <c r="H229">
        <v>2</v>
      </c>
      <c r="I229" t="s">
        <v>456</v>
      </c>
      <c r="J229" t="s">
        <v>463</v>
      </c>
      <c r="K229">
        <v>2</v>
      </c>
      <c r="L229" t="s">
        <v>486</v>
      </c>
      <c r="M229" t="s">
        <v>1864</v>
      </c>
      <c r="N229" t="s">
        <v>450</v>
      </c>
      <c r="O229" t="s">
        <v>453</v>
      </c>
      <c r="P229" t="s">
        <v>421</v>
      </c>
      <c r="Q229">
        <v>0</v>
      </c>
      <c r="R229" t="s">
        <v>123</v>
      </c>
      <c r="S229">
        <v>0</v>
      </c>
      <c r="T229" t="s">
        <v>481</v>
      </c>
      <c r="U229" t="s">
        <v>492</v>
      </c>
      <c r="V229" t="s">
        <v>1181</v>
      </c>
      <c r="W229" t="s">
        <v>2289</v>
      </c>
      <c r="X229" t="s">
        <v>2129</v>
      </c>
      <c r="Y229" t="s">
        <v>2298</v>
      </c>
    </row>
    <row r="230" spans="2:25">
      <c r="B230" t="s">
        <v>2296</v>
      </c>
      <c r="C230" t="s" vm="39">
        <v>701</v>
      </c>
      <c r="D230" t="s">
        <v>331</v>
      </c>
      <c r="E230" t="s">
        <v>485</v>
      </c>
      <c r="F230" t="s">
        <v>461</v>
      </c>
      <c r="G230" t="s">
        <v>473</v>
      </c>
      <c r="H230">
        <v>2</v>
      </c>
      <c r="I230" t="s">
        <v>456</v>
      </c>
      <c r="J230" t="s">
        <v>463</v>
      </c>
      <c r="K230">
        <v>2</v>
      </c>
      <c r="L230" t="s">
        <v>486</v>
      </c>
      <c r="M230" t="s">
        <v>1864</v>
      </c>
      <c r="N230" t="s">
        <v>450</v>
      </c>
      <c r="O230" t="s">
        <v>453</v>
      </c>
      <c r="P230" t="s">
        <v>421</v>
      </c>
      <c r="Q230">
        <v>0</v>
      </c>
      <c r="R230" t="s">
        <v>123</v>
      </c>
      <c r="S230">
        <v>0</v>
      </c>
      <c r="T230" t="s">
        <v>481</v>
      </c>
      <c r="U230" t="s">
        <v>492</v>
      </c>
      <c r="V230" t="s">
        <v>1181</v>
      </c>
      <c r="W230">
        <v>0</v>
      </c>
      <c r="X230" t="s">
        <v>2129</v>
      </c>
      <c r="Y230" t="s">
        <v>2297</v>
      </c>
    </row>
    <row r="231" spans="2:25">
      <c r="B231" t="s">
        <v>2294</v>
      </c>
      <c r="C231" t="s" vm="39">
        <v>701</v>
      </c>
      <c r="D231" t="s">
        <v>100</v>
      </c>
      <c r="E231" t="s">
        <v>485</v>
      </c>
      <c r="F231" t="s">
        <v>461</v>
      </c>
      <c r="G231" t="s">
        <v>123</v>
      </c>
      <c r="H231" t="s">
        <v>123</v>
      </c>
      <c r="I231" t="s">
        <v>456</v>
      </c>
      <c r="J231" t="s">
        <v>463</v>
      </c>
      <c r="K231">
        <v>2</v>
      </c>
      <c r="L231" t="s">
        <v>486</v>
      </c>
      <c r="M231" t="s">
        <v>556</v>
      </c>
      <c r="N231" t="s">
        <v>450</v>
      </c>
      <c r="O231" t="s">
        <v>453</v>
      </c>
      <c r="P231" t="s">
        <v>421</v>
      </c>
      <c r="Q231">
        <v>0</v>
      </c>
      <c r="R231" t="s">
        <v>123</v>
      </c>
      <c r="S231">
        <v>0</v>
      </c>
      <c r="T231" t="s">
        <v>1516</v>
      </c>
      <c r="U231" t="s">
        <v>492</v>
      </c>
      <c r="V231" t="s">
        <v>1181</v>
      </c>
      <c r="W231">
        <v>0</v>
      </c>
      <c r="X231" t="s">
        <v>2129</v>
      </c>
      <c r="Y231" t="s">
        <v>2295</v>
      </c>
    </row>
    <row r="232" spans="2:25">
      <c r="B232" t="s">
        <v>2290</v>
      </c>
      <c r="C232" t="s" vm="39">
        <v>701</v>
      </c>
      <c r="D232" t="s">
        <v>331</v>
      </c>
      <c r="E232" t="s">
        <v>485</v>
      </c>
      <c r="F232" t="s">
        <v>461</v>
      </c>
      <c r="G232" t="s">
        <v>473</v>
      </c>
      <c r="H232">
        <v>2</v>
      </c>
      <c r="I232" t="s">
        <v>456</v>
      </c>
      <c r="J232" t="s">
        <v>463</v>
      </c>
      <c r="K232">
        <v>1</v>
      </c>
      <c r="L232" t="s">
        <v>486</v>
      </c>
      <c r="M232" t="s">
        <v>1864</v>
      </c>
      <c r="N232" t="s">
        <v>450</v>
      </c>
      <c r="O232" t="s">
        <v>453</v>
      </c>
      <c r="P232" t="s">
        <v>421</v>
      </c>
      <c r="Q232">
        <v>0</v>
      </c>
      <c r="R232" t="s">
        <v>123</v>
      </c>
      <c r="S232">
        <v>0</v>
      </c>
      <c r="T232" t="s">
        <v>481</v>
      </c>
      <c r="U232" t="s">
        <v>492</v>
      </c>
      <c r="V232" t="s">
        <v>1181</v>
      </c>
      <c r="W232" t="s">
        <v>2289</v>
      </c>
      <c r="X232" t="s">
        <v>401</v>
      </c>
      <c r="Y232" t="s">
        <v>2293</v>
      </c>
    </row>
    <row r="233" spans="2:25">
      <c r="B233" t="s">
        <v>2290</v>
      </c>
      <c r="C233" t="s" vm="39">
        <v>701</v>
      </c>
      <c r="D233" t="s">
        <v>331</v>
      </c>
      <c r="E233" t="s">
        <v>485</v>
      </c>
      <c r="F233" t="s">
        <v>461</v>
      </c>
      <c r="G233" t="s">
        <v>473</v>
      </c>
      <c r="H233">
        <v>2</v>
      </c>
      <c r="I233" t="s">
        <v>456</v>
      </c>
      <c r="J233" t="s">
        <v>463</v>
      </c>
      <c r="K233">
        <v>1</v>
      </c>
      <c r="L233" t="s">
        <v>486</v>
      </c>
      <c r="M233" t="s">
        <v>1864</v>
      </c>
      <c r="N233" t="s">
        <v>450</v>
      </c>
      <c r="O233" t="s">
        <v>453</v>
      </c>
      <c r="P233" t="s">
        <v>421</v>
      </c>
      <c r="Q233">
        <v>0</v>
      </c>
      <c r="R233" t="s">
        <v>123</v>
      </c>
      <c r="S233">
        <v>0</v>
      </c>
      <c r="T233" t="s">
        <v>481</v>
      </c>
      <c r="U233" t="s">
        <v>492</v>
      </c>
      <c r="V233" t="s">
        <v>1181</v>
      </c>
      <c r="W233" t="s">
        <v>478</v>
      </c>
      <c r="X233" t="s">
        <v>401</v>
      </c>
      <c r="Y233" t="s">
        <v>2292</v>
      </c>
    </row>
    <row r="234" spans="2:25">
      <c r="B234" t="s">
        <v>2290</v>
      </c>
      <c r="C234" t="s" vm="39">
        <v>701</v>
      </c>
      <c r="D234" t="s">
        <v>331</v>
      </c>
      <c r="E234" t="s">
        <v>485</v>
      </c>
      <c r="F234" t="s">
        <v>461</v>
      </c>
      <c r="G234" t="s">
        <v>473</v>
      </c>
      <c r="H234">
        <v>2</v>
      </c>
      <c r="I234" t="s">
        <v>456</v>
      </c>
      <c r="J234" t="s">
        <v>463</v>
      </c>
      <c r="K234">
        <v>1</v>
      </c>
      <c r="L234" t="s">
        <v>486</v>
      </c>
      <c r="M234" t="s">
        <v>1864</v>
      </c>
      <c r="N234" t="s">
        <v>450</v>
      </c>
      <c r="O234" t="s">
        <v>453</v>
      </c>
      <c r="P234" t="s">
        <v>421</v>
      </c>
      <c r="Q234">
        <v>0</v>
      </c>
      <c r="R234" t="s">
        <v>123</v>
      </c>
      <c r="S234">
        <v>0</v>
      </c>
      <c r="T234" t="s">
        <v>481</v>
      </c>
      <c r="U234" t="s">
        <v>492</v>
      </c>
      <c r="V234" t="s">
        <v>1181</v>
      </c>
      <c r="W234" t="s">
        <v>2289</v>
      </c>
      <c r="X234" t="s">
        <v>401</v>
      </c>
      <c r="Y234" t="s">
        <v>2291</v>
      </c>
    </row>
    <row r="235" spans="2:25">
      <c r="B235" t="s">
        <v>2267</v>
      </c>
      <c r="C235" t="s" vm="39">
        <v>701</v>
      </c>
      <c r="D235" t="s">
        <v>102</v>
      </c>
      <c r="E235" t="s">
        <v>485</v>
      </c>
      <c r="F235" t="s">
        <v>461</v>
      </c>
      <c r="G235" t="s">
        <v>473</v>
      </c>
      <c r="H235">
        <v>1</v>
      </c>
      <c r="I235" t="s">
        <v>456</v>
      </c>
      <c r="J235" t="s">
        <v>463</v>
      </c>
      <c r="K235">
        <v>1</v>
      </c>
      <c r="L235" t="s">
        <v>486</v>
      </c>
      <c r="M235" t="s">
        <v>556</v>
      </c>
      <c r="N235" t="s">
        <v>450</v>
      </c>
      <c r="O235" t="s">
        <v>453</v>
      </c>
      <c r="P235" t="s">
        <v>421</v>
      </c>
      <c r="Q235">
        <v>0</v>
      </c>
      <c r="R235" t="s">
        <v>159</v>
      </c>
      <c r="S235">
        <v>0</v>
      </c>
      <c r="T235" t="s">
        <v>1485</v>
      </c>
      <c r="U235" t="s">
        <v>492</v>
      </c>
      <c r="V235" t="s">
        <v>1181</v>
      </c>
      <c r="W235" t="s">
        <v>123</v>
      </c>
      <c r="X235" t="s">
        <v>401</v>
      </c>
      <c r="Y235" t="s">
        <v>2287</v>
      </c>
    </row>
    <row r="236" spans="2:25">
      <c r="B236" t="s">
        <v>2267</v>
      </c>
      <c r="C236" t="s" vm="39">
        <v>701</v>
      </c>
      <c r="D236" t="s">
        <v>100</v>
      </c>
      <c r="E236" t="s">
        <v>485</v>
      </c>
      <c r="F236" t="s">
        <v>217</v>
      </c>
      <c r="G236" t="s">
        <v>473</v>
      </c>
      <c r="H236">
        <v>1</v>
      </c>
      <c r="I236" t="s">
        <v>458</v>
      </c>
      <c r="J236" t="s">
        <v>462</v>
      </c>
      <c r="K236">
        <v>2</v>
      </c>
      <c r="L236" t="s">
        <v>486</v>
      </c>
      <c r="M236" t="s">
        <v>1864</v>
      </c>
      <c r="N236" t="s">
        <v>450</v>
      </c>
      <c r="O236" t="s">
        <v>453</v>
      </c>
      <c r="P236" t="s">
        <v>421</v>
      </c>
      <c r="Q236">
        <v>0</v>
      </c>
      <c r="R236" t="s">
        <v>159</v>
      </c>
      <c r="S236">
        <v>0</v>
      </c>
      <c r="T236" t="s">
        <v>1577</v>
      </c>
      <c r="U236" t="s">
        <v>492</v>
      </c>
      <c r="V236" t="s">
        <v>1181</v>
      </c>
      <c r="W236" t="s">
        <v>123</v>
      </c>
      <c r="X236" t="s">
        <v>2129</v>
      </c>
      <c r="Y236" t="s">
        <v>2283</v>
      </c>
    </row>
    <row r="237" spans="2:25">
      <c r="B237" t="s">
        <v>2267</v>
      </c>
      <c r="C237" t="s" vm="39">
        <v>701</v>
      </c>
      <c r="D237" t="s">
        <v>100</v>
      </c>
      <c r="E237" t="s">
        <v>485</v>
      </c>
      <c r="F237" t="s">
        <v>217</v>
      </c>
      <c r="G237" t="s">
        <v>473</v>
      </c>
      <c r="H237">
        <v>1</v>
      </c>
      <c r="I237" t="s">
        <v>458</v>
      </c>
      <c r="J237" t="s">
        <v>462</v>
      </c>
      <c r="K237">
        <v>2</v>
      </c>
      <c r="L237" t="s">
        <v>486</v>
      </c>
      <c r="M237" t="s">
        <v>1864</v>
      </c>
      <c r="N237" t="s">
        <v>450</v>
      </c>
      <c r="O237" t="s">
        <v>453</v>
      </c>
      <c r="P237" t="s">
        <v>421</v>
      </c>
      <c r="Q237">
        <v>0</v>
      </c>
      <c r="R237" t="s">
        <v>159</v>
      </c>
      <c r="S237">
        <v>0</v>
      </c>
      <c r="T237" t="s">
        <v>1577</v>
      </c>
      <c r="U237" t="s">
        <v>492</v>
      </c>
      <c r="V237" t="s">
        <v>1181</v>
      </c>
      <c r="W237" t="s">
        <v>123</v>
      </c>
      <c r="X237" t="s">
        <v>2129</v>
      </c>
      <c r="Y237" t="s">
        <v>2286</v>
      </c>
    </row>
    <row r="238" spans="2:25">
      <c r="B238" t="s">
        <v>2267</v>
      </c>
      <c r="C238" t="s" vm="39">
        <v>701</v>
      </c>
      <c r="D238" t="s">
        <v>100</v>
      </c>
      <c r="E238" t="s">
        <v>485</v>
      </c>
      <c r="F238" t="s">
        <v>217</v>
      </c>
      <c r="G238" t="s">
        <v>473</v>
      </c>
      <c r="H238">
        <v>1</v>
      </c>
      <c r="I238" t="s">
        <v>458</v>
      </c>
      <c r="J238" t="s">
        <v>462</v>
      </c>
      <c r="K238">
        <v>2</v>
      </c>
      <c r="L238" t="s">
        <v>486</v>
      </c>
      <c r="M238" t="s">
        <v>1864</v>
      </c>
      <c r="N238" t="s">
        <v>450</v>
      </c>
      <c r="O238" t="s">
        <v>453</v>
      </c>
      <c r="P238" t="s">
        <v>157</v>
      </c>
      <c r="Q238">
        <v>8</v>
      </c>
      <c r="R238" t="s">
        <v>418</v>
      </c>
      <c r="S238">
        <v>8</v>
      </c>
      <c r="T238" t="s">
        <v>1577</v>
      </c>
      <c r="U238" t="s">
        <v>492</v>
      </c>
      <c r="V238" t="s">
        <v>1181</v>
      </c>
      <c r="W238" t="s">
        <v>123</v>
      </c>
      <c r="X238" t="s">
        <v>2129</v>
      </c>
      <c r="Y238" t="s">
        <v>2285</v>
      </c>
    </row>
    <row r="239" spans="2:25">
      <c r="B239" t="s">
        <v>2267</v>
      </c>
      <c r="C239" t="s" vm="39">
        <v>701</v>
      </c>
      <c r="D239" t="s">
        <v>100</v>
      </c>
      <c r="E239" t="s">
        <v>485</v>
      </c>
      <c r="F239" t="s">
        <v>217</v>
      </c>
      <c r="G239" t="s">
        <v>473</v>
      </c>
      <c r="H239">
        <v>1</v>
      </c>
      <c r="I239" t="s">
        <v>458</v>
      </c>
      <c r="J239" t="s">
        <v>462</v>
      </c>
      <c r="K239">
        <v>2</v>
      </c>
      <c r="L239" t="s">
        <v>486</v>
      </c>
      <c r="M239" t="s">
        <v>1864</v>
      </c>
      <c r="N239" t="s">
        <v>450</v>
      </c>
      <c r="O239" t="s">
        <v>453</v>
      </c>
      <c r="P239" t="s">
        <v>157</v>
      </c>
      <c r="Q239">
        <v>8</v>
      </c>
      <c r="R239" t="s">
        <v>418</v>
      </c>
      <c r="S239">
        <v>8</v>
      </c>
      <c r="T239" t="s">
        <v>1577</v>
      </c>
      <c r="U239" t="s">
        <v>492</v>
      </c>
      <c r="V239" t="s">
        <v>1181</v>
      </c>
      <c r="W239" t="s">
        <v>123</v>
      </c>
      <c r="X239" t="s">
        <v>2129</v>
      </c>
      <c r="Y239" t="s">
        <v>2284</v>
      </c>
    </row>
    <row r="240" spans="2:25">
      <c r="B240" t="s">
        <v>2267</v>
      </c>
      <c r="C240" t="s" vm="39">
        <v>701</v>
      </c>
      <c r="D240" t="s">
        <v>100</v>
      </c>
      <c r="E240" t="s">
        <v>485</v>
      </c>
      <c r="F240" t="s">
        <v>217</v>
      </c>
      <c r="G240" t="s">
        <v>473</v>
      </c>
      <c r="H240">
        <v>1</v>
      </c>
      <c r="I240" t="s">
        <v>458</v>
      </c>
      <c r="J240" t="s">
        <v>462</v>
      </c>
      <c r="K240">
        <v>2</v>
      </c>
      <c r="L240" t="s">
        <v>486</v>
      </c>
      <c r="M240" t="s">
        <v>1864</v>
      </c>
      <c r="N240" t="s">
        <v>450</v>
      </c>
      <c r="O240" t="s">
        <v>453</v>
      </c>
      <c r="P240" t="s">
        <v>421</v>
      </c>
      <c r="Q240">
        <v>0</v>
      </c>
      <c r="R240" t="s">
        <v>159</v>
      </c>
      <c r="S240">
        <v>0</v>
      </c>
      <c r="T240" t="s">
        <v>1577</v>
      </c>
      <c r="U240" t="s">
        <v>492</v>
      </c>
      <c r="V240" t="s">
        <v>1181</v>
      </c>
      <c r="W240" t="s">
        <v>123</v>
      </c>
      <c r="X240" t="s">
        <v>2129</v>
      </c>
      <c r="Y240" t="s">
        <v>2283</v>
      </c>
    </row>
    <row r="241" spans="2:25">
      <c r="B241" t="s">
        <v>2267</v>
      </c>
      <c r="C241" t="s" vm="39">
        <v>701</v>
      </c>
      <c r="D241" t="s">
        <v>1019</v>
      </c>
      <c r="E241" t="s">
        <v>485</v>
      </c>
      <c r="F241" t="s">
        <v>217</v>
      </c>
      <c r="G241" t="s">
        <v>473</v>
      </c>
      <c r="H241">
        <v>2</v>
      </c>
      <c r="I241" t="s">
        <v>458</v>
      </c>
      <c r="J241" t="s">
        <v>462</v>
      </c>
      <c r="K241">
        <v>2</v>
      </c>
      <c r="L241" t="s">
        <v>486</v>
      </c>
      <c r="M241" t="s">
        <v>1864</v>
      </c>
      <c r="N241" t="s">
        <v>450</v>
      </c>
      <c r="O241" t="s">
        <v>453</v>
      </c>
      <c r="P241" t="s">
        <v>421</v>
      </c>
      <c r="Q241">
        <v>0</v>
      </c>
      <c r="R241" t="s">
        <v>159</v>
      </c>
      <c r="S241">
        <v>0</v>
      </c>
      <c r="T241" t="s">
        <v>1577</v>
      </c>
      <c r="U241" t="s">
        <v>492</v>
      </c>
      <c r="V241" t="s">
        <v>1181</v>
      </c>
      <c r="W241" t="s">
        <v>123</v>
      </c>
      <c r="X241" t="s">
        <v>2129</v>
      </c>
      <c r="Y241" t="s">
        <v>2282</v>
      </c>
    </row>
    <row r="242" spans="2:25">
      <c r="B242" t="s">
        <v>2267</v>
      </c>
      <c r="C242" t="s" vm="39">
        <v>701</v>
      </c>
      <c r="D242" t="s">
        <v>1019</v>
      </c>
      <c r="E242" t="s">
        <v>485</v>
      </c>
      <c r="F242" t="s">
        <v>217</v>
      </c>
      <c r="G242" t="s">
        <v>473</v>
      </c>
      <c r="H242">
        <v>2</v>
      </c>
      <c r="I242" t="s">
        <v>458</v>
      </c>
      <c r="J242" t="s">
        <v>462</v>
      </c>
      <c r="K242">
        <v>2</v>
      </c>
      <c r="L242" t="s">
        <v>486</v>
      </c>
      <c r="M242" t="s">
        <v>1864</v>
      </c>
      <c r="N242" t="s">
        <v>450</v>
      </c>
      <c r="O242" t="s">
        <v>453</v>
      </c>
      <c r="P242" t="s">
        <v>421</v>
      </c>
      <c r="Q242">
        <v>0</v>
      </c>
      <c r="R242" t="s">
        <v>159</v>
      </c>
      <c r="S242">
        <v>0</v>
      </c>
      <c r="T242" t="s">
        <v>1577</v>
      </c>
      <c r="U242" t="s">
        <v>492</v>
      </c>
      <c r="V242" t="s">
        <v>1181</v>
      </c>
      <c r="W242" t="s">
        <v>123</v>
      </c>
      <c r="X242" t="s">
        <v>2129</v>
      </c>
      <c r="Y242" t="s">
        <v>2281</v>
      </c>
    </row>
    <row r="243" spans="2:25">
      <c r="B243" t="s">
        <v>2267</v>
      </c>
      <c r="C243" t="s" vm="39">
        <v>701</v>
      </c>
      <c r="D243" t="s">
        <v>1019</v>
      </c>
      <c r="E243" t="s">
        <v>485</v>
      </c>
      <c r="F243" t="s">
        <v>217</v>
      </c>
      <c r="G243" t="s">
        <v>473</v>
      </c>
      <c r="H243">
        <v>2</v>
      </c>
      <c r="I243" t="s">
        <v>458</v>
      </c>
      <c r="J243" t="s">
        <v>462</v>
      </c>
      <c r="K243">
        <v>2</v>
      </c>
      <c r="L243" t="s">
        <v>486</v>
      </c>
      <c r="M243" t="s">
        <v>1864</v>
      </c>
      <c r="N243" t="s">
        <v>450</v>
      </c>
      <c r="O243" t="s">
        <v>453</v>
      </c>
      <c r="P243" t="s">
        <v>157</v>
      </c>
      <c r="Q243">
        <v>12</v>
      </c>
      <c r="R243" t="s">
        <v>418</v>
      </c>
      <c r="S243">
        <v>12</v>
      </c>
      <c r="T243" t="s">
        <v>1577</v>
      </c>
      <c r="U243" t="s">
        <v>492</v>
      </c>
      <c r="V243" t="s">
        <v>1181</v>
      </c>
      <c r="W243" t="s">
        <v>123</v>
      </c>
      <c r="X243" t="s">
        <v>2129</v>
      </c>
      <c r="Y243" t="s">
        <v>2280</v>
      </c>
    </row>
    <row r="244" spans="2:25">
      <c r="B244" t="s">
        <v>2267</v>
      </c>
      <c r="C244" t="s" vm="39">
        <v>701</v>
      </c>
      <c r="D244" t="s">
        <v>1019</v>
      </c>
      <c r="E244" t="s">
        <v>485</v>
      </c>
      <c r="F244" t="s">
        <v>217</v>
      </c>
      <c r="G244" t="s">
        <v>473</v>
      </c>
      <c r="H244">
        <v>2</v>
      </c>
      <c r="I244" t="s">
        <v>458</v>
      </c>
      <c r="J244" t="s">
        <v>462</v>
      </c>
      <c r="K244">
        <v>2</v>
      </c>
      <c r="L244" t="s">
        <v>486</v>
      </c>
      <c r="M244" t="s">
        <v>1864</v>
      </c>
      <c r="N244" t="s">
        <v>450</v>
      </c>
      <c r="O244" t="s">
        <v>453</v>
      </c>
      <c r="P244" t="s">
        <v>157</v>
      </c>
      <c r="Q244">
        <v>12</v>
      </c>
      <c r="R244" t="s">
        <v>418</v>
      </c>
      <c r="S244">
        <v>12</v>
      </c>
      <c r="T244" t="s">
        <v>1577</v>
      </c>
      <c r="U244" t="s">
        <v>492</v>
      </c>
      <c r="V244" t="s">
        <v>1181</v>
      </c>
      <c r="W244" t="s">
        <v>123</v>
      </c>
      <c r="X244" t="s">
        <v>2129</v>
      </c>
      <c r="Y244" t="s">
        <v>2279</v>
      </c>
    </row>
    <row r="245" spans="2:25">
      <c r="B245" t="s">
        <v>2267</v>
      </c>
      <c r="C245" t="s" vm="39">
        <v>701</v>
      </c>
      <c r="D245" t="s">
        <v>100</v>
      </c>
      <c r="E245" t="s">
        <v>485</v>
      </c>
      <c r="F245" t="s">
        <v>217</v>
      </c>
      <c r="G245" t="s">
        <v>473</v>
      </c>
      <c r="H245">
        <v>1</v>
      </c>
      <c r="I245" t="s">
        <v>458</v>
      </c>
      <c r="J245" t="s">
        <v>462</v>
      </c>
      <c r="K245">
        <v>2</v>
      </c>
      <c r="L245" t="s">
        <v>486</v>
      </c>
      <c r="M245" t="s">
        <v>1864</v>
      </c>
      <c r="N245" t="s">
        <v>450</v>
      </c>
      <c r="O245" t="s">
        <v>453</v>
      </c>
      <c r="P245" t="s">
        <v>157</v>
      </c>
      <c r="Q245">
        <v>8</v>
      </c>
      <c r="R245" t="s">
        <v>418</v>
      </c>
      <c r="S245">
        <v>8</v>
      </c>
      <c r="T245" t="s">
        <v>1577</v>
      </c>
      <c r="U245" t="s">
        <v>492</v>
      </c>
      <c r="V245" t="s">
        <v>1181</v>
      </c>
      <c r="W245" t="s">
        <v>123</v>
      </c>
      <c r="X245" t="s">
        <v>2129</v>
      </c>
      <c r="Y245" t="s">
        <v>2276</v>
      </c>
    </row>
    <row r="246" spans="2:25">
      <c r="B246" t="s">
        <v>2267</v>
      </c>
      <c r="C246" t="s" vm="39">
        <v>701</v>
      </c>
      <c r="D246" t="s">
        <v>100</v>
      </c>
      <c r="E246" t="s">
        <v>485</v>
      </c>
      <c r="F246" t="s">
        <v>217</v>
      </c>
      <c r="G246" t="s">
        <v>473</v>
      </c>
      <c r="H246">
        <v>1</v>
      </c>
      <c r="I246" t="s">
        <v>458</v>
      </c>
      <c r="J246" t="s">
        <v>462</v>
      </c>
      <c r="K246">
        <v>2</v>
      </c>
      <c r="L246" t="s">
        <v>486</v>
      </c>
      <c r="M246" t="s">
        <v>1864</v>
      </c>
      <c r="N246" t="s">
        <v>450</v>
      </c>
      <c r="O246" t="s">
        <v>453</v>
      </c>
      <c r="P246" t="s">
        <v>157</v>
      </c>
      <c r="Q246">
        <v>8</v>
      </c>
      <c r="R246" t="s">
        <v>418</v>
      </c>
      <c r="S246">
        <v>8</v>
      </c>
      <c r="T246" t="s">
        <v>1577</v>
      </c>
      <c r="U246" t="s">
        <v>492</v>
      </c>
      <c r="V246" t="s">
        <v>1181</v>
      </c>
      <c r="W246" t="s">
        <v>123</v>
      </c>
      <c r="X246" t="s">
        <v>2129</v>
      </c>
      <c r="Y246" t="s">
        <v>2276</v>
      </c>
    </row>
    <row r="247" spans="2:25">
      <c r="B247" t="s">
        <v>2267</v>
      </c>
      <c r="C247" t="s" vm="39">
        <v>701</v>
      </c>
      <c r="D247" t="s">
        <v>100</v>
      </c>
      <c r="E247" t="s">
        <v>485</v>
      </c>
      <c r="F247" t="s">
        <v>461</v>
      </c>
      <c r="G247" t="s">
        <v>473</v>
      </c>
      <c r="H247">
        <v>1</v>
      </c>
      <c r="I247" t="s">
        <v>458</v>
      </c>
      <c r="J247" t="s">
        <v>462</v>
      </c>
      <c r="K247">
        <v>2</v>
      </c>
      <c r="L247" t="s">
        <v>486</v>
      </c>
      <c r="M247" t="s">
        <v>1022</v>
      </c>
      <c r="N247" t="s">
        <v>450</v>
      </c>
      <c r="O247" t="s">
        <v>453</v>
      </c>
      <c r="P247" t="s">
        <v>157</v>
      </c>
      <c r="Q247">
        <v>4</v>
      </c>
      <c r="R247" t="s">
        <v>1494</v>
      </c>
      <c r="S247">
        <v>8</v>
      </c>
      <c r="T247" t="s">
        <v>1485</v>
      </c>
      <c r="U247" t="s">
        <v>492</v>
      </c>
      <c r="V247" t="s">
        <v>1181</v>
      </c>
      <c r="W247" t="s">
        <v>123</v>
      </c>
      <c r="X247" t="s">
        <v>123</v>
      </c>
      <c r="Y247" t="s">
        <v>2272</v>
      </c>
    </row>
    <row r="248" spans="2:25">
      <c r="B248" t="s">
        <v>2267</v>
      </c>
      <c r="C248" t="s" vm="39">
        <v>701</v>
      </c>
      <c r="D248" t="s">
        <v>100</v>
      </c>
      <c r="E248" t="s">
        <v>485</v>
      </c>
      <c r="F248" t="s">
        <v>461</v>
      </c>
      <c r="G248" t="s">
        <v>473</v>
      </c>
      <c r="H248">
        <v>1</v>
      </c>
      <c r="I248" t="s">
        <v>458</v>
      </c>
      <c r="J248" t="s">
        <v>462</v>
      </c>
      <c r="K248">
        <v>2</v>
      </c>
      <c r="L248" t="s">
        <v>486</v>
      </c>
      <c r="M248" t="s">
        <v>1022</v>
      </c>
      <c r="N248" t="s">
        <v>450</v>
      </c>
      <c r="O248" t="s">
        <v>453</v>
      </c>
      <c r="P248" t="s">
        <v>157</v>
      </c>
      <c r="Q248">
        <v>4</v>
      </c>
      <c r="R248" t="s">
        <v>1494</v>
      </c>
      <c r="S248">
        <v>8</v>
      </c>
      <c r="T248" t="s">
        <v>1485</v>
      </c>
      <c r="U248" t="s">
        <v>492</v>
      </c>
      <c r="V248" t="s">
        <v>1181</v>
      </c>
      <c r="W248" t="s">
        <v>123</v>
      </c>
      <c r="X248" t="s">
        <v>123</v>
      </c>
      <c r="Y248" t="s">
        <v>2272</v>
      </c>
    </row>
    <row r="249" spans="2:25">
      <c r="B249" t="s">
        <v>2267</v>
      </c>
      <c r="C249" t="s" vm="39">
        <v>701</v>
      </c>
      <c r="D249" t="s">
        <v>100</v>
      </c>
      <c r="E249" t="s">
        <v>485</v>
      </c>
      <c r="F249" t="s">
        <v>461</v>
      </c>
      <c r="G249" t="s">
        <v>123</v>
      </c>
      <c r="H249" t="s">
        <v>123</v>
      </c>
      <c r="I249" t="s">
        <v>456</v>
      </c>
      <c r="J249" t="s">
        <v>463</v>
      </c>
      <c r="K249">
        <v>2</v>
      </c>
      <c r="L249" t="s">
        <v>486</v>
      </c>
      <c r="M249" t="s">
        <v>1022</v>
      </c>
      <c r="N249" t="s">
        <v>450</v>
      </c>
      <c r="O249" t="s">
        <v>453</v>
      </c>
      <c r="P249" t="s">
        <v>157</v>
      </c>
      <c r="Q249">
        <v>4</v>
      </c>
      <c r="R249" t="s">
        <v>1494</v>
      </c>
      <c r="S249">
        <v>8</v>
      </c>
      <c r="T249" t="s">
        <v>1485</v>
      </c>
      <c r="U249" t="s">
        <v>492</v>
      </c>
      <c r="V249" t="s">
        <v>1181</v>
      </c>
      <c r="W249" t="s">
        <v>123</v>
      </c>
      <c r="X249" t="s">
        <v>123</v>
      </c>
      <c r="Y249" t="s">
        <v>2270</v>
      </c>
    </row>
    <row r="250" spans="2:25">
      <c r="B250" t="s">
        <v>2267</v>
      </c>
      <c r="C250" t="s" vm="39">
        <v>701</v>
      </c>
      <c r="D250" t="s">
        <v>100</v>
      </c>
      <c r="E250" t="s">
        <v>485</v>
      </c>
      <c r="F250" t="s">
        <v>461</v>
      </c>
      <c r="G250" t="s">
        <v>123</v>
      </c>
      <c r="H250" t="s">
        <v>123</v>
      </c>
      <c r="I250" t="s">
        <v>458</v>
      </c>
      <c r="J250" t="s">
        <v>463</v>
      </c>
      <c r="K250">
        <v>2</v>
      </c>
      <c r="L250" t="s">
        <v>486</v>
      </c>
      <c r="M250" t="s">
        <v>1022</v>
      </c>
      <c r="N250" t="s">
        <v>450</v>
      </c>
      <c r="O250" t="s">
        <v>453</v>
      </c>
      <c r="P250" t="s">
        <v>157</v>
      </c>
      <c r="Q250">
        <v>4</v>
      </c>
      <c r="R250" t="s">
        <v>1494</v>
      </c>
      <c r="S250">
        <v>8</v>
      </c>
      <c r="T250" t="s">
        <v>1485</v>
      </c>
      <c r="U250" t="s">
        <v>492</v>
      </c>
      <c r="V250" t="s">
        <v>1181</v>
      </c>
      <c r="W250" t="s">
        <v>123</v>
      </c>
      <c r="X250" t="s">
        <v>123</v>
      </c>
      <c r="Y250" t="s">
        <v>2271</v>
      </c>
    </row>
    <row r="251" spans="2:25">
      <c r="B251" t="s">
        <v>2267</v>
      </c>
      <c r="C251" t="s" vm="39">
        <v>701</v>
      </c>
      <c r="D251" t="s">
        <v>100</v>
      </c>
      <c r="E251" t="s">
        <v>485</v>
      </c>
      <c r="F251" t="s">
        <v>461</v>
      </c>
      <c r="G251" t="s">
        <v>123</v>
      </c>
      <c r="H251" t="s">
        <v>123</v>
      </c>
      <c r="I251" t="s">
        <v>456</v>
      </c>
      <c r="J251" t="s">
        <v>463</v>
      </c>
      <c r="K251">
        <v>2</v>
      </c>
      <c r="L251" t="s">
        <v>486</v>
      </c>
      <c r="M251" t="s">
        <v>1022</v>
      </c>
      <c r="N251" t="s">
        <v>450</v>
      </c>
      <c r="O251" t="s">
        <v>453</v>
      </c>
      <c r="P251" t="s">
        <v>157</v>
      </c>
      <c r="Q251">
        <v>4</v>
      </c>
      <c r="R251" t="s">
        <v>1494</v>
      </c>
      <c r="S251">
        <v>8</v>
      </c>
      <c r="T251" t="s">
        <v>1485</v>
      </c>
      <c r="U251" t="s">
        <v>492</v>
      </c>
      <c r="V251" t="s">
        <v>1181</v>
      </c>
      <c r="W251" t="s">
        <v>123</v>
      </c>
      <c r="X251" t="s">
        <v>123</v>
      </c>
      <c r="Y251" t="s">
        <v>2270</v>
      </c>
    </row>
    <row r="252" spans="2:25">
      <c r="B252" t="s">
        <v>2267</v>
      </c>
      <c r="C252" t="s" vm="39">
        <v>701</v>
      </c>
      <c r="D252" t="s">
        <v>100</v>
      </c>
      <c r="E252" t="s">
        <v>485</v>
      </c>
      <c r="F252" t="s">
        <v>461</v>
      </c>
      <c r="G252" t="s">
        <v>123</v>
      </c>
      <c r="H252" t="s">
        <v>123</v>
      </c>
      <c r="I252" t="s">
        <v>456</v>
      </c>
      <c r="J252" t="s">
        <v>463</v>
      </c>
      <c r="K252">
        <v>2</v>
      </c>
      <c r="L252" t="s">
        <v>486</v>
      </c>
      <c r="M252" t="s">
        <v>1022</v>
      </c>
      <c r="N252" t="s">
        <v>450</v>
      </c>
      <c r="O252" t="s">
        <v>453</v>
      </c>
      <c r="P252" t="s">
        <v>157</v>
      </c>
      <c r="Q252">
        <v>4</v>
      </c>
      <c r="R252" t="s">
        <v>1494</v>
      </c>
      <c r="S252">
        <v>8</v>
      </c>
      <c r="T252" t="s">
        <v>1485</v>
      </c>
      <c r="U252" t="s">
        <v>492</v>
      </c>
      <c r="V252" t="s">
        <v>1181</v>
      </c>
      <c r="W252" t="s">
        <v>123</v>
      </c>
      <c r="X252" t="s">
        <v>123</v>
      </c>
      <c r="Y252" t="s">
        <v>2270</v>
      </c>
    </row>
    <row r="253" spans="2:25">
      <c r="B253" t="s">
        <v>2267</v>
      </c>
      <c r="C253" t="s" vm="39">
        <v>701</v>
      </c>
      <c r="D253" t="s">
        <v>100</v>
      </c>
      <c r="E253" t="s">
        <v>485</v>
      </c>
      <c r="F253" t="s">
        <v>461</v>
      </c>
      <c r="G253" t="s">
        <v>123</v>
      </c>
      <c r="H253" t="s">
        <v>123</v>
      </c>
      <c r="I253" t="s">
        <v>459</v>
      </c>
      <c r="J253" t="s">
        <v>463</v>
      </c>
      <c r="K253">
        <v>2</v>
      </c>
      <c r="L253" t="s">
        <v>486</v>
      </c>
      <c r="M253" t="s">
        <v>1022</v>
      </c>
      <c r="N253" t="s">
        <v>450</v>
      </c>
      <c r="O253" t="s">
        <v>453</v>
      </c>
      <c r="P253" t="s">
        <v>157</v>
      </c>
      <c r="Q253">
        <v>4</v>
      </c>
      <c r="R253" t="s">
        <v>1494</v>
      </c>
      <c r="S253">
        <v>8</v>
      </c>
      <c r="T253" t="s">
        <v>1485</v>
      </c>
      <c r="U253" t="s">
        <v>492</v>
      </c>
      <c r="V253" t="s">
        <v>1181</v>
      </c>
      <c r="W253" t="s">
        <v>123</v>
      </c>
      <c r="X253" t="s">
        <v>123</v>
      </c>
      <c r="Y253" t="s">
        <v>2269</v>
      </c>
    </row>
    <row r="254" spans="2:25">
      <c r="B254" t="s">
        <v>2267</v>
      </c>
      <c r="C254" t="s" vm="39">
        <v>701</v>
      </c>
      <c r="D254" t="s">
        <v>100</v>
      </c>
      <c r="E254" t="s">
        <v>485</v>
      </c>
      <c r="F254" t="s">
        <v>461</v>
      </c>
      <c r="G254" t="s">
        <v>123</v>
      </c>
      <c r="H254" t="s">
        <v>123</v>
      </c>
      <c r="I254" t="s">
        <v>459</v>
      </c>
      <c r="J254" t="s">
        <v>463</v>
      </c>
      <c r="K254">
        <v>2</v>
      </c>
      <c r="L254" t="s">
        <v>486</v>
      </c>
      <c r="M254" t="s">
        <v>1022</v>
      </c>
      <c r="N254" t="s">
        <v>450</v>
      </c>
      <c r="O254" t="s">
        <v>453</v>
      </c>
      <c r="P254" t="s">
        <v>157</v>
      </c>
      <c r="Q254">
        <v>4</v>
      </c>
      <c r="R254" t="s">
        <v>1494</v>
      </c>
      <c r="S254">
        <v>8</v>
      </c>
      <c r="T254" t="s">
        <v>1485</v>
      </c>
      <c r="U254" t="s">
        <v>492</v>
      </c>
      <c r="V254" t="s">
        <v>1181</v>
      </c>
      <c r="W254" t="s">
        <v>123</v>
      </c>
      <c r="X254" t="s">
        <v>123</v>
      </c>
      <c r="Y254" t="s">
        <v>2268</v>
      </c>
    </row>
    <row r="255" spans="2:25">
      <c r="B255" t="s">
        <v>2262</v>
      </c>
      <c r="C255" t="s" vm="39">
        <v>701</v>
      </c>
      <c r="D255" t="s">
        <v>100</v>
      </c>
      <c r="E255" t="s">
        <v>485</v>
      </c>
      <c r="F255" t="s">
        <v>461</v>
      </c>
      <c r="G255" t="s">
        <v>473</v>
      </c>
      <c r="H255">
        <v>1</v>
      </c>
      <c r="I255" t="s">
        <v>458</v>
      </c>
      <c r="J255" t="s">
        <v>463</v>
      </c>
      <c r="K255">
        <v>2</v>
      </c>
      <c r="L255" t="s">
        <v>486</v>
      </c>
      <c r="M255" t="s">
        <v>556</v>
      </c>
      <c r="N255" t="s">
        <v>450</v>
      </c>
      <c r="O255" t="s">
        <v>453</v>
      </c>
      <c r="P255" t="s">
        <v>421</v>
      </c>
      <c r="Q255">
        <v>0</v>
      </c>
      <c r="R255" t="s">
        <v>123</v>
      </c>
      <c r="S255">
        <v>0</v>
      </c>
      <c r="T255" t="s">
        <v>1516</v>
      </c>
      <c r="U255" t="s">
        <v>492</v>
      </c>
      <c r="V255" t="s">
        <v>1181</v>
      </c>
      <c r="W255" t="s">
        <v>123</v>
      </c>
      <c r="X255" t="s">
        <v>2129</v>
      </c>
      <c r="Y255" t="s">
        <v>2264</v>
      </c>
    </row>
    <row r="256" spans="2:25">
      <c r="B256" t="s">
        <v>2262</v>
      </c>
      <c r="C256" t="s" vm="39">
        <v>701</v>
      </c>
      <c r="D256" t="s">
        <v>100</v>
      </c>
      <c r="E256" t="s">
        <v>485</v>
      </c>
      <c r="F256" t="s">
        <v>461</v>
      </c>
      <c r="G256" t="s">
        <v>473</v>
      </c>
      <c r="H256">
        <v>1</v>
      </c>
      <c r="I256" t="s">
        <v>456</v>
      </c>
      <c r="J256" t="s">
        <v>463</v>
      </c>
      <c r="K256">
        <v>2</v>
      </c>
      <c r="L256" t="s">
        <v>486</v>
      </c>
      <c r="M256" t="s">
        <v>556</v>
      </c>
      <c r="N256" t="s">
        <v>450</v>
      </c>
      <c r="O256" t="s">
        <v>453</v>
      </c>
      <c r="P256" t="s">
        <v>421</v>
      </c>
      <c r="Q256">
        <v>0</v>
      </c>
      <c r="R256" t="s">
        <v>123</v>
      </c>
      <c r="S256">
        <v>0</v>
      </c>
      <c r="T256" t="s">
        <v>1516</v>
      </c>
      <c r="U256" t="s">
        <v>492</v>
      </c>
      <c r="V256" t="s">
        <v>1181</v>
      </c>
      <c r="W256" t="s">
        <v>123</v>
      </c>
      <c r="X256" t="s">
        <v>2129</v>
      </c>
      <c r="Y256" t="s">
        <v>2263</v>
      </c>
    </row>
    <row r="257" spans="2:25">
      <c r="B257" t="s">
        <v>2259</v>
      </c>
      <c r="C257" t="s" vm="39">
        <v>701</v>
      </c>
      <c r="D257" t="s">
        <v>102</v>
      </c>
      <c r="E257" t="s">
        <v>485</v>
      </c>
      <c r="F257" t="s">
        <v>461</v>
      </c>
      <c r="G257" t="s">
        <v>473</v>
      </c>
      <c r="H257">
        <v>1</v>
      </c>
      <c r="I257" t="s">
        <v>456</v>
      </c>
      <c r="J257" t="s">
        <v>463</v>
      </c>
      <c r="K257">
        <v>2</v>
      </c>
      <c r="L257" t="s">
        <v>486</v>
      </c>
      <c r="M257" t="s">
        <v>556</v>
      </c>
      <c r="N257" t="s">
        <v>450</v>
      </c>
      <c r="O257" t="s">
        <v>453</v>
      </c>
      <c r="P257" t="s">
        <v>421</v>
      </c>
      <c r="Q257">
        <v>0</v>
      </c>
      <c r="R257" t="s">
        <v>123</v>
      </c>
      <c r="S257">
        <v>0</v>
      </c>
      <c r="T257" t="s">
        <v>1516</v>
      </c>
      <c r="U257" t="s">
        <v>492</v>
      </c>
      <c r="V257" t="s">
        <v>1181</v>
      </c>
      <c r="W257" t="s">
        <v>477</v>
      </c>
      <c r="X257" t="s">
        <v>2129</v>
      </c>
      <c r="Y257" t="s">
        <v>2261</v>
      </c>
    </row>
    <row r="258" spans="2:25">
      <c r="B258" t="s">
        <v>2259</v>
      </c>
      <c r="C258" t="s" vm="39">
        <v>701</v>
      </c>
      <c r="D258" t="s">
        <v>102</v>
      </c>
      <c r="E258" t="s">
        <v>485</v>
      </c>
      <c r="F258" t="s">
        <v>461</v>
      </c>
      <c r="G258" t="s">
        <v>473</v>
      </c>
      <c r="H258">
        <v>1</v>
      </c>
      <c r="I258" t="s">
        <v>456</v>
      </c>
      <c r="J258" t="s">
        <v>463</v>
      </c>
      <c r="K258">
        <v>2</v>
      </c>
      <c r="L258" t="s">
        <v>486</v>
      </c>
      <c r="M258" t="s">
        <v>556</v>
      </c>
      <c r="N258" t="s">
        <v>450</v>
      </c>
      <c r="O258" t="s">
        <v>453</v>
      </c>
      <c r="P258" t="s">
        <v>421</v>
      </c>
      <c r="Q258">
        <v>0</v>
      </c>
      <c r="R258" t="s">
        <v>123</v>
      </c>
      <c r="S258">
        <v>0</v>
      </c>
      <c r="T258" t="s">
        <v>1516</v>
      </c>
      <c r="U258" t="s">
        <v>492</v>
      </c>
      <c r="V258" t="s">
        <v>1181</v>
      </c>
      <c r="W258" t="s">
        <v>399</v>
      </c>
      <c r="X258" t="s">
        <v>2129</v>
      </c>
      <c r="Y258" t="s">
        <v>2260</v>
      </c>
    </row>
    <row r="259" spans="2:25">
      <c r="B259" t="s">
        <v>2247</v>
      </c>
      <c r="C259" t="s" vm="39">
        <v>701</v>
      </c>
      <c r="D259" t="s">
        <v>100</v>
      </c>
      <c r="E259" t="s">
        <v>485</v>
      </c>
      <c r="F259" t="s">
        <v>461</v>
      </c>
      <c r="G259" t="s">
        <v>473</v>
      </c>
      <c r="H259">
        <v>1</v>
      </c>
      <c r="I259" t="s">
        <v>458</v>
      </c>
      <c r="J259" t="s">
        <v>462</v>
      </c>
      <c r="K259">
        <v>1</v>
      </c>
      <c r="L259" t="s">
        <v>486</v>
      </c>
      <c r="M259" t="s">
        <v>556</v>
      </c>
      <c r="N259" t="s">
        <v>450</v>
      </c>
      <c r="O259" t="s">
        <v>453</v>
      </c>
      <c r="P259" t="s">
        <v>421</v>
      </c>
      <c r="Q259">
        <v>0</v>
      </c>
      <c r="R259" t="s">
        <v>416</v>
      </c>
      <c r="S259">
        <v>8</v>
      </c>
      <c r="T259" t="s">
        <v>1516</v>
      </c>
      <c r="U259" t="s">
        <v>492</v>
      </c>
      <c r="V259" t="s">
        <v>1181</v>
      </c>
      <c r="W259" t="s">
        <v>399</v>
      </c>
      <c r="X259" t="s">
        <v>2129</v>
      </c>
      <c r="Y259" t="s">
        <v>2251</v>
      </c>
    </row>
    <row r="260" spans="2:25">
      <c r="B260" t="s">
        <v>2247</v>
      </c>
      <c r="C260" t="s" vm="39">
        <v>701</v>
      </c>
      <c r="D260" t="s">
        <v>100</v>
      </c>
      <c r="E260" t="s">
        <v>485</v>
      </c>
      <c r="F260" t="s">
        <v>461</v>
      </c>
      <c r="G260" t="s">
        <v>473</v>
      </c>
      <c r="H260">
        <v>1</v>
      </c>
      <c r="I260" t="s">
        <v>458</v>
      </c>
      <c r="J260" t="s">
        <v>462</v>
      </c>
      <c r="K260">
        <v>1</v>
      </c>
      <c r="L260" t="s">
        <v>486</v>
      </c>
      <c r="M260" t="s">
        <v>556</v>
      </c>
      <c r="N260" t="s">
        <v>450</v>
      </c>
      <c r="O260" t="s">
        <v>453</v>
      </c>
      <c r="P260" t="s">
        <v>421</v>
      </c>
      <c r="Q260">
        <v>0</v>
      </c>
      <c r="R260" t="s">
        <v>416</v>
      </c>
      <c r="S260">
        <v>8</v>
      </c>
      <c r="T260" t="s">
        <v>1516</v>
      </c>
      <c r="U260" t="s">
        <v>492</v>
      </c>
      <c r="V260" t="s">
        <v>1181</v>
      </c>
      <c r="W260" t="s">
        <v>399</v>
      </c>
      <c r="X260" t="s">
        <v>2129</v>
      </c>
      <c r="Y260" t="s">
        <v>2250</v>
      </c>
    </row>
    <row r="261" spans="2:25">
      <c r="B261" t="s">
        <v>2247</v>
      </c>
      <c r="C261" t="s" vm="39">
        <v>701</v>
      </c>
      <c r="D261" t="s">
        <v>100</v>
      </c>
      <c r="E261" t="s">
        <v>485</v>
      </c>
      <c r="F261" t="s">
        <v>461</v>
      </c>
      <c r="G261" t="s">
        <v>123</v>
      </c>
      <c r="H261" t="s">
        <v>123</v>
      </c>
      <c r="I261" t="s">
        <v>458</v>
      </c>
      <c r="J261" t="s">
        <v>463</v>
      </c>
      <c r="K261">
        <v>1</v>
      </c>
      <c r="L261" t="s">
        <v>486</v>
      </c>
      <c r="M261" t="s">
        <v>556</v>
      </c>
      <c r="N261" t="s">
        <v>450</v>
      </c>
      <c r="O261" t="s">
        <v>453</v>
      </c>
      <c r="P261" t="s">
        <v>421</v>
      </c>
      <c r="Q261">
        <v>0</v>
      </c>
      <c r="R261" t="s">
        <v>416</v>
      </c>
      <c r="S261">
        <v>8</v>
      </c>
      <c r="T261" t="s">
        <v>1516</v>
      </c>
      <c r="U261" t="s">
        <v>492</v>
      </c>
      <c r="V261" t="s">
        <v>1181</v>
      </c>
      <c r="W261" t="s">
        <v>399</v>
      </c>
      <c r="X261" t="s">
        <v>2129</v>
      </c>
      <c r="Y261" t="s">
        <v>2249</v>
      </c>
    </row>
    <row r="262" spans="2:25">
      <c r="B262" t="s">
        <v>2247</v>
      </c>
      <c r="C262" t="s" vm="39">
        <v>701</v>
      </c>
      <c r="D262" t="s">
        <v>100</v>
      </c>
      <c r="E262" t="s">
        <v>485</v>
      </c>
      <c r="F262" t="s">
        <v>461</v>
      </c>
      <c r="G262" t="s">
        <v>123</v>
      </c>
      <c r="H262" t="s">
        <v>123</v>
      </c>
      <c r="I262" t="s">
        <v>458</v>
      </c>
      <c r="J262" t="s">
        <v>463</v>
      </c>
      <c r="K262">
        <v>1</v>
      </c>
      <c r="L262" t="s">
        <v>486</v>
      </c>
      <c r="M262" t="s">
        <v>556</v>
      </c>
      <c r="N262" t="s">
        <v>450</v>
      </c>
      <c r="O262" t="s">
        <v>453</v>
      </c>
      <c r="P262" t="s">
        <v>421</v>
      </c>
      <c r="Q262">
        <v>0</v>
      </c>
      <c r="R262" t="s">
        <v>416</v>
      </c>
      <c r="S262">
        <v>8</v>
      </c>
      <c r="T262" t="s">
        <v>1516</v>
      </c>
      <c r="U262" t="s">
        <v>492</v>
      </c>
      <c r="V262" t="s">
        <v>1181</v>
      </c>
      <c r="W262" t="s">
        <v>399</v>
      </c>
      <c r="X262" t="s">
        <v>2129</v>
      </c>
      <c r="Y262" t="s">
        <v>2249</v>
      </c>
    </row>
    <row r="263" spans="2:25">
      <c r="B263" t="s">
        <v>2247</v>
      </c>
      <c r="C263" t="s" vm="39">
        <v>701</v>
      </c>
      <c r="D263" t="s">
        <v>100</v>
      </c>
      <c r="E263" t="s">
        <v>485</v>
      </c>
      <c r="F263" t="s">
        <v>461</v>
      </c>
      <c r="G263" t="s">
        <v>473</v>
      </c>
      <c r="H263">
        <v>2</v>
      </c>
      <c r="I263" t="s">
        <v>458</v>
      </c>
      <c r="J263" t="s">
        <v>463</v>
      </c>
      <c r="K263">
        <v>1</v>
      </c>
      <c r="L263" t="s">
        <v>486</v>
      </c>
      <c r="M263" t="s">
        <v>556</v>
      </c>
      <c r="N263" t="s">
        <v>450</v>
      </c>
      <c r="O263" t="s">
        <v>453</v>
      </c>
      <c r="P263" t="s">
        <v>421</v>
      </c>
      <c r="Q263">
        <v>0</v>
      </c>
      <c r="R263" t="s">
        <v>416</v>
      </c>
      <c r="S263">
        <v>8</v>
      </c>
      <c r="T263" t="s">
        <v>1516</v>
      </c>
      <c r="U263" t="s">
        <v>492</v>
      </c>
      <c r="V263" t="s">
        <v>1181</v>
      </c>
      <c r="W263" t="s">
        <v>399</v>
      </c>
      <c r="X263" t="s">
        <v>2129</v>
      </c>
      <c r="Y263" t="s">
        <v>2248</v>
      </c>
    </row>
    <row r="264" spans="2:25">
      <c r="B264" t="s">
        <v>2244</v>
      </c>
      <c r="C264" t="s" vm="39">
        <v>701</v>
      </c>
      <c r="D264" t="s">
        <v>100</v>
      </c>
      <c r="E264" t="s">
        <v>485</v>
      </c>
      <c r="F264" t="s">
        <v>461</v>
      </c>
      <c r="G264" t="s">
        <v>473</v>
      </c>
      <c r="H264">
        <v>1</v>
      </c>
      <c r="I264" t="s">
        <v>456</v>
      </c>
      <c r="J264" t="s">
        <v>463</v>
      </c>
      <c r="K264">
        <v>1</v>
      </c>
      <c r="L264" t="s">
        <v>486</v>
      </c>
      <c r="M264" t="s">
        <v>556</v>
      </c>
      <c r="N264" t="s">
        <v>450</v>
      </c>
      <c r="O264" t="s">
        <v>453</v>
      </c>
      <c r="P264" t="s">
        <v>421</v>
      </c>
      <c r="Q264">
        <v>0</v>
      </c>
      <c r="R264" t="s">
        <v>159</v>
      </c>
      <c r="S264">
        <v>0</v>
      </c>
      <c r="T264" t="s">
        <v>1516</v>
      </c>
      <c r="U264" t="s">
        <v>492</v>
      </c>
      <c r="V264" t="s">
        <v>1181</v>
      </c>
      <c r="W264" t="s">
        <v>399</v>
      </c>
      <c r="X264" t="s">
        <v>2129</v>
      </c>
      <c r="Y264" t="s">
        <v>2246</v>
      </c>
    </row>
    <row r="265" spans="2:25">
      <c r="B265" t="s">
        <v>2244</v>
      </c>
      <c r="C265" t="s" vm="39">
        <v>701</v>
      </c>
      <c r="D265" t="s">
        <v>100</v>
      </c>
      <c r="E265" t="s">
        <v>485</v>
      </c>
      <c r="F265" t="s">
        <v>461</v>
      </c>
      <c r="G265" t="s">
        <v>473</v>
      </c>
      <c r="H265">
        <v>1</v>
      </c>
      <c r="I265" t="s">
        <v>456</v>
      </c>
      <c r="J265" t="s">
        <v>463</v>
      </c>
      <c r="K265">
        <v>1</v>
      </c>
      <c r="L265" t="s">
        <v>486</v>
      </c>
      <c r="M265" t="s">
        <v>556</v>
      </c>
      <c r="N265" t="s">
        <v>450</v>
      </c>
      <c r="O265" t="s">
        <v>453</v>
      </c>
      <c r="P265" t="s">
        <v>421</v>
      </c>
      <c r="Q265">
        <v>0</v>
      </c>
      <c r="R265" t="s">
        <v>159</v>
      </c>
      <c r="S265">
        <v>0</v>
      </c>
      <c r="T265" t="s">
        <v>1516</v>
      </c>
      <c r="U265" t="s">
        <v>492</v>
      </c>
      <c r="V265" t="s">
        <v>1181</v>
      </c>
      <c r="W265" t="s">
        <v>399</v>
      </c>
      <c r="X265" t="s">
        <v>2129</v>
      </c>
      <c r="Y265" t="s">
        <v>2245</v>
      </c>
    </row>
    <row r="266" spans="2:25">
      <c r="B266" t="s">
        <v>2239</v>
      </c>
      <c r="C266" t="s" vm="39">
        <v>701</v>
      </c>
      <c r="D266" t="s">
        <v>102</v>
      </c>
      <c r="E266" t="s">
        <v>485</v>
      </c>
      <c r="F266" t="s">
        <v>461</v>
      </c>
      <c r="G266" t="s">
        <v>487</v>
      </c>
      <c r="H266" t="s">
        <v>123</v>
      </c>
      <c r="I266" t="s">
        <v>460</v>
      </c>
      <c r="J266" t="s">
        <v>462</v>
      </c>
      <c r="K266">
        <v>2</v>
      </c>
      <c r="L266" t="s">
        <v>486</v>
      </c>
      <c r="M266" t="s">
        <v>1762</v>
      </c>
      <c r="N266" t="s">
        <v>450</v>
      </c>
      <c r="O266" t="s">
        <v>453</v>
      </c>
      <c r="P266" t="s">
        <v>421</v>
      </c>
      <c r="Q266">
        <v>0</v>
      </c>
      <c r="R266" t="s">
        <v>159</v>
      </c>
      <c r="S266">
        <v>0</v>
      </c>
      <c r="T266" t="s">
        <v>1347</v>
      </c>
      <c r="U266" t="s">
        <v>492</v>
      </c>
      <c r="V266" t="s">
        <v>1181</v>
      </c>
      <c r="W266" t="s">
        <v>399</v>
      </c>
      <c r="X266" t="s">
        <v>2130</v>
      </c>
      <c r="Y266" t="s">
        <v>2242</v>
      </c>
    </row>
    <row r="267" spans="2:25">
      <c r="B267" t="s">
        <v>2239</v>
      </c>
      <c r="C267" t="s" vm="39">
        <v>701</v>
      </c>
      <c r="D267" t="s">
        <v>102</v>
      </c>
      <c r="E267" t="s">
        <v>485</v>
      </c>
      <c r="F267" t="s">
        <v>461</v>
      </c>
      <c r="G267" t="s">
        <v>487</v>
      </c>
      <c r="H267" t="s">
        <v>123</v>
      </c>
      <c r="I267" t="s">
        <v>458</v>
      </c>
      <c r="J267" t="s">
        <v>462</v>
      </c>
      <c r="K267">
        <v>2</v>
      </c>
      <c r="L267" t="s">
        <v>486</v>
      </c>
      <c r="M267" t="s">
        <v>1762</v>
      </c>
      <c r="N267" t="s">
        <v>450</v>
      </c>
      <c r="O267" t="s">
        <v>453</v>
      </c>
      <c r="P267" t="s">
        <v>421</v>
      </c>
      <c r="Q267">
        <v>0</v>
      </c>
      <c r="R267" t="s">
        <v>159</v>
      </c>
      <c r="S267">
        <v>0</v>
      </c>
      <c r="T267" t="s">
        <v>1347</v>
      </c>
      <c r="U267" t="s">
        <v>492</v>
      </c>
      <c r="V267" t="s">
        <v>1181</v>
      </c>
      <c r="W267" t="s">
        <v>399</v>
      </c>
      <c r="X267" t="s">
        <v>2130</v>
      </c>
      <c r="Y267" t="s">
        <v>2240</v>
      </c>
    </row>
    <row r="268" spans="2:25">
      <c r="B268" t="s">
        <v>2236</v>
      </c>
      <c r="C268" t="s" vm="39">
        <v>701</v>
      </c>
      <c r="D268" t="s">
        <v>102</v>
      </c>
      <c r="E268" t="s">
        <v>485</v>
      </c>
      <c r="F268" t="s">
        <v>461</v>
      </c>
      <c r="G268" t="s">
        <v>473</v>
      </c>
      <c r="H268">
        <v>2</v>
      </c>
      <c r="I268" t="s">
        <v>458</v>
      </c>
      <c r="J268" t="s">
        <v>463</v>
      </c>
      <c r="K268">
        <v>2</v>
      </c>
      <c r="L268" t="s">
        <v>486</v>
      </c>
      <c r="M268" t="s">
        <v>556</v>
      </c>
      <c r="N268" t="s">
        <v>450</v>
      </c>
      <c r="O268" t="s">
        <v>453</v>
      </c>
      <c r="P268" t="s">
        <v>421</v>
      </c>
      <c r="Q268">
        <v>0</v>
      </c>
      <c r="R268" t="s">
        <v>159</v>
      </c>
      <c r="S268">
        <v>0</v>
      </c>
      <c r="T268" t="s">
        <v>1198</v>
      </c>
      <c r="U268" t="s">
        <v>492</v>
      </c>
      <c r="V268" t="s">
        <v>1181</v>
      </c>
      <c r="W268" t="s">
        <v>399</v>
      </c>
      <c r="X268" t="s">
        <v>2131</v>
      </c>
      <c r="Y268" t="s">
        <v>2238</v>
      </c>
    </row>
    <row r="269" spans="2:25">
      <c r="B269" t="s">
        <v>2236</v>
      </c>
      <c r="C269" t="s" vm="39">
        <v>701</v>
      </c>
      <c r="D269" t="s">
        <v>1019</v>
      </c>
      <c r="E269" t="s">
        <v>485</v>
      </c>
      <c r="F269" t="s">
        <v>461</v>
      </c>
      <c r="G269" t="s">
        <v>473</v>
      </c>
      <c r="H269">
        <v>2</v>
      </c>
      <c r="I269" t="s">
        <v>458</v>
      </c>
      <c r="J269" t="s">
        <v>463</v>
      </c>
      <c r="K269">
        <v>2</v>
      </c>
      <c r="L269" t="s">
        <v>486</v>
      </c>
      <c r="M269" t="s">
        <v>556</v>
      </c>
      <c r="N269" t="s">
        <v>450</v>
      </c>
      <c r="O269" t="s">
        <v>453</v>
      </c>
      <c r="P269" t="s">
        <v>421</v>
      </c>
      <c r="Q269">
        <v>0</v>
      </c>
      <c r="R269" t="s">
        <v>159</v>
      </c>
      <c r="S269">
        <v>0</v>
      </c>
      <c r="T269" t="s">
        <v>1198</v>
      </c>
      <c r="U269" t="s">
        <v>492</v>
      </c>
      <c r="V269" t="s">
        <v>1181</v>
      </c>
      <c r="W269" t="s">
        <v>399</v>
      </c>
      <c r="X269" t="s">
        <v>2131</v>
      </c>
      <c r="Y269" t="s">
        <v>2237</v>
      </c>
    </row>
    <row r="270" spans="2:25">
      <c r="B270" t="s">
        <v>2227</v>
      </c>
      <c r="C270" t="s" vm="39">
        <v>701</v>
      </c>
      <c r="D270" t="s">
        <v>1019</v>
      </c>
      <c r="E270" t="s">
        <v>485</v>
      </c>
      <c r="F270" t="s">
        <v>461</v>
      </c>
      <c r="G270" t="s">
        <v>487</v>
      </c>
      <c r="H270" t="s">
        <v>123</v>
      </c>
      <c r="I270" t="s">
        <v>456</v>
      </c>
      <c r="J270" t="s">
        <v>463</v>
      </c>
      <c r="K270">
        <v>2</v>
      </c>
      <c r="L270" t="s">
        <v>486</v>
      </c>
      <c r="M270" t="s">
        <v>1864</v>
      </c>
      <c r="N270" t="s">
        <v>450</v>
      </c>
      <c r="O270" t="s">
        <v>453</v>
      </c>
      <c r="P270" t="s">
        <v>421</v>
      </c>
      <c r="Q270">
        <v>0</v>
      </c>
      <c r="R270" t="s">
        <v>159</v>
      </c>
      <c r="S270">
        <v>0</v>
      </c>
      <c r="T270" t="s">
        <v>402</v>
      </c>
      <c r="U270" t="s">
        <v>492</v>
      </c>
      <c r="V270" t="s">
        <v>1181</v>
      </c>
      <c r="W270" t="s">
        <v>399</v>
      </c>
      <c r="X270" t="s">
        <v>401</v>
      </c>
      <c r="Y270" t="s">
        <v>2235</v>
      </c>
    </row>
    <row r="271" spans="2:25">
      <c r="B271" t="s">
        <v>2227</v>
      </c>
      <c r="C271" t="s" vm="39">
        <v>701</v>
      </c>
      <c r="D271" t="s">
        <v>1019</v>
      </c>
      <c r="E271" t="s">
        <v>485</v>
      </c>
      <c r="F271" t="s">
        <v>461</v>
      </c>
      <c r="G271" t="s">
        <v>487</v>
      </c>
      <c r="H271" t="s">
        <v>123</v>
      </c>
      <c r="I271" t="s">
        <v>456</v>
      </c>
      <c r="J271" t="s">
        <v>463</v>
      </c>
      <c r="K271">
        <v>2</v>
      </c>
      <c r="L271" t="s">
        <v>486</v>
      </c>
      <c r="M271" t="s">
        <v>1864</v>
      </c>
      <c r="N271" t="s">
        <v>450</v>
      </c>
      <c r="O271" t="s">
        <v>453</v>
      </c>
      <c r="P271" t="s">
        <v>421</v>
      </c>
      <c r="Q271">
        <v>0</v>
      </c>
      <c r="R271" t="s">
        <v>159</v>
      </c>
      <c r="S271">
        <v>0</v>
      </c>
      <c r="T271" t="s">
        <v>402</v>
      </c>
      <c r="U271" t="s">
        <v>492</v>
      </c>
      <c r="V271" t="s">
        <v>1181</v>
      </c>
      <c r="W271" t="s">
        <v>399</v>
      </c>
      <c r="X271" t="s">
        <v>401</v>
      </c>
      <c r="Y271" t="s">
        <v>2234</v>
      </c>
    </row>
    <row r="272" spans="2:25">
      <c r="B272" t="s">
        <v>2227</v>
      </c>
      <c r="C272" t="s" vm="39">
        <v>701</v>
      </c>
      <c r="D272" t="s">
        <v>100</v>
      </c>
      <c r="E272" t="s">
        <v>485</v>
      </c>
      <c r="F272" t="s">
        <v>461</v>
      </c>
      <c r="G272" t="s">
        <v>487</v>
      </c>
      <c r="H272" t="s">
        <v>123</v>
      </c>
      <c r="I272" t="s">
        <v>456</v>
      </c>
      <c r="J272" t="s">
        <v>463</v>
      </c>
      <c r="K272">
        <v>2</v>
      </c>
      <c r="L272" t="s">
        <v>486</v>
      </c>
      <c r="M272" t="s">
        <v>556</v>
      </c>
      <c r="N272" t="s">
        <v>450</v>
      </c>
      <c r="O272" t="s">
        <v>453</v>
      </c>
      <c r="P272" t="s">
        <v>421</v>
      </c>
      <c r="Q272">
        <v>0</v>
      </c>
      <c r="R272" t="s">
        <v>159</v>
      </c>
      <c r="S272">
        <v>0</v>
      </c>
      <c r="T272" t="s">
        <v>1198</v>
      </c>
      <c r="U272" t="s">
        <v>492</v>
      </c>
      <c r="V272" t="s">
        <v>1181</v>
      </c>
      <c r="W272" t="s">
        <v>399</v>
      </c>
      <c r="X272" t="s">
        <v>2129</v>
      </c>
      <c r="Y272" t="s">
        <v>2230</v>
      </c>
    </row>
    <row r="273" spans="2:25">
      <c r="B273" t="s">
        <v>2227</v>
      </c>
      <c r="C273" t="s" vm="39">
        <v>701</v>
      </c>
      <c r="D273" t="s">
        <v>100</v>
      </c>
      <c r="E273" t="s">
        <v>485</v>
      </c>
      <c r="F273" t="s">
        <v>461</v>
      </c>
      <c r="G273" t="s">
        <v>487</v>
      </c>
      <c r="H273" t="s">
        <v>123</v>
      </c>
      <c r="I273" t="s">
        <v>456</v>
      </c>
      <c r="J273" t="s">
        <v>463</v>
      </c>
      <c r="K273">
        <v>2</v>
      </c>
      <c r="L273" t="s">
        <v>486</v>
      </c>
      <c r="M273" t="s">
        <v>556</v>
      </c>
      <c r="N273" t="s">
        <v>450</v>
      </c>
      <c r="O273" t="s">
        <v>453</v>
      </c>
      <c r="P273" t="s">
        <v>421</v>
      </c>
      <c r="Q273">
        <v>0</v>
      </c>
      <c r="R273" t="s">
        <v>159</v>
      </c>
      <c r="S273">
        <v>0</v>
      </c>
      <c r="T273" t="s">
        <v>402</v>
      </c>
      <c r="U273" t="s">
        <v>492</v>
      </c>
      <c r="V273" t="s">
        <v>1181</v>
      </c>
      <c r="W273" t="s">
        <v>399</v>
      </c>
      <c r="X273" t="s">
        <v>2129</v>
      </c>
      <c r="Y273" t="s">
        <v>2229</v>
      </c>
    </row>
    <row r="274" spans="2:25">
      <c r="B274" t="s">
        <v>2227</v>
      </c>
      <c r="C274" t="s" vm="39">
        <v>701</v>
      </c>
      <c r="D274" t="s">
        <v>100</v>
      </c>
      <c r="E274" t="s">
        <v>485</v>
      </c>
      <c r="F274" t="s">
        <v>461</v>
      </c>
      <c r="G274" t="s">
        <v>473</v>
      </c>
      <c r="H274">
        <v>1</v>
      </c>
      <c r="I274" t="s">
        <v>458</v>
      </c>
      <c r="J274" t="s">
        <v>463</v>
      </c>
      <c r="K274">
        <v>2</v>
      </c>
      <c r="L274" t="s">
        <v>486</v>
      </c>
      <c r="M274" t="s">
        <v>556</v>
      </c>
      <c r="N274" t="s">
        <v>450</v>
      </c>
      <c r="O274" t="s">
        <v>453</v>
      </c>
      <c r="P274" t="s">
        <v>158</v>
      </c>
      <c r="Q274">
        <v>8</v>
      </c>
      <c r="R274" t="s">
        <v>1494</v>
      </c>
      <c r="S274">
        <v>8</v>
      </c>
      <c r="T274" t="s">
        <v>1516</v>
      </c>
      <c r="U274" t="s">
        <v>492</v>
      </c>
      <c r="V274" t="s">
        <v>1181</v>
      </c>
      <c r="W274" t="s">
        <v>399</v>
      </c>
      <c r="X274" t="s">
        <v>2129</v>
      </c>
      <c r="Y274" t="s">
        <v>2228</v>
      </c>
    </row>
    <row r="275" spans="2:25">
      <c r="B275" t="s">
        <v>2222</v>
      </c>
      <c r="C275" t="s" vm="39">
        <v>701</v>
      </c>
      <c r="D275" t="s">
        <v>100</v>
      </c>
      <c r="E275" t="s">
        <v>485</v>
      </c>
      <c r="F275" t="s">
        <v>461</v>
      </c>
      <c r="G275" t="s">
        <v>473</v>
      </c>
      <c r="H275">
        <v>1</v>
      </c>
      <c r="I275" t="s">
        <v>458</v>
      </c>
      <c r="J275" t="s">
        <v>463</v>
      </c>
      <c r="K275">
        <v>2</v>
      </c>
      <c r="L275" t="s">
        <v>486</v>
      </c>
      <c r="M275" t="s">
        <v>556</v>
      </c>
      <c r="N275" t="s">
        <v>450</v>
      </c>
      <c r="O275" t="s">
        <v>453</v>
      </c>
      <c r="P275" t="s">
        <v>158</v>
      </c>
      <c r="Q275">
        <v>8</v>
      </c>
      <c r="R275" t="s">
        <v>416</v>
      </c>
      <c r="S275">
        <v>8</v>
      </c>
      <c r="T275" t="s">
        <v>1516</v>
      </c>
      <c r="U275" t="s">
        <v>492</v>
      </c>
      <c r="V275" t="s">
        <v>1181</v>
      </c>
      <c r="W275" t="s">
        <v>399</v>
      </c>
      <c r="X275" t="s">
        <v>2129</v>
      </c>
      <c r="Y275" t="s">
        <v>2225</v>
      </c>
    </row>
    <row r="276" spans="2:25">
      <c r="B276" t="s">
        <v>2222</v>
      </c>
      <c r="C276" t="s" vm="39">
        <v>701</v>
      </c>
      <c r="D276" t="s">
        <v>102</v>
      </c>
      <c r="E276" t="s">
        <v>485</v>
      </c>
      <c r="F276" t="s">
        <v>461</v>
      </c>
      <c r="G276" t="s">
        <v>473</v>
      </c>
      <c r="H276">
        <v>2</v>
      </c>
      <c r="I276" t="s">
        <v>458</v>
      </c>
      <c r="J276" t="s">
        <v>464</v>
      </c>
      <c r="K276">
        <v>2</v>
      </c>
      <c r="L276" t="s">
        <v>486</v>
      </c>
      <c r="M276" t="s">
        <v>556</v>
      </c>
      <c r="N276" t="s">
        <v>450</v>
      </c>
      <c r="O276" t="s">
        <v>453</v>
      </c>
      <c r="P276" t="s">
        <v>421</v>
      </c>
      <c r="Q276">
        <v>0</v>
      </c>
      <c r="R276" t="s">
        <v>159</v>
      </c>
      <c r="S276">
        <v>0</v>
      </c>
      <c r="T276" t="s">
        <v>1577</v>
      </c>
      <c r="U276" t="s">
        <v>492</v>
      </c>
      <c r="V276" t="s">
        <v>1181</v>
      </c>
      <c r="W276" t="s">
        <v>399</v>
      </c>
      <c r="X276" t="s">
        <v>2129</v>
      </c>
      <c r="Y276" t="s">
        <v>2224</v>
      </c>
    </row>
    <row r="277" spans="2:25">
      <c r="B277" t="s">
        <v>2222</v>
      </c>
      <c r="C277" t="s" vm="39">
        <v>701</v>
      </c>
      <c r="D277" t="s">
        <v>102</v>
      </c>
      <c r="E277" t="s">
        <v>485</v>
      </c>
      <c r="F277" t="s">
        <v>461</v>
      </c>
      <c r="G277" t="s">
        <v>473</v>
      </c>
      <c r="H277">
        <v>2</v>
      </c>
      <c r="I277" t="s">
        <v>456</v>
      </c>
      <c r="J277" t="s">
        <v>463</v>
      </c>
      <c r="K277">
        <v>2</v>
      </c>
      <c r="L277" t="s">
        <v>486</v>
      </c>
      <c r="M277" t="s">
        <v>1475</v>
      </c>
      <c r="N277" t="s">
        <v>450</v>
      </c>
      <c r="O277" t="s">
        <v>453</v>
      </c>
      <c r="P277" t="s">
        <v>421</v>
      </c>
      <c r="Q277">
        <v>0</v>
      </c>
      <c r="R277" t="s">
        <v>159</v>
      </c>
      <c r="S277">
        <v>0</v>
      </c>
      <c r="T277" t="s">
        <v>1516</v>
      </c>
      <c r="U277" t="s">
        <v>492</v>
      </c>
      <c r="V277" t="s">
        <v>1181</v>
      </c>
      <c r="W277" t="s">
        <v>399</v>
      </c>
      <c r="X277" t="s">
        <v>401</v>
      </c>
      <c r="Y277" t="s">
        <v>2223</v>
      </c>
    </row>
    <row r="278" spans="2:25">
      <c r="B278" t="s">
        <v>2217</v>
      </c>
      <c r="C278" t="s" vm="39">
        <v>701</v>
      </c>
      <c r="D278" t="s">
        <v>100</v>
      </c>
      <c r="E278" t="s">
        <v>485</v>
      </c>
      <c r="F278" t="s">
        <v>461</v>
      </c>
      <c r="G278" t="s">
        <v>487</v>
      </c>
      <c r="H278" t="s">
        <v>123</v>
      </c>
      <c r="I278" t="s">
        <v>456</v>
      </c>
      <c r="J278" t="s">
        <v>463</v>
      </c>
      <c r="K278">
        <v>2</v>
      </c>
      <c r="L278" t="s">
        <v>486</v>
      </c>
      <c r="M278" t="s">
        <v>556</v>
      </c>
      <c r="N278" t="s">
        <v>450</v>
      </c>
      <c r="O278" t="s">
        <v>453</v>
      </c>
      <c r="P278" t="s">
        <v>158</v>
      </c>
      <c r="Q278">
        <v>8</v>
      </c>
      <c r="R278" t="s">
        <v>416</v>
      </c>
      <c r="S278">
        <v>8</v>
      </c>
      <c r="T278" t="s">
        <v>402</v>
      </c>
      <c r="U278" t="s">
        <v>492</v>
      </c>
      <c r="V278" t="s">
        <v>1181</v>
      </c>
      <c r="W278" t="s">
        <v>399</v>
      </c>
      <c r="X278" t="s">
        <v>2129</v>
      </c>
      <c r="Y278" t="s">
        <v>2221</v>
      </c>
    </row>
    <row r="279" spans="2:25">
      <c r="B279" t="s">
        <v>2217</v>
      </c>
      <c r="C279" t="s" vm="39">
        <v>701</v>
      </c>
      <c r="D279" t="s">
        <v>100</v>
      </c>
      <c r="E279" t="s">
        <v>485</v>
      </c>
      <c r="F279" t="s">
        <v>461</v>
      </c>
      <c r="G279" t="s">
        <v>473</v>
      </c>
      <c r="H279">
        <v>1</v>
      </c>
      <c r="I279" t="s">
        <v>456</v>
      </c>
      <c r="J279" t="s">
        <v>463</v>
      </c>
      <c r="K279">
        <v>2</v>
      </c>
      <c r="L279" t="s">
        <v>486</v>
      </c>
      <c r="M279" t="s">
        <v>556</v>
      </c>
      <c r="N279" t="s">
        <v>450</v>
      </c>
      <c r="O279" t="s">
        <v>453</v>
      </c>
      <c r="P279" t="s">
        <v>158</v>
      </c>
      <c r="Q279">
        <v>8</v>
      </c>
      <c r="R279" t="s">
        <v>416</v>
      </c>
      <c r="S279">
        <v>8</v>
      </c>
      <c r="T279" t="s">
        <v>1516</v>
      </c>
      <c r="U279" t="s">
        <v>492</v>
      </c>
      <c r="V279" t="s">
        <v>1181</v>
      </c>
      <c r="W279" t="s">
        <v>399</v>
      </c>
      <c r="X279" t="s">
        <v>2129</v>
      </c>
      <c r="Y279" t="s">
        <v>2219</v>
      </c>
    </row>
    <row r="280" spans="2:25">
      <c r="B280" t="s">
        <v>2217</v>
      </c>
      <c r="C280" t="s" vm="39">
        <v>701</v>
      </c>
      <c r="D280" t="s">
        <v>100</v>
      </c>
      <c r="E280" t="s">
        <v>485</v>
      </c>
      <c r="F280" t="s">
        <v>461</v>
      </c>
      <c r="G280" t="s">
        <v>473</v>
      </c>
      <c r="H280">
        <v>1</v>
      </c>
      <c r="I280" t="s">
        <v>456</v>
      </c>
      <c r="J280" t="s">
        <v>463</v>
      </c>
      <c r="K280">
        <v>2</v>
      </c>
      <c r="L280" t="s">
        <v>486</v>
      </c>
      <c r="M280" t="s">
        <v>556</v>
      </c>
      <c r="N280" t="s">
        <v>450</v>
      </c>
      <c r="O280" t="s">
        <v>453</v>
      </c>
      <c r="P280" t="s">
        <v>158</v>
      </c>
      <c r="Q280">
        <v>8</v>
      </c>
      <c r="R280" t="s">
        <v>416</v>
      </c>
      <c r="S280">
        <v>8</v>
      </c>
      <c r="T280" t="s">
        <v>1516</v>
      </c>
      <c r="U280" t="s">
        <v>492</v>
      </c>
      <c r="V280" t="s">
        <v>1181</v>
      </c>
      <c r="W280" t="s">
        <v>399</v>
      </c>
      <c r="X280" t="s">
        <v>2129</v>
      </c>
      <c r="Y280" t="s">
        <v>2218</v>
      </c>
    </row>
    <row r="281" spans="2:25">
      <c r="B281" t="s">
        <v>2212</v>
      </c>
      <c r="C281" t="s" vm="39">
        <v>701</v>
      </c>
      <c r="D281" t="s">
        <v>333</v>
      </c>
      <c r="E281" t="s">
        <v>485</v>
      </c>
      <c r="F281" t="s">
        <v>461</v>
      </c>
      <c r="G281" t="s">
        <v>473</v>
      </c>
      <c r="H281">
        <v>2</v>
      </c>
      <c r="I281" t="s">
        <v>456</v>
      </c>
      <c r="J281" t="s">
        <v>463</v>
      </c>
      <c r="K281">
        <v>2</v>
      </c>
      <c r="L281" t="s">
        <v>486</v>
      </c>
      <c r="M281" t="s">
        <v>1864</v>
      </c>
      <c r="N281" t="s">
        <v>450</v>
      </c>
      <c r="O281" t="s">
        <v>453</v>
      </c>
      <c r="P281" t="s">
        <v>157</v>
      </c>
      <c r="Q281">
        <v>6</v>
      </c>
      <c r="R281" t="s">
        <v>123</v>
      </c>
      <c r="S281">
        <v>0</v>
      </c>
      <c r="T281" t="s">
        <v>1410</v>
      </c>
      <c r="U281" t="s">
        <v>492</v>
      </c>
      <c r="V281" t="s">
        <v>1181</v>
      </c>
      <c r="W281" t="s">
        <v>399</v>
      </c>
      <c r="X281" t="s">
        <v>401</v>
      </c>
      <c r="Y281" t="s">
        <v>2216</v>
      </c>
    </row>
    <row r="282" spans="2:25">
      <c r="B282" t="s">
        <v>2212</v>
      </c>
      <c r="C282" t="s" vm="39">
        <v>701</v>
      </c>
      <c r="D282" t="s">
        <v>102</v>
      </c>
      <c r="E282" t="s">
        <v>485</v>
      </c>
      <c r="F282" t="s">
        <v>461</v>
      </c>
      <c r="G282" t="s">
        <v>473</v>
      </c>
      <c r="H282">
        <v>1</v>
      </c>
      <c r="I282" t="s">
        <v>458</v>
      </c>
      <c r="J282" t="s">
        <v>462</v>
      </c>
      <c r="K282">
        <v>2</v>
      </c>
      <c r="L282" t="s">
        <v>486</v>
      </c>
      <c r="M282" t="s">
        <v>556</v>
      </c>
      <c r="N282" t="s">
        <v>450</v>
      </c>
      <c r="O282" t="s">
        <v>453</v>
      </c>
      <c r="P282" t="s">
        <v>157</v>
      </c>
      <c r="Q282">
        <v>12</v>
      </c>
      <c r="R282" t="s">
        <v>123</v>
      </c>
      <c r="S282">
        <v>0</v>
      </c>
      <c r="T282" t="s">
        <v>402</v>
      </c>
      <c r="U282" t="s">
        <v>492</v>
      </c>
      <c r="V282" t="s">
        <v>1181</v>
      </c>
      <c r="W282" t="s">
        <v>399</v>
      </c>
      <c r="X282" t="s">
        <v>2129</v>
      </c>
      <c r="Y282" t="s">
        <v>2215</v>
      </c>
    </row>
    <row r="283" spans="2:25">
      <c r="B283" t="s">
        <v>2212</v>
      </c>
      <c r="C283" t="s" vm="39">
        <v>701</v>
      </c>
      <c r="D283" t="s">
        <v>102</v>
      </c>
      <c r="E283" t="s">
        <v>485</v>
      </c>
      <c r="F283" t="s">
        <v>461</v>
      </c>
      <c r="G283" t="s">
        <v>473</v>
      </c>
      <c r="H283">
        <v>1</v>
      </c>
      <c r="I283" t="s">
        <v>458</v>
      </c>
      <c r="J283" t="s">
        <v>462</v>
      </c>
      <c r="K283">
        <v>2</v>
      </c>
      <c r="L283" t="s">
        <v>486</v>
      </c>
      <c r="M283" t="s">
        <v>556</v>
      </c>
      <c r="N283" t="s">
        <v>450</v>
      </c>
      <c r="O283" t="s">
        <v>453</v>
      </c>
      <c r="P283" t="s">
        <v>157</v>
      </c>
      <c r="Q283">
        <v>12</v>
      </c>
      <c r="R283" t="s">
        <v>123</v>
      </c>
      <c r="S283">
        <v>0</v>
      </c>
      <c r="T283" t="s">
        <v>402</v>
      </c>
      <c r="U283" t="s">
        <v>492</v>
      </c>
      <c r="V283" t="s">
        <v>1181</v>
      </c>
      <c r="W283" t="s">
        <v>399</v>
      </c>
      <c r="X283" t="s">
        <v>401</v>
      </c>
      <c r="Y283" t="s">
        <v>2214</v>
      </c>
    </row>
    <row r="284" spans="2:25">
      <c r="B284" t="s">
        <v>2212</v>
      </c>
      <c r="C284" t="s" vm="39">
        <v>701</v>
      </c>
      <c r="D284" t="s">
        <v>102</v>
      </c>
      <c r="E284" t="s">
        <v>485</v>
      </c>
      <c r="F284" t="s">
        <v>461</v>
      </c>
      <c r="G284" t="s">
        <v>473</v>
      </c>
      <c r="H284">
        <v>1</v>
      </c>
      <c r="I284" t="s">
        <v>456</v>
      </c>
      <c r="J284" t="s">
        <v>462</v>
      </c>
      <c r="K284">
        <v>2</v>
      </c>
      <c r="L284" t="s">
        <v>486</v>
      </c>
      <c r="M284" t="s">
        <v>556</v>
      </c>
      <c r="N284" t="s">
        <v>450</v>
      </c>
      <c r="O284" t="s">
        <v>453</v>
      </c>
      <c r="P284" t="s">
        <v>157</v>
      </c>
      <c r="Q284">
        <v>12</v>
      </c>
      <c r="R284" t="s">
        <v>123</v>
      </c>
      <c r="S284">
        <v>0</v>
      </c>
      <c r="T284" t="s">
        <v>402</v>
      </c>
      <c r="U284" t="s">
        <v>492</v>
      </c>
      <c r="V284" t="s">
        <v>1181</v>
      </c>
      <c r="W284" t="s">
        <v>399</v>
      </c>
      <c r="X284" t="s">
        <v>401</v>
      </c>
      <c r="Y284" t="s">
        <v>2213</v>
      </c>
    </row>
    <row r="285" spans="2:25">
      <c r="B285" t="s">
        <v>2210</v>
      </c>
      <c r="C285" t="s" vm="39">
        <v>701</v>
      </c>
      <c r="D285" t="s">
        <v>100</v>
      </c>
      <c r="E285" t="s">
        <v>485</v>
      </c>
      <c r="F285" t="s">
        <v>461</v>
      </c>
      <c r="G285" t="s">
        <v>473</v>
      </c>
      <c r="H285">
        <v>1</v>
      </c>
      <c r="I285" t="s">
        <v>458</v>
      </c>
      <c r="J285" t="s">
        <v>463</v>
      </c>
      <c r="K285">
        <v>2</v>
      </c>
      <c r="L285" t="s">
        <v>486</v>
      </c>
      <c r="M285" t="s">
        <v>556</v>
      </c>
      <c r="N285" t="s">
        <v>450</v>
      </c>
      <c r="O285" t="s">
        <v>453</v>
      </c>
      <c r="P285" t="s">
        <v>158</v>
      </c>
      <c r="Q285">
        <v>8</v>
      </c>
      <c r="R285" t="s">
        <v>123</v>
      </c>
      <c r="S285">
        <v>0</v>
      </c>
      <c r="T285" t="s">
        <v>1516</v>
      </c>
      <c r="U285" t="s">
        <v>492</v>
      </c>
      <c r="V285" t="s">
        <v>1181</v>
      </c>
      <c r="W285" t="s">
        <v>399</v>
      </c>
      <c r="X285" t="s">
        <v>2130</v>
      </c>
      <c r="Y285" t="s">
        <v>2211</v>
      </c>
    </row>
    <row r="286" spans="2:25">
      <c r="B286" t="s">
        <v>2208</v>
      </c>
      <c r="C286" t="s" vm="39">
        <v>701</v>
      </c>
      <c r="D286" t="s">
        <v>100</v>
      </c>
      <c r="E286" t="s">
        <v>485</v>
      </c>
      <c r="F286" t="s">
        <v>461</v>
      </c>
      <c r="G286" t="s">
        <v>473</v>
      </c>
      <c r="H286">
        <v>1</v>
      </c>
      <c r="I286" t="s">
        <v>458</v>
      </c>
      <c r="J286" t="s">
        <v>463</v>
      </c>
      <c r="K286">
        <v>2</v>
      </c>
      <c r="L286" t="s">
        <v>486</v>
      </c>
      <c r="M286" t="s">
        <v>556</v>
      </c>
      <c r="N286" t="s">
        <v>450</v>
      </c>
      <c r="O286" t="s">
        <v>453</v>
      </c>
      <c r="P286" t="s">
        <v>158</v>
      </c>
      <c r="Q286">
        <v>8</v>
      </c>
      <c r="R286" t="s">
        <v>123</v>
      </c>
      <c r="S286">
        <v>0</v>
      </c>
      <c r="T286" t="s">
        <v>1516</v>
      </c>
      <c r="U286" t="s">
        <v>492</v>
      </c>
      <c r="V286" t="s">
        <v>1181</v>
      </c>
      <c r="W286" t="s">
        <v>399</v>
      </c>
      <c r="X286" t="s">
        <v>2130</v>
      </c>
      <c r="Y286" t="s">
        <v>2209</v>
      </c>
    </row>
    <row r="287" spans="2:25">
      <c r="B287" t="s">
        <v>2205</v>
      </c>
      <c r="C287" t="s" vm="39">
        <v>701</v>
      </c>
      <c r="D287" t="s">
        <v>100</v>
      </c>
      <c r="E287" t="s">
        <v>485</v>
      </c>
      <c r="F287" t="s">
        <v>461</v>
      </c>
      <c r="G287" t="s">
        <v>473</v>
      </c>
      <c r="H287">
        <v>1</v>
      </c>
      <c r="I287" t="s">
        <v>458</v>
      </c>
      <c r="J287" t="s">
        <v>463</v>
      </c>
      <c r="K287">
        <v>2</v>
      </c>
      <c r="L287" t="s">
        <v>486</v>
      </c>
      <c r="M287" t="s">
        <v>556</v>
      </c>
      <c r="N287" t="s">
        <v>450</v>
      </c>
      <c r="O287" t="s">
        <v>453</v>
      </c>
      <c r="P287" t="s">
        <v>158</v>
      </c>
      <c r="Q287">
        <v>8</v>
      </c>
      <c r="R287" t="s">
        <v>123</v>
      </c>
      <c r="S287">
        <v>0</v>
      </c>
      <c r="T287" t="s">
        <v>1516</v>
      </c>
      <c r="U287" t="s">
        <v>492</v>
      </c>
      <c r="V287" t="s">
        <v>1181</v>
      </c>
      <c r="W287" t="s">
        <v>399</v>
      </c>
      <c r="X287" t="s">
        <v>2130</v>
      </c>
      <c r="Y287" t="s">
        <v>2207</v>
      </c>
    </row>
    <row r="288" spans="2:25">
      <c r="B288" t="s">
        <v>2205</v>
      </c>
      <c r="C288" t="s" vm="39">
        <v>701</v>
      </c>
      <c r="D288" t="s">
        <v>333</v>
      </c>
      <c r="E288" t="s">
        <v>485</v>
      </c>
      <c r="F288" t="s">
        <v>461</v>
      </c>
      <c r="G288" t="s">
        <v>473</v>
      </c>
      <c r="H288">
        <v>1</v>
      </c>
      <c r="I288" t="s">
        <v>458</v>
      </c>
      <c r="J288" t="s">
        <v>462</v>
      </c>
      <c r="K288">
        <v>2</v>
      </c>
      <c r="L288" t="s">
        <v>488</v>
      </c>
      <c r="M288" t="s">
        <v>492</v>
      </c>
      <c r="N288" t="s">
        <v>496</v>
      </c>
      <c r="O288" t="s">
        <v>453</v>
      </c>
      <c r="P288" t="s">
        <v>158</v>
      </c>
      <c r="Q288">
        <v>0</v>
      </c>
      <c r="R288" t="s">
        <v>419</v>
      </c>
      <c r="S288">
        <v>12</v>
      </c>
      <c r="T288" t="s">
        <v>402</v>
      </c>
      <c r="U288" t="s">
        <v>492</v>
      </c>
      <c r="V288" t="s">
        <v>1181</v>
      </c>
      <c r="W288" t="s">
        <v>399</v>
      </c>
      <c r="X288" t="s">
        <v>401</v>
      </c>
      <c r="Y288" t="s">
        <v>2206</v>
      </c>
    </row>
    <row r="289" spans="2:25">
      <c r="B289" t="s">
        <v>2203</v>
      </c>
      <c r="C289" t="s" vm="39">
        <v>701</v>
      </c>
      <c r="D289" t="s">
        <v>333</v>
      </c>
      <c r="E289" t="s">
        <v>485</v>
      </c>
      <c r="F289" t="s">
        <v>461</v>
      </c>
      <c r="G289" t="s">
        <v>473</v>
      </c>
      <c r="H289">
        <v>1</v>
      </c>
      <c r="I289" t="s">
        <v>458</v>
      </c>
      <c r="J289" t="s">
        <v>462</v>
      </c>
      <c r="K289">
        <v>2</v>
      </c>
      <c r="L289" t="s">
        <v>488</v>
      </c>
      <c r="M289" t="s">
        <v>492</v>
      </c>
      <c r="N289" t="s">
        <v>496</v>
      </c>
      <c r="O289" t="s">
        <v>453</v>
      </c>
      <c r="P289" t="s">
        <v>158</v>
      </c>
      <c r="Q289">
        <v>0</v>
      </c>
      <c r="R289" t="s">
        <v>1494</v>
      </c>
      <c r="S289">
        <v>12</v>
      </c>
      <c r="T289" t="s">
        <v>402</v>
      </c>
      <c r="U289" t="s">
        <v>492</v>
      </c>
      <c r="V289" t="s">
        <v>1181</v>
      </c>
      <c r="W289" t="s">
        <v>399</v>
      </c>
      <c r="X289" t="s">
        <v>401</v>
      </c>
      <c r="Y289" t="s">
        <v>2204</v>
      </c>
    </row>
    <row r="290" spans="2:25">
      <c r="B290" t="s">
        <v>2197</v>
      </c>
      <c r="C290" t="s" vm="39">
        <v>701</v>
      </c>
      <c r="D290" t="s">
        <v>333</v>
      </c>
      <c r="E290" t="s">
        <v>485</v>
      </c>
      <c r="F290" t="s">
        <v>461</v>
      </c>
      <c r="G290" t="s">
        <v>473</v>
      </c>
      <c r="H290">
        <v>2</v>
      </c>
      <c r="I290" t="s">
        <v>456</v>
      </c>
      <c r="J290" t="s">
        <v>463</v>
      </c>
      <c r="K290">
        <v>2</v>
      </c>
      <c r="L290" t="s">
        <v>486</v>
      </c>
      <c r="M290" t="s">
        <v>556</v>
      </c>
      <c r="N290" t="s">
        <v>450</v>
      </c>
      <c r="O290" t="s">
        <v>453</v>
      </c>
      <c r="P290" t="s">
        <v>158</v>
      </c>
      <c r="Q290">
        <v>0</v>
      </c>
      <c r="R290" t="s">
        <v>419</v>
      </c>
      <c r="S290">
        <v>8</v>
      </c>
      <c r="T290" t="s">
        <v>402</v>
      </c>
      <c r="U290" t="s">
        <v>492</v>
      </c>
      <c r="V290" t="s">
        <v>1181</v>
      </c>
      <c r="W290" t="s">
        <v>399</v>
      </c>
      <c r="X290" t="s">
        <v>401</v>
      </c>
      <c r="Y290" t="s">
        <v>2202</v>
      </c>
    </row>
    <row r="291" spans="2:25">
      <c r="B291" t="s">
        <v>2197</v>
      </c>
      <c r="C291" t="s" vm="39">
        <v>701</v>
      </c>
      <c r="D291" t="s">
        <v>333</v>
      </c>
      <c r="E291" t="s">
        <v>485</v>
      </c>
      <c r="F291" t="s">
        <v>461</v>
      </c>
      <c r="G291" t="s">
        <v>473</v>
      </c>
      <c r="H291">
        <v>2</v>
      </c>
      <c r="I291" t="s">
        <v>456</v>
      </c>
      <c r="J291" t="s">
        <v>463</v>
      </c>
      <c r="K291">
        <v>2</v>
      </c>
      <c r="L291" t="s">
        <v>486</v>
      </c>
      <c r="M291" t="s">
        <v>556</v>
      </c>
      <c r="N291" t="s">
        <v>450</v>
      </c>
      <c r="O291" t="s">
        <v>453</v>
      </c>
      <c r="P291" t="s">
        <v>158</v>
      </c>
      <c r="Q291">
        <v>0</v>
      </c>
      <c r="R291" t="s">
        <v>419</v>
      </c>
      <c r="S291">
        <v>8</v>
      </c>
      <c r="T291" t="s">
        <v>402</v>
      </c>
      <c r="U291" t="s">
        <v>492</v>
      </c>
      <c r="V291" t="s">
        <v>1181</v>
      </c>
      <c r="W291" t="s">
        <v>399</v>
      </c>
      <c r="X291" t="s">
        <v>401</v>
      </c>
      <c r="Y291" t="s">
        <v>2202</v>
      </c>
    </row>
    <row r="292" spans="2:25">
      <c r="B292" t="s">
        <v>2197</v>
      </c>
      <c r="C292" t="s" vm="39">
        <v>701</v>
      </c>
      <c r="D292" t="s">
        <v>333</v>
      </c>
      <c r="E292" t="s">
        <v>485</v>
      </c>
      <c r="F292" t="s">
        <v>461</v>
      </c>
      <c r="G292" t="s">
        <v>473</v>
      </c>
      <c r="H292">
        <v>2</v>
      </c>
      <c r="I292" t="s">
        <v>456</v>
      </c>
      <c r="J292" t="s">
        <v>463</v>
      </c>
      <c r="K292">
        <v>2</v>
      </c>
      <c r="L292" t="s">
        <v>486</v>
      </c>
      <c r="M292" t="s">
        <v>556</v>
      </c>
      <c r="N292" t="s">
        <v>450</v>
      </c>
      <c r="O292" t="s">
        <v>453</v>
      </c>
      <c r="P292" t="s">
        <v>158</v>
      </c>
      <c r="Q292">
        <v>0</v>
      </c>
      <c r="R292" t="s">
        <v>416</v>
      </c>
      <c r="S292">
        <v>8</v>
      </c>
      <c r="T292" t="s">
        <v>402</v>
      </c>
      <c r="U292" t="s">
        <v>492</v>
      </c>
      <c r="V292" t="s">
        <v>1181</v>
      </c>
      <c r="W292" t="s">
        <v>399</v>
      </c>
      <c r="X292" t="s">
        <v>401</v>
      </c>
      <c r="Y292" t="s">
        <v>2201</v>
      </c>
    </row>
    <row r="293" spans="2:25">
      <c r="B293" t="s">
        <v>2197</v>
      </c>
      <c r="C293" t="s" vm="39">
        <v>701</v>
      </c>
      <c r="D293" t="s">
        <v>333</v>
      </c>
      <c r="E293" t="s">
        <v>485</v>
      </c>
      <c r="F293" t="s">
        <v>461</v>
      </c>
      <c r="G293" t="s">
        <v>473</v>
      </c>
      <c r="H293">
        <v>2</v>
      </c>
      <c r="I293" t="s">
        <v>456</v>
      </c>
      <c r="J293" t="s">
        <v>463</v>
      </c>
      <c r="K293">
        <v>2</v>
      </c>
      <c r="L293" t="s">
        <v>486</v>
      </c>
      <c r="M293" t="s">
        <v>556</v>
      </c>
      <c r="N293" t="s">
        <v>450</v>
      </c>
      <c r="O293" t="s">
        <v>453</v>
      </c>
      <c r="P293" t="s">
        <v>158</v>
      </c>
      <c r="Q293">
        <v>0</v>
      </c>
      <c r="R293" t="s">
        <v>416</v>
      </c>
      <c r="S293">
        <v>0</v>
      </c>
      <c r="T293" t="s">
        <v>402</v>
      </c>
      <c r="U293" t="s">
        <v>492</v>
      </c>
      <c r="V293" t="s">
        <v>1181</v>
      </c>
      <c r="W293" t="s">
        <v>399</v>
      </c>
      <c r="X293" t="s">
        <v>401</v>
      </c>
      <c r="Y293" t="s">
        <v>2200</v>
      </c>
    </row>
    <row r="294" spans="2:25">
      <c r="B294" t="s">
        <v>2197</v>
      </c>
      <c r="C294" t="s" vm="39">
        <v>701</v>
      </c>
      <c r="D294" t="s">
        <v>102</v>
      </c>
      <c r="E294" t="s">
        <v>485</v>
      </c>
      <c r="F294" t="s">
        <v>461</v>
      </c>
      <c r="G294" t="s">
        <v>473</v>
      </c>
      <c r="H294">
        <v>2</v>
      </c>
      <c r="I294" t="s">
        <v>456</v>
      </c>
      <c r="J294" t="s">
        <v>463</v>
      </c>
      <c r="K294">
        <v>2</v>
      </c>
      <c r="L294" t="s">
        <v>486</v>
      </c>
      <c r="M294" t="s">
        <v>556</v>
      </c>
      <c r="N294" t="s">
        <v>450</v>
      </c>
      <c r="O294" t="s">
        <v>453</v>
      </c>
      <c r="P294" t="s">
        <v>158</v>
      </c>
      <c r="Q294">
        <v>0</v>
      </c>
      <c r="R294" t="s">
        <v>416</v>
      </c>
      <c r="S294">
        <v>0</v>
      </c>
      <c r="T294" t="s">
        <v>402</v>
      </c>
      <c r="U294" t="s">
        <v>492</v>
      </c>
      <c r="V294" t="s">
        <v>1181</v>
      </c>
      <c r="W294" t="s">
        <v>399</v>
      </c>
      <c r="X294" t="s">
        <v>401</v>
      </c>
      <c r="Y294" t="s">
        <v>2199</v>
      </c>
    </row>
    <row r="295" spans="2:25">
      <c r="B295" t="s">
        <v>2197</v>
      </c>
      <c r="C295" t="s" vm="39">
        <v>701</v>
      </c>
      <c r="D295" t="s">
        <v>100</v>
      </c>
      <c r="E295" t="s">
        <v>485</v>
      </c>
      <c r="F295" t="s">
        <v>461</v>
      </c>
      <c r="G295" t="s">
        <v>487</v>
      </c>
      <c r="H295" t="s">
        <v>123</v>
      </c>
      <c r="I295" t="s">
        <v>456</v>
      </c>
      <c r="J295" t="s">
        <v>463</v>
      </c>
      <c r="K295">
        <v>2</v>
      </c>
      <c r="L295" t="s">
        <v>486</v>
      </c>
      <c r="M295" t="s">
        <v>556</v>
      </c>
      <c r="N295" t="s">
        <v>450</v>
      </c>
      <c r="O295" t="s">
        <v>453</v>
      </c>
      <c r="P295" t="s">
        <v>158</v>
      </c>
      <c r="Q295">
        <v>0</v>
      </c>
      <c r="R295" t="s">
        <v>416</v>
      </c>
      <c r="S295">
        <v>0</v>
      </c>
      <c r="T295" t="s">
        <v>402</v>
      </c>
      <c r="U295" t="s">
        <v>492</v>
      </c>
      <c r="V295" t="s">
        <v>1181</v>
      </c>
      <c r="W295" t="s">
        <v>399</v>
      </c>
      <c r="X295" t="s">
        <v>401</v>
      </c>
      <c r="Y295" t="s">
        <v>2198</v>
      </c>
    </row>
    <row r="296" spans="2:25">
      <c r="B296" t="s">
        <v>2192</v>
      </c>
      <c r="C296" t="s" vm="39">
        <v>701</v>
      </c>
      <c r="D296" t="s">
        <v>100</v>
      </c>
      <c r="E296" t="s">
        <v>485</v>
      </c>
      <c r="F296" t="s">
        <v>461</v>
      </c>
      <c r="G296" t="s">
        <v>473</v>
      </c>
      <c r="H296">
        <v>1</v>
      </c>
      <c r="I296" t="s">
        <v>456</v>
      </c>
      <c r="J296" t="s">
        <v>463</v>
      </c>
      <c r="K296">
        <v>2</v>
      </c>
      <c r="L296" t="s">
        <v>486</v>
      </c>
      <c r="M296" t="s">
        <v>556</v>
      </c>
      <c r="N296" t="s">
        <v>450</v>
      </c>
      <c r="O296" t="s">
        <v>453</v>
      </c>
      <c r="P296" t="s">
        <v>158</v>
      </c>
      <c r="Q296">
        <v>0</v>
      </c>
      <c r="R296" t="s">
        <v>416</v>
      </c>
      <c r="S296">
        <v>0</v>
      </c>
      <c r="T296" t="s">
        <v>1198</v>
      </c>
      <c r="U296" t="s">
        <v>492</v>
      </c>
      <c r="V296" t="s">
        <v>1181</v>
      </c>
      <c r="W296" t="s">
        <v>477</v>
      </c>
      <c r="X296" t="s">
        <v>2129</v>
      </c>
      <c r="Y296" t="s">
        <v>2196</v>
      </c>
    </row>
    <row r="297" spans="2:25">
      <c r="B297" t="s">
        <v>2192</v>
      </c>
      <c r="C297" t="s" vm="39">
        <v>701</v>
      </c>
      <c r="D297" t="s">
        <v>100</v>
      </c>
      <c r="E297" t="s">
        <v>485</v>
      </c>
      <c r="F297" t="s">
        <v>217</v>
      </c>
      <c r="G297" t="s">
        <v>473</v>
      </c>
      <c r="H297">
        <v>1</v>
      </c>
      <c r="I297" t="s">
        <v>458</v>
      </c>
      <c r="J297" t="s">
        <v>462</v>
      </c>
      <c r="K297">
        <v>2</v>
      </c>
      <c r="L297" t="s">
        <v>486</v>
      </c>
      <c r="M297" t="s">
        <v>556</v>
      </c>
      <c r="N297" t="s">
        <v>450</v>
      </c>
      <c r="O297" t="s">
        <v>453</v>
      </c>
      <c r="P297" t="s">
        <v>158</v>
      </c>
      <c r="Q297">
        <v>8</v>
      </c>
      <c r="R297" t="s">
        <v>416</v>
      </c>
      <c r="S297">
        <v>8</v>
      </c>
      <c r="T297" t="s">
        <v>1485</v>
      </c>
      <c r="U297" t="s">
        <v>492</v>
      </c>
      <c r="V297" t="s">
        <v>1181</v>
      </c>
      <c r="W297" t="s">
        <v>399</v>
      </c>
      <c r="X297" t="s">
        <v>2131</v>
      </c>
      <c r="Y297" t="s">
        <v>2193</v>
      </c>
    </row>
    <row r="298" spans="2:25">
      <c r="B298" t="s">
        <v>2192</v>
      </c>
      <c r="C298" t="s" vm="39">
        <v>701</v>
      </c>
      <c r="D298" t="s">
        <v>100</v>
      </c>
      <c r="E298" t="s">
        <v>485</v>
      </c>
      <c r="F298" t="s">
        <v>217</v>
      </c>
      <c r="G298" t="s">
        <v>473</v>
      </c>
      <c r="H298">
        <v>1</v>
      </c>
      <c r="I298" t="s">
        <v>458</v>
      </c>
      <c r="J298" t="s">
        <v>462</v>
      </c>
      <c r="K298">
        <v>2</v>
      </c>
      <c r="L298" t="s">
        <v>486</v>
      </c>
      <c r="M298" t="s">
        <v>556</v>
      </c>
      <c r="N298" t="s">
        <v>450</v>
      </c>
      <c r="O298" t="s">
        <v>453</v>
      </c>
      <c r="P298" t="s">
        <v>158</v>
      </c>
      <c r="Q298">
        <v>8</v>
      </c>
      <c r="R298" t="s">
        <v>416</v>
      </c>
      <c r="S298">
        <v>8</v>
      </c>
      <c r="T298" t="s">
        <v>1485</v>
      </c>
      <c r="U298" t="s">
        <v>492</v>
      </c>
      <c r="V298" t="s">
        <v>1181</v>
      </c>
      <c r="W298" t="s">
        <v>399</v>
      </c>
      <c r="X298" t="s">
        <v>2131</v>
      </c>
      <c r="Y298" t="s">
        <v>2193</v>
      </c>
    </row>
    <row r="299" spans="2:25">
      <c r="B299" t="s">
        <v>2187</v>
      </c>
      <c r="C299" t="s" vm="39">
        <v>701</v>
      </c>
      <c r="D299" t="s">
        <v>100</v>
      </c>
      <c r="E299" t="s">
        <v>485</v>
      </c>
      <c r="F299" t="s">
        <v>461</v>
      </c>
      <c r="G299" t="s">
        <v>473</v>
      </c>
      <c r="H299">
        <v>1</v>
      </c>
      <c r="I299" t="s">
        <v>460</v>
      </c>
      <c r="J299" t="s">
        <v>462</v>
      </c>
      <c r="K299">
        <v>2</v>
      </c>
      <c r="L299" t="s">
        <v>486</v>
      </c>
      <c r="M299" t="s">
        <v>556</v>
      </c>
      <c r="N299" t="s">
        <v>450</v>
      </c>
      <c r="O299" t="s">
        <v>453</v>
      </c>
      <c r="P299" t="s">
        <v>158</v>
      </c>
      <c r="Q299">
        <v>0</v>
      </c>
      <c r="R299" t="s">
        <v>416</v>
      </c>
      <c r="S299">
        <v>0</v>
      </c>
      <c r="T299" t="s">
        <v>1485</v>
      </c>
      <c r="U299" t="s">
        <v>492</v>
      </c>
      <c r="V299" t="s">
        <v>1181</v>
      </c>
      <c r="W299" t="s">
        <v>477</v>
      </c>
      <c r="X299" t="s">
        <v>2129</v>
      </c>
      <c r="Y299" t="s">
        <v>2189</v>
      </c>
    </row>
    <row r="300" spans="2:25">
      <c r="B300" t="s">
        <v>2187</v>
      </c>
      <c r="C300" t="s" vm="39">
        <v>701</v>
      </c>
      <c r="D300" t="s">
        <v>100</v>
      </c>
      <c r="E300" t="s">
        <v>485</v>
      </c>
      <c r="F300" t="s">
        <v>461</v>
      </c>
      <c r="G300" t="s">
        <v>473</v>
      </c>
      <c r="H300">
        <v>1</v>
      </c>
      <c r="I300" t="s">
        <v>460</v>
      </c>
      <c r="J300" t="s">
        <v>462</v>
      </c>
      <c r="K300">
        <v>2</v>
      </c>
      <c r="L300" t="s">
        <v>486</v>
      </c>
      <c r="M300" t="s">
        <v>556</v>
      </c>
      <c r="N300" t="s">
        <v>496</v>
      </c>
      <c r="O300" t="s">
        <v>453</v>
      </c>
      <c r="P300" t="s">
        <v>158</v>
      </c>
      <c r="Q300">
        <v>0</v>
      </c>
      <c r="R300" t="s">
        <v>416</v>
      </c>
      <c r="S300">
        <v>0</v>
      </c>
      <c r="T300" t="s">
        <v>1485</v>
      </c>
      <c r="U300" t="s">
        <v>492</v>
      </c>
      <c r="V300" t="s">
        <v>1181</v>
      </c>
      <c r="W300" t="s">
        <v>477</v>
      </c>
      <c r="X300" t="s">
        <v>2129</v>
      </c>
      <c r="Y300" t="s">
        <v>2188</v>
      </c>
    </row>
    <row r="301" spans="2:25">
      <c r="B301" t="s">
        <v>2183</v>
      </c>
      <c r="C301" t="s" vm="39">
        <v>701</v>
      </c>
      <c r="D301" t="s">
        <v>100</v>
      </c>
      <c r="E301" t="s">
        <v>485</v>
      </c>
      <c r="F301" t="s">
        <v>461</v>
      </c>
      <c r="G301" t="s">
        <v>473</v>
      </c>
      <c r="H301">
        <v>1</v>
      </c>
      <c r="I301" t="s">
        <v>456</v>
      </c>
      <c r="J301" t="s">
        <v>463</v>
      </c>
      <c r="K301">
        <v>2</v>
      </c>
      <c r="L301" t="s">
        <v>488</v>
      </c>
      <c r="M301" t="s">
        <v>492</v>
      </c>
      <c r="N301" t="s">
        <v>496</v>
      </c>
      <c r="O301" t="s">
        <v>453</v>
      </c>
      <c r="P301" t="s">
        <v>158</v>
      </c>
      <c r="Q301">
        <v>0</v>
      </c>
      <c r="R301" t="s">
        <v>416</v>
      </c>
      <c r="S301">
        <v>0</v>
      </c>
      <c r="T301" t="s">
        <v>402</v>
      </c>
      <c r="U301" t="s">
        <v>492</v>
      </c>
      <c r="V301" t="s">
        <v>1181</v>
      </c>
      <c r="W301" t="s">
        <v>399</v>
      </c>
      <c r="X301" t="s">
        <v>2129</v>
      </c>
      <c r="Y301" t="s">
        <v>2186</v>
      </c>
    </row>
    <row r="302" spans="2:25">
      <c r="B302" t="s">
        <v>2183</v>
      </c>
      <c r="C302" t="s" vm="39">
        <v>701</v>
      </c>
      <c r="D302" t="s">
        <v>331</v>
      </c>
      <c r="E302" t="s">
        <v>485</v>
      </c>
      <c r="F302" t="s">
        <v>461</v>
      </c>
      <c r="G302" t="s">
        <v>473</v>
      </c>
      <c r="H302">
        <v>2</v>
      </c>
      <c r="I302" t="s">
        <v>458</v>
      </c>
      <c r="J302" t="s">
        <v>464</v>
      </c>
      <c r="K302">
        <v>2</v>
      </c>
      <c r="L302" t="s">
        <v>486</v>
      </c>
      <c r="M302" t="s">
        <v>1864</v>
      </c>
      <c r="N302" t="s">
        <v>450</v>
      </c>
      <c r="O302" t="s">
        <v>453</v>
      </c>
      <c r="P302" t="s">
        <v>158</v>
      </c>
      <c r="Q302">
        <v>0</v>
      </c>
      <c r="R302" t="s">
        <v>416</v>
      </c>
      <c r="S302">
        <v>0</v>
      </c>
      <c r="T302" t="s">
        <v>402</v>
      </c>
      <c r="U302" t="s">
        <v>492</v>
      </c>
      <c r="V302" t="s">
        <v>1181</v>
      </c>
      <c r="W302" t="s">
        <v>399</v>
      </c>
      <c r="X302" t="s">
        <v>401</v>
      </c>
      <c r="Y302" t="s">
        <v>2185</v>
      </c>
    </row>
    <row r="303" spans="2:25">
      <c r="B303" t="s">
        <v>2183</v>
      </c>
      <c r="C303" t="s" vm="39">
        <v>701</v>
      </c>
      <c r="D303" t="s">
        <v>331</v>
      </c>
      <c r="E303" t="s">
        <v>485</v>
      </c>
      <c r="F303">
        <v>0</v>
      </c>
      <c r="G303" t="s">
        <v>473</v>
      </c>
      <c r="H303" t="s">
        <v>123</v>
      </c>
      <c r="I303" t="s">
        <v>501</v>
      </c>
      <c r="J303" t="s">
        <v>464</v>
      </c>
      <c r="K303">
        <v>0</v>
      </c>
      <c r="L303" t="s">
        <v>486</v>
      </c>
      <c r="M303" t="s">
        <v>492</v>
      </c>
      <c r="N303" t="s">
        <v>450</v>
      </c>
      <c r="O303" t="s">
        <v>453</v>
      </c>
      <c r="P303" t="s">
        <v>158</v>
      </c>
      <c r="Q303">
        <v>0</v>
      </c>
      <c r="R303" t="s">
        <v>416</v>
      </c>
      <c r="S303">
        <v>0</v>
      </c>
      <c r="T303" t="s">
        <v>402</v>
      </c>
      <c r="U303" t="s">
        <v>492</v>
      </c>
      <c r="V303" t="s">
        <v>1181</v>
      </c>
      <c r="W303" t="s">
        <v>399</v>
      </c>
      <c r="X303" t="s">
        <v>401</v>
      </c>
      <c r="Y303" t="s">
        <v>2184</v>
      </c>
    </row>
    <row r="304" spans="2:25">
      <c r="B304" t="s">
        <v>2178</v>
      </c>
      <c r="C304" t="s" vm="39">
        <v>701</v>
      </c>
      <c r="D304" t="s">
        <v>100</v>
      </c>
      <c r="E304" t="s">
        <v>485</v>
      </c>
      <c r="F304" t="s">
        <v>461</v>
      </c>
      <c r="G304" t="s">
        <v>473</v>
      </c>
      <c r="H304">
        <v>1</v>
      </c>
      <c r="I304" t="s">
        <v>456</v>
      </c>
      <c r="J304" t="s">
        <v>463</v>
      </c>
      <c r="K304">
        <v>2</v>
      </c>
      <c r="L304" t="s">
        <v>486</v>
      </c>
      <c r="M304" t="s">
        <v>556</v>
      </c>
      <c r="N304" t="s">
        <v>450</v>
      </c>
      <c r="O304" t="s">
        <v>453</v>
      </c>
      <c r="P304" t="s">
        <v>158</v>
      </c>
      <c r="Q304">
        <v>0</v>
      </c>
      <c r="R304" t="s">
        <v>416</v>
      </c>
      <c r="S304">
        <v>0</v>
      </c>
      <c r="T304" t="s">
        <v>1516</v>
      </c>
      <c r="U304" t="s">
        <v>492</v>
      </c>
      <c r="V304" t="s">
        <v>1181</v>
      </c>
      <c r="W304" t="s">
        <v>399</v>
      </c>
      <c r="X304" t="s">
        <v>2129</v>
      </c>
      <c r="Y304" t="s">
        <v>2182</v>
      </c>
    </row>
    <row r="305" spans="2:25">
      <c r="B305" t="s">
        <v>2178</v>
      </c>
      <c r="C305" t="s" vm="39">
        <v>701</v>
      </c>
      <c r="D305" t="s">
        <v>100</v>
      </c>
      <c r="E305" t="s">
        <v>485</v>
      </c>
      <c r="F305" t="s">
        <v>461</v>
      </c>
      <c r="G305" t="s">
        <v>473</v>
      </c>
      <c r="H305">
        <v>1</v>
      </c>
      <c r="I305" t="s">
        <v>456</v>
      </c>
      <c r="J305" t="s">
        <v>463</v>
      </c>
      <c r="K305">
        <v>2</v>
      </c>
      <c r="L305" t="s">
        <v>486</v>
      </c>
      <c r="M305" t="s">
        <v>556</v>
      </c>
      <c r="N305" t="s">
        <v>450</v>
      </c>
      <c r="O305" t="s">
        <v>453</v>
      </c>
      <c r="P305" t="s">
        <v>158</v>
      </c>
      <c r="Q305">
        <v>0</v>
      </c>
      <c r="R305" t="s">
        <v>416</v>
      </c>
      <c r="S305">
        <v>0</v>
      </c>
      <c r="T305" t="s">
        <v>1516</v>
      </c>
      <c r="U305" t="s">
        <v>492</v>
      </c>
      <c r="V305" t="s">
        <v>1181</v>
      </c>
      <c r="W305" t="s">
        <v>399</v>
      </c>
      <c r="X305" t="s">
        <v>2129</v>
      </c>
      <c r="Y305" t="s">
        <v>2182</v>
      </c>
    </row>
    <row r="306" spans="2:25">
      <c r="B306" t="s">
        <v>2178</v>
      </c>
      <c r="C306" t="s" vm="39">
        <v>701</v>
      </c>
      <c r="D306" t="s">
        <v>100</v>
      </c>
      <c r="E306" t="s">
        <v>485</v>
      </c>
      <c r="F306" t="s">
        <v>461</v>
      </c>
      <c r="G306" t="s">
        <v>473</v>
      </c>
      <c r="H306">
        <v>1</v>
      </c>
      <c r="I306" t="s">
        <v>456</v>
      </c>
      <c r="J306" t="s">
        <v>463</v>
      </c>
      <c r="K306">
        <v>2</v>
      </c>
      <c r="L306" t="s">
        <v>486</v>
      </c>
      <c r="M306" t="s">
        <v>556</v>
      </c>
      <c r="N306" t="s">
        <v>450</v>
      </c>
      <c r="O306" t="s">
        <v>453</v>
      </c>
      <c r="P306" t="s">
        <v>158</v>
      </c>
      <c r="Q306">
        <v>6</v>
      </c>
      <c r="R306" t="s">
        <v>416</v>
      </c>
      <c r="S306">
        <v>0</v>
      </c>
      <c r="T306" t="s">
        <v>1516</v>
      </c>
      <c r="U306" t="s">
        <v>492</v>
      </c>
      <c r="V306" t="s">
        <v>1181</v>
      </c>
      <c r="W306" t="s">
        <v>399</v>
      </c>
      <c r="X306" t="s">
        <v>2129</v>
      </c>
      <c r="Y306" t="s">
        <v>2181</v>
      </c>
    </row>
    <row r="307" spans="2:25">
      <c r="B307" t="s">
        <v>2178</v>
      </c>
      <c r="C307" t="s" vm="39">
        <v>701</v>
      </c>
      <c r="D307" t="s">
        <v>102</v>
      </c>
      <c r="E307" t="s">
        <v>485</v>
      </c>
      <c r="F307" t="s">
        <v>217</v>
      </c>
      <c r="G307" t="s">
        <v>473</v>
      </c>
      <c r="H307">
        <v>2</v>
      </c>
      <c r="I307" t="s">
        <v>457</v>
      </c>
      <c r="J307" t="s">
        <v>464</v>
      </c>
      <c r="K307">
        <v>2</v>
      </c>
      <c r="L307" t="s">
        <v>486</v>
      </c>
      <c r="M307" t="s">
        <v>556</v>
      </c>
      <c r="N307" t="s">
        <v>450</v>
      </c>
      <c r="O307" t="s">
        <v>453</v>
      </c>
      <c r="P307" t="s">
        <v>158</v>
      </c>
      <c r="Q307">
        <v>6</v>
      </c>
      <c r="R307" t="s">
        <v>416</v>
      </c>
      <c r="S307">
        <v>0</v>
      </c>
      <c r="T307" t="s">
        <v>1516</v>
      </c>
      <c r="U307" t="s">
        <v>492</v>
      </c>
      <c r="V307" t="s">
        <v>1181</v>
      </c>
      <c r="W307" t="s">
        <v>399</v>
      </c>
      <c r="X307" t="s">
        <v>401</v>
      </c>
      <c r="Y307" t="s">
        <v>2179</v>
      </c>
    </row>
    <row r="308" spans="2:25">
      <c r="B308" t="s">
        <v>2173</v>
      </c>
      <c r="C308" t="s" vm="39">
        <v>701</v>
      </c>
      <c r="D308" t="s">
        <v>102</v>
      </c>
      <c r="E308" t="s">
        <v>485</v>
      </c>
      <c r="F308" t="s">
        <v>217</v>
      </c>
      <c r="G308" t="s">
        <v>473</v>
      </c>
      <c r="H308">
        <v>2</v>
      </c>
      <c r="I308" t="s">
        <v>457</v>
      </c>
      <c r="J308" t="s">
        <v>464</v>
      </c>
      <c r="K308">
        <v>2</v>
      </c>
      <c r="L308" t="s">
        <v>486</v>
      </c>
      <c r="M308" t="s">
        <v>556</v>
      </c>
      <c r="N308" t="s">
        <v>450</v>
      </c>
      <c r="O308" t="s">
        <v>453</v>
      </c>
      <c r="P308" t="s">
        <v>158</v>
      </c>
      <c r="Q308">
        <v>6</v>
      </c>
      <c r="R308" t="s">
        <v>416</v>
      </c>
      <c r="S308">
        <v>0</v>
      </c>
      <c r="T308" t="s">
        <v>1516</v>
      </c>
      <c r="U308" t="s">
        <v>492</v>
      </c>
      <c r="V308" t="s">
        <v>1181</v>
      </c>
      <c r="W308" t="s">
        <v>399</v>
      </c>
      <c r="X308" t="s">
        <v>401</v>
      </c>
      <c r="Y308" t="s">
        <v>2177</v>
      </c>
    </row>
    <row r="309" spans="2:25">
      <c r="B309" t="s">
        <v>2173</v>
      </c>
      <c r="C309" t="s" vm="39">
        <v>701</v>
      </c>
      <c r="D309" t="s">
        <v>102</v>
      </c>
      <c r="E309" t="s">
        <v>485</v>
      </c>
      <c r="F309" t="s">
        <v>217</v>
      </c>
      <c r="G309" t="s">
        <v>473</v>
      </c>
      <c r="H309">
        <v>2</v>
      </c>
      <c r="I309" t="s">
        <v>457</v>
      </c>
      <c r="J309" t="s">
        <v>464</v>
      </c>
      <c r="K309">
        <v>2</v>
      </c>
      <c r="L309" t="s">
        <v>486</v>
      </c>
      <c r="M309" t="s">
        <v>556</v>
      </c>
      <c r="N309" t="s">
        <v>450</v>
      </c>
      <c r="O309" t="s">
        <v>453</v>
      </c>
      <c r="P309" t="s">
        <v>158</v>
      </c>
      <c r="Q309">
        <v>0</v>
      </c>
      <c r="R309" t="s">
        <v>416</v>
      </c>
      <c r="S309">
        <v>0</v>
      </c>
      <c r="T309" t="s">
        <v>1516</v>
      </c>
      <c r="U309" t="s">
        <v>492</v>
      </c>
      <c r="V309" t="s">
        <v>1181</v>
      </c>
      <c r="W309" t="s">
        <v>399</v>
      </c>
      <c r="X309" t="s">
        <v>401</v>
      </c>
      <c r="Y309" t="s">
        <v>2176</v>
      </c>
    </row>
    <row r="310" spans="2:25">
      <c r="B310" t="s">
        <v>2173</v>
      </c>
      <c r="C310" t="s" vm="39">
        <v>701</v>
      </c>
      <c r="D310" t="s">
        <v>102</v>
      </c>
      <c r="E310" t="s">
        <v>485</v>
      </c>
      <c r="F310" t="s">
        <v>217</v>
      </c>
      <c r="G310" t="s">
        <v>473</v>
      </c>
      <c r="H310">
        <v>2</v>
      </c>
      <c r="I310" t="s">
        <v>457</v>
      </c>
      <c r="J310" t="s">
        <v>464</v>
      </c>
      <c r="K310">
        <v>2</v>
      </c>
      <c r="L310" t="s">
        <v>486</v>
      </c>
      <c r="M310" t="s">
        <v>556</v>
      </c>
      <c r="N310" t="s">
        <v>450</v>
      </c>
      <c r="O310" t="s">
        <v>453</v>
      </c>
      <c r="P310" t="s">
        <v>158</v>
      </c>
      <c r="Q310">
        <v>0</v>
      </c>
      <c r="R310" t="s">
        <v>416</v>
      </c>
      <c r="S310">
        <v>8</v>
      </c>
      <c r="T310" t="s">
        <v>1516</v>
      </c>
      <c r="U310" t="s">
        <v>492</v>
      </c>
      <c r="V310" t="s">
        <v>1181</v>
      </c>
      <c r="W310" t="s">
        <v>399</v>
      </c>
      <c r="X310" t="s">
        <v>401</v>
      </c>
      <c r="Y310" t="s">
        <v>2175</v>
      </c>
    </row>
    <row r="311" spans="2:25">
      <c r="B311" t="s">
        <v>2173</v>
      </c>
      <c r="C311" t="s" vm="39">
        <v>701</v>
      </c>
      <c r="D311" t="s">
        <v>102</v>
      </c>
      <c r="E311" t="s">
        <v>485</v>
      </c>
      <c r="F311" t="s">
        <v>217</v>
      </c>
      <c r="G311" t="s">
        <v>473</v>
      </c>
      <c r="H311">
        <v>2</v>
      </c>
      <c r="I311" t="s">
        <v>457</v>
      </c>
      <c r="J311" t="s">
        <v>464</v>
      </c>
      <c r="K311">
        <v>2</v>
      </c>
      <c r="L311" t="s">
        <v>486</v>
      </c>
      <c r="M311" t="s">
        <v>556</v>
      </c>
      <c r="N311" t="s">
        <v>450</v>
      </c>
      <c r="O311" t="s">
        <v>453</v>
      </c>
      <c r="P311" t="s">
        <v>157</v>
      </c>
      <c r="Q311">
        <v>6</v>
      </c>
      <c r="R311" t="s">
        <v>416</v>
      </c>
      <c r="S311">
        <v>0</v>
      </c>
      <c r="T311" t="s">
        <v>1516</v>
      </c>
      <c r="U311" t="s">
        <v>492</v>
      </c>
      <c r="V311" t="s">
        <v>1181</v>
      </c>
      <c r="W311" t="s">
        <v>399</v>
      </c>
      <c r="X311" t="s">
        <v>401</v>
      </c>
      <c r="Y311" t="s">
        <v>2174</v>
      </c>
    </row>
    <row r="312" spans="2:25">
      <c r="B312" t="s">
        <v>2167</v>
      </c>
      <c r="C312" t="s" vm="39">
        <v>701</v>
      </c>
      <c r="D312" t="s">
        <v>100</v>
      </c>
      <c r="E312" t="s">
        <v>485</v>
      </c>
      <c r="F312" t="s">
        <v>461</v>
      </c>
      <c r="G312" t="s">
        <v>487</v>
      </c>
      <c r="H312" t="s">
        <v>123</v>
      </c>
      <c r="I312" t="s">
        <v>460</v>
      </c>
      <c r="J312" t="s">
        <v>463</v>
      </c>
      <c r="K312">
        <v>2</v>
      </c>
      <c r="L312" t="s">
        <v>486</v>
      </c>
      <c r="M312" t="s">
        <v>556</v>
      </c>
      <c r="N312" t="s">
        <v>450</v>
      </c>
      <c r="O312" t="s">
        <v>453</v>
      </c>
      <c r="P312" t="s">
        <v>158</v>
      </c>
      <c r="Q312">
        <v>8</v>
      </c>
      <c r="R312" t="s">
        <v>416</v>
      </c>
      <c r="S312">
        <v>8</v>
      </c>
      <c r="T312" t="s">
        <v>1516</v>
      </c>
      <c r="U312" t="s">
        <v>492</v>
      </c>
      <c r="V312" t="s">
        <v>1181</v>
      </c>
      <c r="W312" t="s">
        <v>399</v>
      </c>
      <c r="X312" t="s">
        <v>2129</v>
      </c>
      <c r="Y312" t="s">
        <v>2172</v>
      </c>
    </row>
    <row r="313" spans="2:25">
      <c r="B313" t="s">
        <v>2167</v>
      </c>
      <c r="C313" t="s" vm="39">
        <v>701</v>
      </c>
      <c r="D313" t="s">
        <v>100</v>
      </c>
      <c r="E313" t="s">
        <v>485</v>
      </c>
      <c r="F313" t="s">
        <v>461</v>
      </c>
      <c r="G313" t="s">
        <v>487</v>
      </c>
      <c r="H313" t="s">
        <v>123</v>
      </c>
      <c r="I313" t="s">
        <v>460</v>
      </c>
      <c r="J313" t="s">
        <v>463</v>
      </c>
      <c r="K313">
        <v>2</v>
      </c>
      <c r="L313" t="s">
        <v>486</v>
      </c>
      <c r="M313" t="s">
        <v>556</v>
      </c>
      <c r="N313" t="s">
        <v>450</v>
      </c>
      <c r="O313" t="s">
        <v>453</v>
      </c>
      <c r="P313" t="s">
        <v>421</v>
      </c>
      <c r="Q313">
        <v>0</v>
      </c>
      <c r="R313" t="s">
        <v>159</v>
      </c>
      <c r="S313">
        <v>0</v>
      </c>
      <c r="T313" t="s">
        <v>1516</v>
      </c>
      <c r="U313" t="s">
        <v>492</v>
      </c>
      <c r="V313" t="s">
        <v>1181</v>
      </c>
      <c r="W313" t="s">
        <v>399</v>
      </c>
      <c r="X313" t="s">
        <v>2129</v>
      </c>
      <c r="Y313" t="s">
        <v>2171</v>
      </c>
    </row>
    <row r="314" spans="2:25">
      <c r="B314" t="s">
        <v>2167</v>
      </c>
      <c r="C314" t="s" vm="39">
        <v>701</v>
      </c>
      <c r="D314" t="s">
        <v>100</v>
      </c>
      <c r="E314" t="s">
        <v>485</v>
      </c>
      <c r="F314" t="s">
        <v>461</v>
      </c>
      <c r="G314" t="s">
        <v>487</v>
      </c>
      <c r="H314" t="s">
        <v>123</v>
      </c>
      <c r="I314" t="s">
        <v>456</v>
      </c>
      <c r="J314" t="s">
        <v>463</v>
      </c>
      <c r="K314">
        <v>2</v>
      </c>
      <c r="L314" t="s">
        <v>486</v>
      </c>
      <c r="M314" t="s">
        <v>556</v>
      </c>
      <c r="N314" t="s">
        <v>450</v>
      </c>
      <c r="O314" t="s">
        <v>453</v>
      </c>
      <c r="P314" t="s">
        <v>421</v>
      </c>
      <c r="Q314">
        <v>0</v>
      </c>
      <c r="R314" t="s">
        <v>159</v>
      </c>
      <c r="S314">
        <v>0</v>
      </c>
      <c r="T314" t="s">
        <v>1485</v>
      </c>
      <c r="U314" t="s">
        <v>492</v>
      </c>
      <c r="V314" t="s">
        <v>1181</v>
      </c>
      <c r="W314" t="s">
        <v>399</v>
      </c>
      <c r="X314" t="s">
        <v>2129</v>
      </c>
      <c r="Y314" t="s">
        <v>2170</v>
      </c>
    </row>
    <row r="315" spans="2:25">
      <c r="B315" t="s">
        <v>2167</v>
      </c>
      <c r="C315" t="s" vm="39">
        <v>701</v>
      </c>
      <c r="D315" t="s">
        <v>100</v>
      </c>
      <c r="E315" t="s">
        <v>485</v>
      </c>
      <c r="F315" t="s">
        <v>461</v>
      </c>
      <c r="G315" t="s">
        <v>487</v>
      </c>
      <c r="H315" t="s">
        <v>123</v>
      </c>
      <c r="I315" t="s">
        <v>458</v>
      </c>
      <c r="J315" t="s">
        <v>463</v>
      </c>
      <c r="K315">
        <v>2</v>
      </c>
      <c r="L315" t="s">
        <v>486</v>
      </c>
      <c r="M315" t="s">
        <v>556</v>
      </c>
      <c r="N315" t="s">
        <v>450</v>
      </c>
      <c r="O315" t="s">
        <v>453</v>
      </c>
      <c r="P315" t="s">
        <v>158</v>
      </c>
      <c r="Q315">
        <v>8</v>
      </c>
      <c r="R315" t="s">
        <v>1494</v>
      </c>
      <c r="S315">
        <v>8</v>
      </c>
      <c r="T315" t="s">
        <v>1516</v>
      </c>
      <c r="U315" t="s">
        <v>492</v>
      </c>
      <c r="V315" t="s">
        <v>1181</v>
      </c>
      <c r="W315" t="s">
        <v>399</v>
      </c>
      <c r="X315" t="s">
        <v>2129</v>
      </c>
      <c r="Y315" t="s">
        <v>2168</v>
      </c>
    </row>
    <row r="316" spans="2:25">
      <c r="B316" t="s">
        <v>2147</v>
      </c>
      <c r="C316" t="s" vm="39">
        <v>701</v>
      </c>
      <c r="D316" t="s">
        <v>100</v>
      </c>
      <c r="E316" t="s">
        <v>485</v>
      </c>
      <c r="F316" t="s">
        <v>461</v>
      </c>
      <c r="G316" t="s">
        <v>473</v>
      </c>
      <c r="H316">
        <v>1</v>
      </c>
      <c r="I316" t="s">
        <v>458</v>
      </c>
      <c r="J316" t="s">
        <v>462</v>
      </c>
      <c r="K316">
        <v>2</v>
      </c>
      <c r="L316" t="s">
        <v>486</v>
      </c>
      <c r="M316" t="s">
        <v>1762</v>
      </c>
      <c r="N316" t="s">
        <v>450</v>
      </c>
      <c r="O316" t="s">
        <v>453</v>
      </c>
      <c r="P316" t="s">
        <v>157</v>
      </c>
      <c r="Q316">
        <v>8</v>
      </c>
      <c r="R316" t="s">
        <v>416</v>
      </c>
      <c r="S316">
        <v>8</v>
      </c>
      <c r="T316" t="s">
        <v>1347</v>
      </c>
      <c r="U316" t="s">
        <v>492</v>
      </c>
      <c r="V316" t="s">
        <v>1181</v>
      </c>
      <c r="W316" t="s">
        <v>399</v>
      </c>
      <c r="X316" t="s">
        <v>2130</v>
      </c>
      <c r="Y316" t="s">
        <v>2166</v>
      </c>
    </row>
    <row r="317" spans="2:25">
      <c r="B317" t="s">
        <v>2147</v>
      </c>
      <c r="C317" t="s" vm="39">
        <v>701</v>
      </c>
      <c r="D317" t="s">
        <v>100</v>
      </c>
      <c r="E317" t="s">
        <v>485</v>
      </c>
      <c r="F317" t="s">
        <v>217</v>
      </c>
      <c r="G317" t="s">
        <v>473</v>
      </c>
      <c r="H317">
        <v>1</v>
      </c>
      <c r="I317" t="s">
        <v>456</v>
      </c>
      <c r="J317" t="s">
        <v>464</v>
      </c>
      <c r="K317">
        <v>2</v>
      </c>
      <c r="L317" t="s">
        <v>486</v>
      </c>
      <c r="M317" t="s">
        <v>1022</v>
      </c>
      <c r="N317" t="s">
        <v>450</v>
      </c>
      <c r="O317" t="s">
        <v>453</v>
      </c>
      <c r="P317" t="s">
        <v>157</v>
      </c>
      <c r="Q317">
        <v>8</v>
      </c>
      <c r="R317" t="s">
        <v>416</v>
      </c>
      <c r="S317">
        <v>8</v>
      </c>
      <c r="T317" t="s">
        <v>1516</v>
      </c>
      <c r="U317" t="s">
        <v>492</v>
      </c>
      <c r="V317" t="s">
        <v>1181</v>
      </c>
      <c r="W317" t="s">
        <v>399</v>
      </c>
      <c r="X317" t="s">
        <v>2131</v>
      </c>
      <c r="Y317" t="s">
        <v>2165</v>
      </c>
    </row>
    <row r="318" spans="2:25">
      <c r="B318" t="s">
        <v>2147</v>
      </c>
      <c r="C318" t="s" vm="39">
        <v>701</v>
      </c>
      <c r="D318" t="s">
        <v>100</v>
      </c>
      <c r="E318" t="s">
        <v>485</v>
      </c>
      <c r="F318" t="s">
        <v>461</v>
      </c>
      <c r="G318" t="s">
        <v>473</v>
      </c>
      <c r="H318">
        <v>1</v>
      </c>
      <c r="I318" t="s">
        <v>456</v>
      </c>
      <c r="J318" t="s">
        <v>463</v>
      </c>
      <c r="K318">
        <v>2</v>
      </c>
      <c r="L318" t="s">
        <v>486</v>
      </c>
      <c r="M318" t="s">
        <v>556</v>
      </c>
      <c r="N318" t="s">
        <v>450</v>
      </c>
      <c r="O318" t="s">
        <v>453</v>
      </c>
      <c r="P318" t="s">
        <v>421</v>
      </c>
      <c r="Q318">
        <v>0</v>
      </c>
      <c r="R318" t="s">
        <v>159</v>
      </c>
      <c r="S318">
        <v>0</v>
      </c>
      <c r="T318" t="s">
        <v>1516</v>
      </c>
      <c r="U318" t="s">
        <v>492</v>
      </c>
      <c r="V318" t="s">
        <v>1181</v>
      </c>
      <c r="W318" t="s">
        <v>399</v>
      </c>
      <c r="X318" t="s">
        <v>2129</v>
      </c>
      <c r="Y318" t="s">
        <v>2164</v>
      </c>
    </row>
    <row r="319" spans="2:25">
      <c r="B319" t="s">
        <v>2147</v>
      </c>
      <c r="C319" t="s" vm="39">
        <v>701</v>
      </c>
      <c r="D319" t="s">
        <v>100</v>
      </c>
      <c r="E319" t="s">
        <v>485</v>
      </c>
      <c r="F319" t="s">
        <v>217</v>
      </c>
      <c r="G319" t="s">
        <v>473</v>
      </c>
      <c r="H319">
        <v>1</v>
      </c>
      <c r="I319" t="s">
        <v>458</v>
      </c>
      <c r="J319" t="s">
        <v>462</v>
      </c>
      <c r="K319">
        <v>2</v>
      </c>
      <c r="L319" t="s">
        <v>486</v>
      </c>
      <c r="M319" t="s">
        <v>1022</v>
      </c>
      <c r="N319" t="s">
        <v>450</v>
      </c>
      <c r="O319" t="s">
        <v>453</v>
      </c>
      <c r="P319" t="s">
        <v>157</v>
      </c>
      <c r="Q319">
        <v>8</v>
      </c>
      <c r="R319" t="s">
        <v>419</v>
      </c>
      <c r="S319">
        <v>8</v>
      </c>
      <c r="T319" t="s">
        <v>1516</v>
      </c>
      <c r="U319" t="s">
        <v>492</v>
      </c>
      <c r="V319" t="s">
        <v>1181</v>
      </c>
      <c r="W319" t="s">
        <v>477</v>
      </c>
      <c r="X319" t="s">
        <v>2131</v>
      </c>
      <c r="Y319" t="s">
        <v>2163</v>
      </c>
    </row>
    <row r="320" spans="2:25">
      <c r="B320" t="s">
        <v>2147</v>
      </c>
      <c r="C320" t="s" vm="39">
        <v>701</v>
      </c>
      <c r="D320" t="s">
        <v>100</v>
      </c>
      <c r="E320" t="s">
        <v>485</v>
      </c>
      <c r="F320" t="s">
        <v>461</v>
      </c>
      <c r="G320" t="s">
        <v>473</v>
      </c>
      <c r="H320">
        <v>1</v>
      </c>
      <c r="I320" t="s">
        <v>460</v>
      </c>
      <c r="J320" t="s">
        <v>462</v>
      </c>
      <c r="K320">
        <v>2</v>
      </c>
      <c r="L320" t="s">
        <v>486</v>
      </c>
      <c r="M320" t="s">
        <v>556</v>
      </c>
      <c r="N320" t="s">
        <v>450</v>
      </c>
      <c r="O320" t="s">
        <v>453</v>
      </c>
      <c r="P320" t="s">
        <v>421</v>
      </c>
      <c r="Q320">
        <v>8</v>
      </c>
      <c r="R320" t="s">
        <v>159</v>
      </c>
      <c r="S320">
        <v>8</v>
      </c>
      <c r="T320" t="s">
        <v>1485</v>
      </c>
      <c r="U320" t="s">
        <v>492</v>
      </c>
      <c r="V320" t="s">
        <v>1181</v>
      </c>
      <c r="W320" t="s">
        <v>477</v>
      </c>
      <c r="X320" t="s">
        <v>2129</v>
      </c>
      <c r="Y320" t="s">
        <v>2162</v>
      </c>
    </row>
    <row r="321" spans="2:25">
      <c r="B321" t="s">
        <v>2147</v>
      </c>
      <c r="C321" t="s" vm="39">
        <v>701</v>
      </c>
      <c r="D321" t="s">
        <v>100</v>
      </c>
      <c r="E321" t="s">
        <v>485</v>
      </c>
      <c r="F321" t="s">
        <v>461</v>
      </c>
      <c r="G321" t="s">
        <v>473</v>
      </c>
      <c r="H321">
        <v>1</v>
      </c>
      <c r="I321" t="s">
        <v>458</v>
      </c>
      <c r="J321" t="s">
        <v>462</v>
      </c>
      <c r="K321">
        <v>2</v>
      </c>
      <c r="L321" t="s">
        <v>486</v>
      </c>
      <c r="M321" t="s">
        <v>556</v>
      </c>
      <c r="N321" t="s">
        <v>450</v>
      </c>
      <c r="O321" t="s">
        <v>453</v>
      </c>
      <c r="P321" t="s">
        <v>421</v>
      </c>
      <c r="Q321">
        <v>8</v>
      </c>
      <c r="R321" t="s">
        <v>159</v>
      </c>
      <c r="S321">
        <v>8</v>
      </c>
      <c r="T321" t="s">
        <v>1516</v>
      </c>
      <c r="U321" t="s">
        <v>492</v>
      </c>
      <c r="V321" t="s">
        <v>1181</v>
      </c>
      <c r="W321" t="s">
        <v>477</v>
      </c>
      <c r="X321" t="s">
        <v>2129</v>
      </c>
      <c r="Y321" t="s">
        <v>2160</v>
      </c>
    </row>
    <row r="322" spans="2:25">
      <c r="B322" t="s">
        <v>2147</v>
      </c>
      <c r="C322" t="s" vm="39">
        <v>701</v>
      </c>
      <c r="D322" t="s">
        <v>100</v>
      </c>
      <c r="E322" t="s">
        <v>485</v>
      </c>
      <c r="F322" t="s">
        <v>461</v>
      </c>
      <c r="G322" t="s">
        <v>473</v>
      </c>
      <c r="H322">
        <v>1</v>
      </c>
      <c r="I322" t="s">
        <v>458</v>
      </c>
      <c r="J322" t="s">
        <v>462</v>
      </c>
      <c r="K322">
        <v>2</v>
      </c>
      <c r="L322" t="s">
        <v>486</v>
      </c>
      <c r="M322" t="s">
        <v>556</v>
      </c>
      <c r="N322" t="s">
        <v>450</v>
      </c>
      <c r="O322" t="s">
        <v>453</v>
      </c>
      <c r="P322" t="s">
        <v>158</v>
      </c>
      <c r="Q322">
        <v>8</v>
      </c>
      <c r="R322" t="s">
        <v>416</v>
      </c>
      <c r="S322">
        <v>8</v>
      </c>
      <c r="T322" t="s">
        <v>1516</v>
      </c>
      <c r="U322" t="s">
        <v>492</v>
      </c>
      <c r="V322" t="s">
        <v>1181</v>
      </c>
      <c r="W322" t="s">
        <v>477</v>
      </c>
      <c r="X322" t="s">
        <v>2129</v>
      </c>
      <c r="Y322" t="s">
        <v>2159</v>
      </c>
    </row>
    <row r="323" spans="2:25">
      <c r="B323" t="s">
        <v>2147</v>
      </c>
      <c r="C323" t="s" vm="39">
        <v>701</v>
      </c>
      <c r="D323" t="s">
        <v>333</v>
      </c>
      <c r="E323" t="s">
        <v>485</v>
      </c>
      <c r="F323" t="s">
        <v>217</v>
      </c>
      <c r="G323" t="s">
        <v>473</v>
      </c>
      <c r="H323">
        <v>2</v>
      </c>
      <c r="I323" t="s">
        <v>458</v>
      </c>
      <c r="J323" t="s">
        <v>464</v>
      </c>
      <c r="K323">
        <v>2</v>
      </c>
      <c r="L323" t="s">
        <v>486</v>
      </c>
      <c r="M323" t="s">
        <v>556</v>
      </c>
      <c r="N323" t="s">
        <v>450</v>
      </c>
      <c r="O323" t="s">
        <v>453</v>
      </c>
      <c r="P323" t="s">
        <v>421</v>
      </c>
      <c r="Q323">
        <v>0</v>
      </c>
      <c r="R323" t="s">
        <v>159</v>
      </c>
      <c r="S323">
        <v>0</v>
      </c>
      <c r="T323" t="s">
        <v>1485</v>
      </c>
      <c r="U323" t="s">
        <v>492</v>
      </c>
      <c r="V323" t="s">
        <v>1181</v>
      </c>
      <c r="W323" t="s">
        <v>477</v>
      </c>
      <c r="X323" t="s">
        <v>401</v>
      </c>
      <c r="Y323" t="s">
        <v>2158</v>
      </c>
    </row>
    <row r="324" spans="2:25">
      <c r="B324" t="s">
        <v>2147</v>
      </c>
      <c r="C324" t="s" vm="39">
        <v>701</v>
      </c>
      <c r="D324" t="s">
        <v>102</v>
      </c>
      <c r="E324" t="s">
        <v>485</v>
      </c>
      <c r="F324" t="s">
        <v>217</v>
      </c>
      <c r="G324" t="s">
        <v>473</v>
      </c>
      <c r="H324">
        <v>2</v>
      </c>
      <c r="I324" t="s">
        <v>458</v>
      </c>
      <c r="J324" t="s">
        <v>464</v>
      </c>
      <c r="K324">
        <v>2</v>
      </c>
      <c r="L324" t="s">
        <v>486</v>
      </c>
      <c r="M324" t="s">
        <v>556</v>
      </c>
      <c r="N324" t="s">
        <v>450</v>
      </c>
      <c r="O324" t="s">
        <v>453</v>
      </c>
      <c r="P324" t="s">
        <v>421</v>
      </c>
      <c r="Q324">
        <v>0</v>
      </c>
      <c r="R324" t="s">
        <v>159</v>
      </c>
      <c r="S324">
        <v>0</v>
      </c>
      <c r="T324" t="s">
        <v>1485</v>
      </c>
      <c r="U324" t="s">
        <v>492</v>
      </c>
      <c r="V324" t="s">
        <v>1181</v>
      </c>
      <c r="W324" t="s">
        <v>477</v>
      </c>
      <c r="X324" t="s">
        <v>401</v>
      </c>
      <c r="Y324" t="s">
        <v>2157</v>
      </c>
    </row>
    <row r="325" spans="2:25">
      <c r="B325" t="s">
        <v>2147</v>
      </c>
      <c r="C325" t="s" vm="39">
        <v>701</v>
      </c>
      <c r="D325" t="s">
        <v>100</v>
      </c>
      <c r="E325" t="s">
        <v>485</v>
      </c>
      <c r="F325" t="s">
        <v>461</v>
      </c>
      <c r="G325" t="s">
        <v>487</v>
      </c>
      <c r="H325" t="s">
        <v>123</v>
      </c>
      <c r="I325" t="s">
        <v>458</v>
      </c>
      <c r="J325" t="s">
        <v>463</v>
      </c>
      <c r="K325">
        <v>2</v>
      </c>
      <c r="L325" t="s">
        <v>486</v>
      </c>
      <c r="M325" t="s">
        <v>556</v>
      </c>
      <c r="N325" t="s">
        <v>450</v>
      </c>
      <c r="O325" t="s">
        <v>453</v>
      </c>
      <c r="P325" t="s">
        <v>157</v>
      </c>
      <c r="Q325">
        <v>8</v>
      </c>
      <c r="R325" t="s">
        <v>416</v>
      </c>
      <c r="S325">
        <v>8</v>
      </c>
      <c r="T325" t="s">
        <v>1485</v>
      </c>
      <c r="U325" t="s">
        <v>492</v>
      </c>
      <c r="V325" t="s">
        <v>1181</v>
      </c>
      <c r="W325" t="s">
        <v>399</v>
      </c>
      <c r="X325" t="s">
        <v>2129</v>
      </c>
      <c r="Y325" t="s">
        <v>2156</v>
      </c>
    </row>
    <row r="326" spans="2:25">
      <c r="B326" t="s">
        <v>2147</v>
      </c>
      <c r="C326" t="s" vm="39">
        <v>701</v>
      </c>
      <c r="D326" t="s">
        <v>333</v>
      </c>
      <c r="E326" t="s">
        <v>485</v>
      </c>
      <c r="F326" t="s">
        <v>2127</v>
      </c>
      <c r="G326" t="s">
        <v>473</v>
      </c>
      <c r="H326">
        <v>2</v>
      </c>
      <c r="I326" t="s">
        <v>458</v>
      </c>
      <c r="J326" t="s">
        <v>462</v>
      </c>
      <c r="K326">
        <v>2</v>
      </c>
      <c r="L326" t="s">
        <v>486</v>
      </c>
      <c r="M326" t="s">
        <v>1022</v>
      </c>
      <c r="N326" t="s">
        <v>450</v>
      </c>
      <c r="O326" t="s">
        <v>453</v>
      </c>
      <c r="P326" t="s">
        <v>421</v>
      </c>
      <c r="Q326">
        <v>0</v>
      </c>
      <c r="R326" t="s">
        <v>159</v>
      </c>
      <c r="S326">
        <v>0</v>
      </c>
      <c r="T326" t="s">
        <v>1485</v>
      </c>
      <c r="U326" t="s">
        <v>492</v>
      </c>
      <c r="V326" t="s">
        <v>1181</v>
      </c>
      <c r="W326" t="s">
        <v>399</v>
      </c>
      <c r="X326" t="s">
        <v>401</v>
      </c>
      <c r="Y326" t="s">
        <v>2155</v>
      </c>
    </row>
    <row r="327" spans="2:25">
      <c r="B327" t="s">
        <v>2147</v>
      </c>
      <c r="C327" t="s" vm="39">
        <v>701</v>
      </c>
      <c r="D327" t="s">
        <v>100</v>
      </c>
      <c r="E327" t="s">
        <v>485</v>
      </c>
      <c r="F327" t="s">
        <v>461</v>
      </c>
      <c r="G327" t="s">
        <v>473</v>
      </c>
      <c r="H327">
        <v>1</v>
      </c>
      <c r="I327" t="s">
        <v>458</v>
      </c>
      <c r="J327" t="s">
        <v>463</v>
      </c>
      <c r="K327">
        <v>2</v>
      </c>
      <c r="L327" t="s">
        <v>486</v>
      </c>
      <c r="M327" t="s">
        <v>556</v>
      </c>
      <c r="N327" t="s">
        <v>450</v>
      </c>
      <c r="O327" t="s">
        <v>453</v>
      </c>
      <c r="P327" t="s">
        <v>421</v>
      </c>
      <c r="Q327">
        <v>0</v>
      </c>
      <c r="R327" t="s">
        <v>159</v>
      </c>
      <c r="S327">
        <v>0</v>
      </c>
      <c r="T327" t="s">
        <v>1516</v>
      </c>
      <c r="U327" t="s">
        <v>492</v>
      </c>
      <c r="V327" t="s">
        <v>1181</v>
      </c>
      <c r="W327" t="s">
        <v>399</v>
      </c>
      <c r="X327" t="s">
        <v>2129</v>
      </c>
      <c r="Y327" t="s">
        <v>2154</v>
      </c>
    </row>
    <row r="328" spans="2:25">
      <c r="B328" t="s">
        <v>2147</v>
      </c>
      <c r="C328" t="s" vm="39">
        <v>701</v>
      </c>
      <c r="D328" t="s">
        <v>100</v>
      </c>
      <c r="E328" t="s">
        <v>485</v>
      </c>
      <c r="F328" t="s">
        <v>461</v>
      </c>
      <c r="G328" t="s">
        <v>473</v>
      </c>
      <c r="H328">
        <v>1</v>
      </c>
      <c r="I328" t="s">
        <v>456</v>
      </c>
      <c r="J328" t="s">
        <v>463</v>
      </c>
      <c r="K328">
        <v>2</v>
      </c>
      <c r="L328" t="s">
        <v>486</v>
      </c>
      <c r="M328" t="s">
        <v>556</v>
      </c>
      <c r="N328" t="s">
        <v>450</v>
      </c>
      <c r="O328" t="s">
        <v>453</v>
      </c>
      <c r="P328" t="s">
        <v>421</v>
      </c>
      <c r="Q328">
        <v>0</v>
      </c>
      <c r="R328" t="s">
        <v>159</v>
      </c>
      <c r="S328">
        <v>0</v>
      </c>
      <c r="T328" t="s">
        <v>1516</v>
      </c>
      <c r="U328" t="s">
        <v>492</v>
      </c>
      <c r="V328" t="s">
        <v>1181</v>
      </c>
      <c r="W328" t="s">
        <v>399</v>
      </c>
      <c r="X328" t="s">
        <v>2129</v>
      </c>
      <c r="Y328" t="s">
        <v>2153</v>
      </c>
    </row>
    <row r="329" spans="2:25">
      <c r="B329" t="s">
        <v>2147</v>
      </c>
      <c r="C329" t="s" vm="39">
        <v>701</v>
      </c>
      <c r="D329" t="s">
        <v>100</v>
      </c>
      <c r="E329" t="s">
        <v>485</v>
      </c>
      <c r="F329" t="s">
        <v>461</v>
      </c>
      <c r="G329" t="s">
        <v>473</v>
      </c>
      <c r="H329">
        <v>1</v>
      </c>
      <c r="I329" t="s">
        <v>456</v>
      </c>
      <c r="J329" t="s">
        <v>464</v>
      </c>
      <c r="K329">
        <v>2</v>
      </c>
      <c r="L329" t="s">
        <v>486</v>
      </c>
      <c r="M329" t="s">
        <v>556</v>
      </c>
      <c r="N329" t="s">
        <v>450</v>
      </c>
      <c r="O329" t="s">
        <v>453</v>
      </c>
      <c r="P329" t="s">
        <v>158</v>
      </c>
      <c r="Q329">
        <v>8</v>
      </c>
      <c r="R329" t="s">
        <v>416</v>
      </c>
      <c r="S329">
        <v>8</v>
      </c>
      <c r="T329" t="s">
        <v>402</v>
      </c>
      <c r="U329" t="s">
        <v>492</v>
      </c>
      <c r="V329" t="s">
        <v>1181</v>
      </c>
      <c r="W329" t="s">
        <v>399</v>
      </c>
      <c r="X329" t="s">
        <v>2129</v>
      </c>
      <c r="Y329" t="s">
        <v>2150</v>
      </c>
    </row>
    <row r="330" spans="2:25">
      <c r="B330" t="s">
        <v>2147</v>
      </c>
      <c r="C330" t="s" vm="39">
        <v>701</v>
      </c>
      <c r="D330" t="s">
        <v>100</v>
      </c>
      <c r="E330" t="s">
        <v>485</v>
      </c>
      <c r="F330" t="s">
        <v>461</v>
      </c>
      <c r="G330" t="s">
        <v>473</v>
      </c>
      <c r="H330">
        <v>1</v>
      </c>
      <c r="I330" t="s">
        <v>456</v>
      </c>
      <c r="J330" t="s">
        <v>464</v>
      </c>
      <c r="K330">
        <v>2</v>
      </c>
      <c r="L330" t="s">
        <v>486</v>
      </c>
      <c r="M330" t="s">
        <v>556</v>
      </c>
      <c r="N330" t="s">
        <v>450</v>
      </c>
      <c r="O330" t="s">
        <v>453</v>
      </c>
      <c r="P330" t="s">
        <v>421</v>
      </c>
      <c r="Q330">
        <v>0</v>
      </c>
      <c r="R330" t="s">
        <v>159</v>
      </c>
      <c r="S330">
        <v>0</v>
      </c>
      <c r="T330" t="s">
        <v>402</v>
      </c>
      <c r="U330" t="s">
        <v>492</v>
      </c>
      <c r="V330" t="s">
        <v>1181</v>
      </c>
      <c r="W330" t="s">
        <v>399</v>
      </c>
      <c r="X330" t="s">
        <v>2129</v>
      </c>
      <c r="Y330" t="s">
        <v>2151</v>
      </c>
    </row>
    <row r="331" spans="2:25">
      <c r="B331" t="s">
        <v>2147</v>
      </c>
      <c r="C331" t="s" vm="39">
        <v>701</v>
      </c>
      <c r="D331" t="s">
        <v>100</v>
      </c>
      <c r="E331" t="s">
        <v>485</v>
      </c>
      <c r="F331" t="s">
        <v>461</v>
      </c>
      <c r="G331" t="s">
        <v>473</v>
      </c>
      <c r="H331">
        <v>1</v>
      </c>
      <c r="I331" t="s">
        <v>456</v>
      </c>
      <c r="J331" t="s">
        <v>464</v>
      </c>
      <c r="K331">
        <v>2</v>
      </c>
      <c r="L331" t="s">
        <v>486</v>
      </c>
      <c r="M331" t="s">
        <v>556</v>
      </c>
      <c r="N331" t="s">
        <v>450</v>
      </c>
      <c r="O331" t="s">
        <v>453</v>
      </c>
      <c r="P331" t="s">
        <v>158</v>
      </c>
      <c r="Q331">
        <v>8</v>
      </c>
      <c r="R331" t="s">
        <v>416</v>
      </c>
      <c r="S331">
        <v>8</v>
      </c>
      <c r="T331" t="s">
        <v>402</v>
      </c>
      <c r="U331" t="s">
        <v>492</v>
      </c>
      <c r="V331" t="s">
        <v>1181</v>
      </c>
      <c r="W331" t="s">
        <v>399</v>
      </c>
      <c r="X331" t="s">
        <v>2129</v>
      </c>
      <c r="Y331" t="s">
        <v>2150</v>
      </c>
    </row>
    <row r="332" spans="2:25">
      <c r="B332" t="s">
        <v>2147</v>
      </c>
      <c r="C332" t="s" vm="39">
        <v>701</v>
      </c>
      <c r="D332" t="s">
        <v>100</v>
      </c>
      <c r="E332" t="s">
        <v>485</v>
      </c>
      <c r="F332" t="s">
        <v>461</v>
      </c>
      <c r="G332" t="s">
        <v>487</v>
      </c>
      <c r="H332" t="s">
        <v>123</v>
      </c>
      <c r="I332" t="s">
        <v>458</v>
      </c>
      <c r="J332" t="s">
        <v>463</v>
      </c>
      <c r="K332">
        <v>2</v>
      </c>
      <c r="L332" t="s">
        <v>488</v>
      </c>
      <c r="M332" t="s">
        <v>492</v>
      </c>
      <c r="N332" t="s">
        <v>496</v>
      </c>
      <c r="O332" t="s">
        <v>453</v>
      </c>
      <c r="P332" t="s">
        <v>421</v>
      </c>
      <c r="Q332">
        <v>0</v>
      </c>
      <c r="R332" t="s">
        <v>159</v>
      </c>
      <c r="S332">
        <v>0</v>
      </c>
      <c r="T332" t="s">
        <v>1516</v>
      </c>
      <c r="U332" t="s">
        <v>492</v>
      </c>
      <c r="V332" t="s">
        <v>1181</v>
      </c>
      <c r="W332" t="s">
        <v>399</v>
      </c>
      <c r="X332" t="s">
        <v>2129</v>
      </c>
      <c r="Y332" t="s">
        <v>2149</v>
      </c>
    </row>
    <row r="333" spans="2:25">
      <c r="B333" t="s">
        <v>2147</v>
      </c>
      <c r="C333" t="s" vm="39">
        <v>701</v>
      </c>
      <c r="D333" t="s">
        <v>100</v>
      </c>
      <c r="E333" t="s">
        <v>485</v>
      </c>
      <c r="F333" t="s">
        <v>461</v>
      </c>
      <c r="G333" t="s">
        <v>487</v>
      </c>
      <c r="H333" t="s">
        <v>123</v>
      </c>
      <c r="I333" t="s">
        <v>456</v>
      </c>
      <c r="J333" t="s">
        <v>463</v>
      </c>
      <c r="K333">
        <v>2</v>
      </c>
      <c r="L333" t="s">
        <v>488</v>
      </c>
      <c r="M333" t="s">
        <v>492</v>
      </c>
      <c r="N333" t="s">
        <v>496</v>
      </c>
      <c r="O333" t="s">
        <v>453</v>
      </c>
      <c r="P333" t="s">
        <v>421</v>
      </c>
      <c r="Q333">
        <v>0</v>
      </c>
      <c r="R333" t="s">
        <v>159</v>
      </c>
      <c r="S333">
        <v>0</v>
      </c>
      <c r="T333" t="s">
        <v>1516</v>
      </c>
      <c r="U333" t="s">
        <v>492</v>
      </c>
      <c r="V333" t="s">
        <v>1181</v>
      </c>
      <c r="W333" t="s">
        <v>399</v>
      </c>
      <c r="X333" t="s">
        <v>2129</v>
      </c>
      <c r="Y333" t="s">
        <v>2148</v>
      </c>
    </row>
    <row r="334" spans="2:25">
      <c r="B334" t="s">
        <v>2143</v>
      </c>
      <c r="C334" t="s" vm="39">
        <v>701</v>
      </c>
      <c r="D334" t="s">
        <v>100</v>
      </c>
      <c r="E334" t="s">
        <v>485</v>
      </c>
      <c r="F334" t="s">
        <v>461</v>
      </c>
      <c r="G334" t="s">
        <v>487</v>
      </c>
      <c r="H334" t="s">
        <v>123</v>
      </c>
      <c r="I334" t="s">
        <v>456</v>
      </c>
      <c r="J334" t="s">
        <v>463</v>
      </c>
      <c r="K334">
        <v>2</v>
      </c>
      <c r="L334" t="s">
        <v>486</v>
      </c>
      <c r="M334" t="s">
        <v>556</v>
      </c>
      <c r="N334" t="s">
        <v>450</v>
      </c>
      <c r="O334" t="s">
        <v>453</v>
      </c>
      <c r="P334" t="s">
        <v>158</v>
      </c>
      <c r="Q334">
        <v>8</v>
      </c>
      <c r="R334" t="s">
        <v>1494</v>
      </c>
      <c r="S334">
        <v>8</v>
      </c>
      <c r="T334" t="s">
        <v>402</v>
      </c>
      <c r="U334" t="s">
        <v>492</v>
      </c>
      <c r="V334" t="s">
        <v>1181</v>
      </c>
      <c r="W334" t="s">
        <v>399</v>
      </c>
      <c r="X334" t="s">
        <v>2129</v>
      </c>
      <c r="Y334" t="s">
        <v>2146</v>
      </c>
    </row>
    <row r="335" spans="2:25">
      <c r="B335" t="s">
        <v>2143</v>
      </c>
      <c r="C335" t="s" vm="39">
        <v>701</v>
      </c>
      <c r="D335" t="s">
        <v>100</v>
      </c>
      <c r="E335" t="s">
        <v>485</v>
      </c>
      <c r="F335" t="s">
        <v>461</v>
      </c>
      <c r="G335" t="s">
        <v>487</v>
      </c>
      <c r="H335" t="s">
        <v>123</v>
      </c>
      <c r="I335" t="s">
        <v>456</v>
      </c>
      <c r="J335" t="s">
        <v>463</v>
      </c>
      <c r="K335">
        <v>2</v>
      </c>
      <c r="L335" t="s">
        <v>486</v>
      </c>
      <c r="M335" t="s">
        <v>556</v>
      </c>
      <c r="N335" t="s">
        <v>450</v>
      </c>
      <c r="O335" t="s">
        <v>453</v>
      </c>
      <c r="P335" t="s">
        <v>158</v>
      </c>
      <c r="Q335">
        <v>8</v>
      </c>
      <c r="R335" t="s">
        <v>416</v>
      </c>
      <c r="S335">
        <v>8</v>
      </c>
      <c r="T335" t="s">
        <v>402</v>
      </c>
      <c r="U335" t="s">
        <v>492</v>
      </c>
      <c r="V335" t="s">
        <v>1181</v>
      </c>
      <c r="W335" t="s">
        <v>399</v>
      </c>
      <c r="X335" t="s">
        <v>2129</v>
      </c>
      <c r="Y335" t="s">
        <v>2144</v>
      </c>
    </row>
    <row r="336" spans="2:25">
      <c r="B336" t="s">
        <v>2138</v>
      </c>
      <c r="C336" t="s" vm="39">
        <v>701</v>
      </c>
      <c r="D336" t="s">
        <v>102</v>
      </c>
      <c r="E336" t="s">
        <v>485</v>
      </c>
      <c r="F336" t="s">
        <v>461</v>
      </c>
      <c r="G336" t="s">
        <v>473</v>
      </c>
      <c r="H336">
        <v>1</v>
      </c>
      <c r="I336" t="s">
        <v>460</v>
      </c>
      <c r="J336" t="s">
        <v>464</v>
      </c>
      <c r="K336">
        <v>2</v>
      </c>
      <c r="L336" t="s">
        <v>486</v>
      </c>
      <c r="M336" t="s">
        <v>556</v>
      </c>
      <c r="N336" t="s">
        <v>450</v>
      </c>
      <c r="O336" t="s">
        <v>453</v>
      </c>
      <c r="P336" t="s">
        <v>157</v>
      </c>
      <c r="Q336">
        <v>12</v>
      </c>
      <c r="R336" t="s">
        <v>419</v>
      </c>
      <c r="S336">
        <v>12</v>
      </c>
      <c r="T336" t="s">
        <v>1516</v>
      </c>
      <c r="U336" t="s">
        <v>492</v>
      </c>
      <c r="V336" t="s">
        <v>1181</v>
      </c>
      <c r="W336" t="s">
        <v>399</v>
      </c>
      <c r="X336" t="s">
        <v>2129</v>
      </c>
      <c r="Y336" t="s">
        <v>2139</v>
      </c>
    </row>
    <row r="337" spans="2:25">
      <c r="B337" t="s">
        <v>2138</v>
      </c>
      <c r="C337" t="s" vm="39">
        <v>701</v>
      </c>
      <c r="D337" t="s">
        <v>102</v>
      </c>
      <c r="E337" t="s">
        <v>485</v>
      </c>
      <c r="F337" t="s">
        <v>461</v>
      </c>
      <c r="G337" t="s">
        <v>473</v>
      </c>
      <c r="H337">
        <v>1</v>
      </c>
      <c r="I337" t="s">
        <v>460</v>
      </c>
      <c r="J337" t="s">
        <v>464</v>
      </c>
      <c r="K337">
        <v>2</v>
      </c>
      <c r="L337" t="s">
        <v>486</v>
      </c>
      <c r="M337" t="s">
        <v>556</v>
      </c>
      <c r="N337" t="s">
        <v>450</v>
      </c>
      <c r="O337" t="s">
        <v>453</v>
      </c>
      <c r="P337" t="s">
        <v>157</v>
      </c>
      <c r="Q337">
        <v>12</v>
      </c>
      <c r="R337" t="s">
        <v>419</v>
      </c>
      <c r="S337">
        <v>12</v>
      </c>
      <c r="T337" t="s">
        <v>1516</v>
      </c>
      <c r="U337" t="s">
        <v>492</v>
      </c>
      <c r="V337" t="s">
        <v>1181</v>
      </c>
      <c r="W337" t="s">
        <v>399</v>
      </c>
      <c r="X337" t="s">
        <v>2129</v>
      </c>
      <c r="Y337" t="s">
        <v>2139</v>
      </c>
    </row>
    <row r="338" spans="2:25">
      <c r="B338" t="s">
        <v>2135</v>
      </c>
      <c r="C338" t="s" vm="39">
        <v>701</v>
      </c>
      <c r="D338" t="s">
        <v>102</v>
      </c>
      <c r="E338" t="s">
        <v>485</v>
      </c>
      <c r="F338" t="s">
        <v>461</v>
      </c>
      <c r="G338" t="s">
        <v>473</v>
      </c>
      <c r="H338">
        <v>1</v>
      </c>
      <c r="I338" t="s">
        <v>460</v>
      </c>
      <c r="J338" t="s">
        <v>462</v>
      </c>
      <c r="K338">
        <v>2</v>
      </c>
      <c r="L338" t="s">
        <v>486</v>
      </c>
      <c r="M338" t="s">
        <v>556</v>
      </c>
      <c r="N338" t="s">
        <v>450</v>
      </c>
      <c r="O338" t="s">
        <v>453</v>
      </c>
      <c r="P338" t="s">
        <v>157</v>
      </c>
      <c r="Q338">
        <v>12</v>
      </c>
      <c r="R338" t="s">
        <v>419</v>
      </c>
      <c r="S338">
        <v>12</v>
      </c>
      <c r="T338" t="s">
        <v>1516</v>
      </c>
      <c r="U338" t="s">
        <v>492</v>
      </c>
      <c r="V338" t="s">
        <v>1181</v>
      </c>
      <c r="W338" t="s">
        <v>399</v>
      </c>
      <c r="X338" t="s">
        <v>2129</v>
      </c>
      <c r="Y338" t="s">
        <v>2137</v>
      </c>
    </row>
    <row r="339" spans="2:25">
      <c r="B339" t="s">
        <v>2135</v>
      </c>
      <c r="C339" t="s" vm="39">
        <v>701</v>
      </c>
      <c r="D339" t="s">
        <v>102</v>
      </c>
      <c r="E339" t="s">
        <v>485</v>
      </c>
      <c r="F339" t="s">
        <v>461</v>
      </c>
      <c r="G339" t="s">
        <v>473</v>
      </c>
      <c r="H339">
        <v>1</v>
      </c>
      <c r="I339" t="s">
        <v>460</v>
      </c>
      <c r="J339" t="s">
        <v>463</v>
      </c>
      <c r="K339">
        <v>2</v>
      </c>
      <c r="L339" t="s">
        <v>486</v>
      </c>
      <c r="M339" t="s">
        <v>556</v>
      </c>
      <c r="N339" t="s">
        <v>450</v>
      </c>
      <c r="O339" t="s">
        <v>453</v>
      </c>
      <c r="P339" t="s">
        <v>157</v>
      </c>
      <c r="Q339">
        <v>12</v>
      </c>
      <c r="R339" t="s">
        <v>419</v>
      </c>
      <c r="S339">
        <v>12</v>
      </c>
      <c r="T339" t="s">
        <v>1516</v>
      </c>
      <c r="U339" t="s">
        <v>492</v>
      </c>
      <c r="V339" t="s">
        <v>1181</v>
      </c>
      <c r="W339" t="s">
        <v>399</v>
      </c>
      <c r="X339" t="s">
        <v>2129</v>
      </c>
      <c r="Y339" t="s">
        <v>2136</v>
      </c>
    </row>
    <row r="340" spans="2:25">
      <c r="B340" t="s">
        <v>2132</v>
      </c>
      <c r="C340" t="s" vm="39">
        <v>701</v>
      </c>
      <c r="D340" t="s">
        <v>102</v>
      </c>
      <c r="E340" t="s">
        <v>485</v>
      </c>
      <c r="F340" t="s">
        <v>461</v>
      </c>
      <c r="G340" t="s">
        <v>473</v>
      </c>
      <c r="H340">
        <v>1</v>
      </c>
      <c r="I340" t="s">
        <v>456</v>
      </c>
      <c r="J340" t="s">
        <v>463</v>
      </c>
      <c r="K340">
        <v>2</v>
      </c>
      <c r="L340" t="s">
        <v>486</v>
      </c>
      <c r="M340" t="s">
        <v>556</v>
      </c>
      <c r="N340" t="s">
        <v>450</v>
      </c>
      <c r="O340" t="s">
        <v>453</v>
      </c>
      <c r="P340" t="s">
        <v>157</v>
      </c>
      <c r="Q340">
        <v>12</v>
      </c>
      <c r="R340" t="s">
        <v>419</v>
      </c>
      <c r="S340">
        <v>12</v>
      </c>
      <c r="T340" t="s">
        <v>1516</v>
      </c>
      <c r="U340" t="s">
        <v>492</v>
      </c>
      <c r="V340" t="s">
        <v>1181</v>
      </c>
      <c r="W340" t="s">
        <v>399</v>
      </c>
      <c r="X340" t="s">
        <v>401</v>
      </c>
      <c r="Y340" t="s">
        <v>2134</v>
      </c>
    </row>
    <row r="341" spans="2:25">
      <c r="B341" t="s">
        <v>2132</v>
      </c>
      <c r="C341" t="s" vm="39">
        <v>701</v>
      </c>
      <c r="D341" t="s">
        <v>100</v>
      </c>
      <c r="E341" t="s">
        <v>485</v>
      </c>
      <c r="F341" t="s">
        <v>461</v>
      </c>
      <c r="G341" t="s">
        <v>473</v>
      </c>
      <c r="H341">
        <v>1</v>
      </c>
      <c r="I341" t="s">
        <v>456</v>
      </c>
      <c r="J341" t="s">
        <v>463</v>
      </c>
      <c r="K341">
        <v>2</v>
      </c>
      <c r="L341" t="s">
        <v>486</v>
      </c>
      <c r="M341" t="s">
        <v>556</v>
      </c>
      <c r="N341" t="s">
        <v>450</v>
      </c>
      <c r="O341" t="s">
        <v>453</v>
      </c>
      <c r="P341" t="s">
        <v>157</v>
      </c>
      <c r="Q341">
        <v>12</v>
      </c>
      <c r="R341" t="s">
        <v>419</v>
      </c>
      <c r="S341">
        <v>12</v>
      </c>
      <c r="T341" t="s">
        <v>1516</v>
      </c>
      <c r="U341" t="s">
        <v>492</v>
      </c>
      <c r="V341" t="s">
        <v>1181</v>
      </c>
      <c r="W341" t="s">
        <v>399</v>
      </c>
      <c r="X341" t="s">
        <v>401</v>
      </c>
      <c r="Y341" t="s">
        <v>2133</v>
      </c>
    </row>
    <row r="342" spans="2:25">
      <c r="B342" t="s">
        <v>2125</v>
      </c>
      <c r="C342" t="s" vm="39">
        <v>701</v>
      </c>
      <c r="D342" t="s">
        <v>100</v>
      </c>
      <c r="E342" t="s">
        <v>485</v>
      </c>
      <c r="F342" t="s">
        <v>461</v>
      </c>
      <c r="G342" t="s">
        <v>487</v>
      </c>
      <c r="H342" t="s">
        <v>123</v>
      </c>
      <c r="I342" t="s">
        <v>456</v>
      </c>
      <c r="J342" t="s">
        <v>463</v>
      </c>
      <c r="K342">
        <v>2</v>
      </c>
      <c r="L342" t="s">
        <v>486</v>
      </c>
      <c r="M342" t="s">
        <v>556</v>
      </c>
      <c r="N342" t="s">
        <v>450</v>
      </c>
      <c r="O342" t="s">
        <v>453</v>
      </c>
      <c r="P342" t="s">
        <v>421</v>
      </c>
      <c r="Q342">
        <v>0</v>
      </c>
      <c r="R342" t="s">
        <v>159</v>
      </c>
      <c r="S342">
        <v>0</v>
      </c>
      <c r="T342" t="s">
        <v>402</v>
      </c>
      <c r="U342" t="s">
        <v>492</v>
      </c>
      <c r="V342" t="s">
        <v>1181</v>
      </c>
      <c r="W342" t="s">
        <v>399</v>
      </c>
      <c r="X342" t="s">
        <v>472</v>
      </c>
      <c r="Y342" t="s">
        <v>2128</v>
      </c>
    </row>
    <row r="343" spans="2:25">
      <c r="B343" t="s">
        <v>2125</v>
      </c>
      <c r="C343" t="s" vm="39">
        <v>701</v>
      </c>
      <c r="D343" t="s">
        <v>100</v>
      </c>
      <c r="E343" t="s">
        <v>485</v>
      </c>
      <c r="F343" t="s">
        <v>461</v>
      </c>
      <c r="G343" t="s">
        <v>487</v>
      </c>
      <c r="H343" t="s">
        <v>123</v>
      </c>
      <c r="I343" t="s">
        <v>456</v>
      </c>
      <c r="J343" t="s">
        <v>462</v>
      </c>
      <c r="K343">
        <v>2</v>
      </c>
      <c r="L343" t="s">
        <v>486</v>
      </c>
      <c r="M343" t="s">
        <v>556</v>
      </c>
      <c r="N343" t="s">
        <v>450</v>
      </c>
      <c r="O343" t="s">
        <v>453</v>
      </c>
      <c r="P343" t="s">
        <v>421</v>
      </c>
      <c r="Q343">
        <v>0</v>
      </c>
      <c r="R343" t="s">
        <v>159</v>
      </c>
      <c r="S343">
        <v>0</v>
      </c>
      <c r="T343" t="s">
        <v>402</v>
      </c>
      <c r="U343" t="s">
        <v>492</v>
      </c>
      <c r="V343" t="s">
        <v>1181</v>
      </c>
      <c r="W343" t="s">
        <v>399</v>
      </c>
      <c r="X343" t="s">
        <v>472</v>
      </c>
      <c r="Y343" t="s">
        <v>2126</v>
      </c>
    </row>
    <row r="344" spans="2:25">
      <c r="B344" t="s">
        <v>2123</v>
      </c>
      <c r="C344" t="s" vm="39">
        <v>701</v>
      </c>
      <c r="D344" t="s">
        <v>100</v>
      </c>
      <c r="E344" t="s">
        <v>485</v>
      </c>
      <c r="F344" t="s">
        <v>217</v>
      </c>
      <c r="G344" t="s">
        <v>473</v>
      </c>
      <c r="H344">
        <v>1</v>
      </c>
      <c r="I344" t="s">
        <v>458</v>
      </c>
      <c r="J344" t="s">
        <v>462</v>
      </c>
      <c r="K344">
        <v>2</v>
      </c>
      <c r="L344" t="s">
        <v>486</v>
      </c>
      <c r="M344" t="s">
        <v>556</v>
      </c>
      <c r="N344" t="s">
        <v>450</v>
      </c>
      <c r="O344" t="s">
        <v>453</v>
      </c>
      <c r="P344" t="s">
        <v>158</v>
      </c>
      <c r="Q344">
        <v>8</v>
      </c>
      <c r="R344" t="s">
        <v>416</v>
      </c>
      <c r="S344">
        <v>8</v>
      </c>
      <c r="T344" t="s">
        <v>402</v>
      </c>
      <c r="U344" t="s">
        <v>492</v>
      </c>
      <c r="V344" t="s">
        <v>1181</v>
      </c>
      <c r="W344" t="s">
        <v>399</v>
      </c>
      <c r="X344" t="s">
        <v>471</v>
      </c>
      <c r="Y344" t="s">
        <v>2122</v>
      </c>
    </row>
    <row r="345" spans="2:25">
      <c r="B345" t="s">
        <v>2123</v>
      </c>
      <c r="C345" t="s" vm="39">
        <v>701</v>
      </c>
      <c r="D345" t="s">
        <v>100</v>
      </c>
      <c r="E345" t="s">
        <v>485</v>
      </c>
      <c r="F345" t="s">
        <v>217</v>
      </c>
      <c r="G345" t="s">
        <v>473</v>
      </c>
      <c r="H345">
        <v>1</v>
      </c>
      <c r="I345" t="s">
        <v>458</v>
      </c>
      <c r="J345" t="s">
        <v>462</v>
      </c>
      <c r="K345">
        <v>2</v>
      </c>
      <c r="L345" t="s">
        <v>486</v>
      </c>
      <c r="M345" t="s">
        <v>556</v>
      </c>
      <c r="N345" t="s">
        <v>450</v>
      </c>
      <c r="O345" t="s">
        <v>453</v>
      </c>
      <c r="P345" t="s">
        <v>158</v>
      </c>
      <c r="Q345">
        <v>8</v>
      </c>
      <c r="R345" t="s">
        <v>416</v>
      </c>
      <c r="S345">
        <v>8</v>
      </c>
      <c r="T345" t="s">
        <v>402</v>
      </c>
      <c r="U345" t="s">
        <v>492</v>
      </c>
      <c r="V345" t="s">
        <v>1181</v>
      </c>
      <c r="W345" t="s">
        <v>399</v>
      </c>
      <c r="X345" t="s">
        <v>471</v>
      </c>
      <c r="Y345" t="s">
        <v>2122</v>
      </c>
    </row>
    <row r="346" spans="2:25">
      <c r="B346" t="s">
        <v>2123</v>
      </c>
      <c r="C346" t="s" vm="39">
        <v>701</v>
      </c>
      <c r="D346" t="s">
        <v>100</v>
      </c>
      <c r="E346" t="s">
        <v>485</v>
      </c>
      <c r="F346" t="s">
        <v>217</v>
      </c>
      <c r="G346" t="s">
        <v>473</v>
      </c>
      <c r="H346">
        <v>1</v>
      </c>
      <c r="I346" t="s">
        <v>458</v>
      </c>
      <c r="J346" t="s">
        <v>462</v>
      </c>
      <c r="K346">
        <v>2</v>
      </c>
      <c r="L346" t="s">
        <v>486</v>
      </c>
      <c r="M346" t="s">
        <v>556</v>
      </c>
      <c r="N346" t="s">
        <v>450</v>
      </c>
      <c r="O346" t="s">
        <v>453</v>
      </c>
      <c r="P346" t="s">
        <v>158</v>
      </c>
      <c r="Q346">
        <v>8</v>
      </c>
      <c r="R346" t="s">
        <v>416</v>
      </c>
      <c r="S346">
        <v>8</v>
      </c>
      <c r="T346" t="s">
        <v>402</v>
      </c>
      <c r="U346" t="s">
        <v>492</v>
      </c>
      <c r="V346" t="s">
        <v>1181</v>
      </c>
      <c r="W346" t="s">
        <v>399</v>
      </c>
      <c r="X346" t="s">
        <v>471</v>
      </c>
      <c r="Y346" t="s">
        <v>2122</v>
      </c>
    </row>
    <row r="347" spans="2:25">
      <c r="B347" t="s">
        <v>2118</v>
      </c>
      <c r="C347" t="s" vm="39">
        <v>701</v>
      </c>
      <c r="D347" t="s">
        <v>100</v>
      </c>
      <c r="E347" t="s">
        <v>485</v>
      </c>
      <c r="F347" t="s">
        <v>217</v>
      </c>
      <c r="G347" t="s">
        <v>473</v>
      </c>
      <c r="H347">
        <v>1</v>
      </c>
      <c r="I347" t="s">
        <v>458</v>
      </c>
      <c r="J347" t="s">
        <v>462</v>
      </c>
      <c r="K347">
        <v>2</v>
      </c>
      <c r="L347" t="s">
        <v>486</v>
      </c>
      <c r="M347" t="s">
        <v>556</v>
      </c>
      <c r="N347" t="s">
        <v>450</v>
      </c>
      <c r="O347" t="s">
        <v>453</v>
      </c>
      <c r="P347" t="s">
        <v>158</v>
      </c>
      <c r="Q347">
        <v>8</v>
      </c>
      <c r="R347" t="s">
        <v>416</v>
      </c>
      <c r="S347">
        <v>8</v>
      </c>
      <c r="T347" t="s">
        <v>402</v>
      </c>
      <c r="U347" t="s">
        <v>492</v>
      </c>
      <c r="V347" t="s">
        <v>1181</v>
      </c>
      <c r="W347" t="s">
        <v>399</v>
      </c>
      <c r="X347" t="s">
        <v>471</v>
      </c>
      <c r="Y347" t="s">
        <v>2122</v>
      </c>
    </row>
    <row r="348" spans="2:25">
      <c r="B348" t="s">
        <v>2118</v>
      </c>
      <c r="C348" t="s" vm="39">
        <v>701</v>
      </c>
      <c r="D348" t="s">
        <v>100</v>
      </c>
      <c r="E348" t="s">
        <v>485</v>
      </c>
      <c r="F348" t="s">
        <v>217</v>
      </c>
      <c r="G348" t="s">
        <v>473</v>
      </c>
      <c r="H348">
        <v>1</v>
      </c>
      <c r="I348" t="s">
        <v>458</v>
      </c>
      <c r="J348" t="s">
        <v>462</v>
      </c>
      <c r="K348">
        <v>2</v>
      </c>
      <c r="L348" t="s">
        <v>486</v>
      </c>
      <c r="M348" t="s">
        <v>556</v>
      </c>
      <c r="N348" t="s">
        <v>450</v>
      </c>
      <c r="O348" t="s">
        <v>453</v>
      </c>
      <c r="P348" t="s">
        <v>158</v>
      </c>
      <c r="Q348">
        <v>8</v>
      </c>
      <c r="R348" t="s">
        <v>416</v>
      </c>
      <c r="S348">
        <v>8</v>
      </c>
      <c r="T348" t="s">
        <v>402</v>
      </c>
      <c r="U348" t="s">
        <v>492</v>
      </c>
      <c r="V348" t="s">
        <v>1181</v>
      </c>
      <c r="W348" t="s">
        <v>399</v>
      </c>
      <c r="X348" t="s">
        <v>471</v>
      </c>
      <c r="Y348" t="s">
        <v>2122</v>
      </c>
    </row>
    <row r="349" spans="2:25">
      <c r="B349" t="s">
        <v>2118</v>
      </c>
      <c r="C349" t="s" vm="39">
        <v>701</v>
      </c>
      <c r="D349" t="s">
        <v>100</v>
      </c>
      <c r="E349" t="s">
        <v>485</v>
      </c>
      <c r="F349" t="s">
        <v>217</v>
      </c>
      <c r="G349" t="s">
        <v>473</v>
      </c>
      <c r="H349">
        <v>1</v>
      </c>
      <c r="I349" t="s">
        <v>458</v>
      </c>
      <c r="J349" t="s">
        <v>462</v>
      </c>
      <c r="K349">
        <v>2</v>
      </c>
      <c r="L349" t="s">
        <v>486</v>
      </c>
      <c r="M349" t="s">
        <v>556</v>
      </c>
      <c r="N349" t="s">
        <v>450</v>
      </c>
      <c r="O349" t="s">
        <v>453</v>
      </c>
      <c r="P349" t="s">
        <v>158</v>
      </c>
      <c r="Q349">
        <v>8</v>
      </c>
      <c r="R349" t="s">
        <v>416</v>
      </c>
      <c r="S349">
        <v>8</v>
      </c>
      <c r="T349" t="s">
        <v>402</v>
      </c>
      <c r="U349" t="s">
        <v>492</v>
      </c>
      <c r="V349" t="s">
        <v>1181</v>
      </c>
      <c r="W349" t="s">
        <v>399</v>
      </c>
      <c r="X349" t="s">
        <v>470</v>
      </c>
      <c r="Y349" t="s">
        <v>2121</v>
      </c>
    </row>
    <row r="350" spans="2:25">
      <c r="B350" t="s">
        <v>2118</v>
      </c>
      <c r="C350" t="s" vm="39">
        <v>701</v>
      </c>
      <c r="D350" t="s">
        <v>100</v>
      </c>
      <c r="E350" t="s">
        <v>485</v>
      </c>
      <c r="F350" t="s">
        <v>217</v>
      </c>
      <c r="G350" t="s">
        <v>473</v>
      </c>
      <c r="H350">
        <v>1</v>
      </c>
      <c r="I350" t="s">
        <v>458</v>
      </c>
      <c r="J350" t="s">
        <v>462</v>
      </c>
      <c r="K350">
        <v>2</v>
      </c>
      <c r="L350" t="s">
        <v>486</v>
      </c>
      <c r="M350" t="s">
        <v>556</v>
      </c>
      <c r="N350" t="s">
        <v>450</v>
      </c>
      <c r="O350" t="s">
        <v>453</v>
      </c>
      <c r="P350" t="s">
        <v>158</v>
      </c>
      <c r="Q350">
        <v>8</v>
      </c>
      <c r="R350" t="s">
        <v>416</v>
      </c>
      <c r="S350">
        <v>8</v>
      </c>
      <c r="T350" t="s">
        <v>402</v>
      </c>
      <c r="U350" t="s">
        <v>492</v>
      </c>
      <c r="V350" t="s">
        <v>1181</v>
      </c>
      <c r="W350" t="s">
        <v>399</v>
      </c>
      <c r="X350" t="s">
        <v>470</v>
      </c>
      <c r="Y350" t="s">
        <v>2121</v>
      </c>
    </row>
    <row r="351" spans="2:25">
      <c r="B351" t="s">
        <v>2118</v>
      </c>
      <c r="C351" t="s" vm="39">
        <v>701</v>
      </c>
      <c r="D351" t="s">
        <v>100</v>
      </c>
      <c r="E351" t="s">
        <v>485</v>
      </c>
      <c r="F351" t="s">
        <v>217</v>
      </c>
      <c r="G351" t="s">
        <v>473</v>
      </c>
      <c r="H351">
        <v>1</v>
      </c>
      <c r="I351" t="s">
        <v>458</v>
      </c>
      <c r="J351" t="s">
        <v>462</v>
      </c>
      <c r="K351">
        <v>2</v>
      </c>
      <c r="L351" t="s">
        <v>486</v>
      </c>
      <c r="M351" t="s">
        <v>556</v>
      </c>
      <c r="N351" t="s">
        <v>450</v>
      </c>
      <c r="O351" t="s">
        <v>453</v>
      </c>
      <c r="P351" t="s">
        <v>158</v>
      </c>
      <c r="Q351">
        <v>8</v>
      </c>
      <c r="R351" t="s">
        <v>416</v>
      </c>
      <c r="S351">
        <v>8</v>
      </c>
      <c r="T351" t="s">
        <v>402</v>
      </c>
      <c r="U351" t="s">
        <v>492</v>
      </c>
      <c r="V351" t="s">
        <v>1181</v>
      </c>
      <c r="W351" t="s">
        <v>399</v>
      </c>
      <c r="X351" t="s">
        <v>470</v>
      </c>
      <c r="Y351" t="s">
        <v>2121</v>
      </c>
    </row>
    <row r="352" spans="2:25">
      <c r="B352" t="s">
        <v>2118</v>
      </c>
      <c r="C352" t="s" vm="39">
        <v>701</v>
      </c>
      <c r="D352" t="s">
        <v>100</v>
      </c>
      <c r="E352" t="s">
        <v>485</v>
      </c>
      <c r="F352" t="s">
        <v>217</v>
      </c>
      <c r="G352" t="s">
        <v>473</v>
      </c>
      <c r="H352">
        <v>1</v>
      </c>
      <c r="I352" t="s">
        <v>458</v>
      </c>
      <c r="J352" t="s">
        <v>462</v>
      </c>
      <c r="K352">
        <v>2</v>
      </c>
      <c r="L352" t="s">
        <v>486</v>
      </c>
      <c r="M352" t="s">
        <v>556</v>
      </c>
      <c r="N352" t="s">
        <v>450</v>
      </c>
      <c r="O352" t="s">
        <v>453</v>
      </c>
      <c r="P352" t="s">
        <v>158</v>
      </c>
      <c r="Q352">
        <v>8</v>
      </c>
      <c r="R352" t="s">
        <v>416</v>
      </c>
      <c r="S352">
        <v>8</v>
      </c>
      <c r="T352" t="s">
        <v>402</v>
      </c>
      <c r="U352" t="s">
        <v>492</v>
      </c>
      <c r="V352" t="s">
        <v>1181</v>
      </c>
      <c r="W352" t="s">
        <v>399</v>
      </c>
      <c r="X352" t="s">
        <v>470</v>
      </c>
      <c r="Y352" t="s">
        <v>2121</v>
      </c>
    </row>
    <row r="353" spans="2:25">
      <c r="B353" t="s">
        <v>2118</v>
      </c>
      <c r="C353" t="s" vm="39">
        <v>701</v>
      </c>
      <c r="D353" t="s">
        <v>100</v>
      </c>
      <c r="E353" t="s">
        <v>485</v>
      </c>
      <c r="F353" t="s">
        <v>217</v>
      </c>
      <c r="G353" t="s">
        <v>473</v>
      </c>
      <c r="H353">
        <v>1</v>
      </c>
      <c r="I353" t="s">
        <v>458</v>
      </c>
      <c r="J353" t="s">
        <v>462</v>
      </c>
      <c r="K353">
        <v>2</v>
      </c>
      <c r="L353" t="s">
        <v>486</v>
      </c>
      <c r="M353" t="s">
        <v>556</v>
      </c>
      <c r="N353" t="s">
        <v>450</v>
      </c>
      <c r="O353" t="s">
        <v>453</v>
      </c>
      <c r="P353" t="s">
        <v>158</v>
      </c>
      <c r="Q353">
        <v>8</v>
      </c>
      <c r="R353" t="s">
        <v>416</v>
      </c>
      <c r="S353">
        <v>8</v>
      </c>
      <c r="T353" t="s">
        <v>402</v>
      </c>
      <c r="U353" t="s">
        <v>492</v>
      </c>
      <c r="V353" t="s">
        <v>1181</v>
      </c>
      <c r="W353" t="s">
        <v>399</v>
      </c>
      <c r="X353" t="s">
        <v>470</v>
      </c>
      <c r="Y353" t="s">
        <v>2120</v>
      </c>
    </row>
    <row r="354" spans="2:25">
      <c r="B354" t="s">
        <v>2118</v>
      </c>
      <c r="C354" t="s" vm="39">
        <v>701</v>
      </c>
      <c r="D354" t="s">
        <v>100</v>
      </c>
      <c r="E354" t="s">
        <v>485</v>
      </c>
      <c r="F354" t="s">
        <v>217</v>
      </c>
      <c r="G354" t="s">
        <v>473</v>
      </c>
      <c r="H354">
        <v>1</v>
      </c>
      <c r="I354" t="s">
        <v>458</v>
      </c>
      <c r="J354" t="s">
        <v>462</v>
      </c>
      <c r="K354">
        <v>2</v>
      </c>
      <c r="L354" t="s">
        <v>486</v>
      </c>
      <c r="M354" t="s">
        <v>556</v>
      </c>
      <c r="N354" t="s">
        <v>450</v>
      </c>
      <c r="O354" t="s">
        <v>453</v>
      </c>
      <c r="P354" t="s">
        <v>158</v>
      </c>
      <c r="Q354">
        <v>8</v>
      </c>
      <c r="R354" t="s">
        <v>416</v>
      </c>
      <c r="S354">
        <v>8</v>
      </c>
      <c r="T354" t="s">
        <v>402</v>
      </c>
      <c r="U354" t="s">
        <v>492</v>
      </c>
      <c r="V354" t="s">
        <v>1181</v>
      </c>
      <c r="W354" t="s">
        <v>399</v>
      </c>
      <c r="X354" t="s">
        <v>470</v>
      </c>
      <c r="Y354" t="s">
        <v>2119</v>
      </c>
    </row>
    <row r="355" spans="2:25">
      <c r="B355" t="s">
        <v>2118</v>
      </c>
      <c r="C355" t="s" vm="39">
        <v>701</v>
      </c>
      <c r="D355" t="s">
        <v>100</v>
      </c>
      <c r="E355" t="s">
        <v>485</v>
      </c>
      <c r="F355" t="s">
        <v>217</v>
      </c>
      <c r="G355" t="s">
        <v>473</v>
      </c>
      <c r="H355">
        <v>1</v>
      </c>
      <c r="I355" t="s">
        <v>458</v>
      </c>
      <c r="J355" t="s">
        <v>462</v>
      </c>
      <c r="K355">
        <v>2</v>
      </c>
      <c r="L355" t="s">
        <v>486</v>
      </c>
      <c r="M355" t="s">
        <v>556</v>
      </c>
      <c r="N355" t="s">
        <v>450</v>
      </c>
      <c r="O355" t="s">
        <v>453</v>
      </c>
      <c r="P355" t="s">
        <v>158</v>
      </c>
      <c r="Q355">
        <v>8</v>
      </c>
      <c r="R355" t="s">
        <v>416</v>
      </c>
      <c r="S355">
        <v>8</v>
      </c>
      <c r="T355" t="s">
        <v>402</v>
      </c>
      <c r="U355" t="s">
        <v>492</v>
      </c>
      <c r="V355" t="s">
        <v>1181</v>
      </c>
      <c r="W355" t="s">
        <v>399</v>
      </c>
      <c r="X355" t="s">
        <v>470</v>
      </c>
      <c r="Y355" t="s">
        <v>2119</v>
      </c>
    </row>
    <row r="356" spans="2:25">
      <c r="B356" t="s">
        <v>2111</v>
      </c>
      <c r="C356" t="s" vm="39">
        <v>701</v>
      </c>
      <c r="D356" t="s">
        <v>100</v>
      </c>
      <c r="E356" t="s">
        <v>485</v>
      </c>
      <c r="F356" t="s">
        <v>461</v>
      </c>
      <c r="G356" t="s">
        <v>473</v>
      </c>
      <c r="H356">
        <v>1</v>
      </c>
      <c r="I356" t="s">
        <v>456</v>
      </c>
      <c r="J356" t="s">
        <v>463</v>
      </c>
      <c r="K356">
        <v>2</v>
      </c>
      <c r="L356" t="s">
        <v>486</v>
      </c>
      <c r="M356" t="s">
        <v>556</v>
      </c>
      <c r="N356" t="s">
        <v>450</v>
      </c>
      <c r="O356" t="s">
        <v>453</v>
      </c>
      <c r="P356" t="s">
        <v>421</v>
      </c>
      <c r="Q356">
        <v>0</v>
      </c>
      <c r="R356" t="s">
        <v>1494</v>
      </c>
      <c r="S356">
        <v>1</v>
      </c>
      <c r="T356" t="s">
        <v>1516</v>
      </c>
      <c r="U356" t="s">
        <v>492</v>
      </c>
      <c r="V356" t="s">
        <v>1181</v>
      </c>
      <c r="W356" t="s">
        <v>399</v>
      </c>
      <c r="X356" t="s">
        <v>472</v>
      </c>
      <c r="Y356" t="s">
        <v>2117</v>
      </c>
    </row>
    <row r="357" spans="2:25">
      <c r="B357" t="s">
        <v>2111</v>
      </c>
      <c r="C357" t="s" vm="39">
        <v>701</v>
      </c>
      <c r="D357" t="s">
        <v>100</v>
      </c>
      <c r="E357" t="s">
        <v>485</v>
      </c>
      <c r="F357" t="s">
        <v>461</v>
      </c>
      <c r="G357" t="s">
        <v>473</v>
      </c>
      <c r="H357">
        <v>1</v>
      </c>
      <c r="I357" t="s">
        <v>456</v>
      </c>
      <c r="J357" t="s">
        <v>463</v>
      </c>
      <c r="K357">
        <v>2</v>
      </c>
      <c r="L357" t="s">
        <v>486</v>
      </c>
      <c r="M357" t="s">
        <v>556</v>
      </c>
      <c r="N357" t="s">
        <v>450</v>
      </c>
      <c r="O357" t="s">
        <v>453</v>
      </c>
      <c r="P357" t="s">
        <v>421</v>
      </c>
      <c r="Q357">
        <v>0</v>
      </c>
      <c r="R357" t="s">
        <v>159</v>
      </c>
      <c r="S357">
        <v>0</v>
      </c>
      <c r="T357" t="s">
        <v>1516</v>
      </c>
      <c r="U357" t="s">
        <v>492</v>
      </c>
      <c r="V357" t="s">
        <v>1181</v>
      </c>
      <c r="W357" t="s">
        <v>399</v>
      </c>
      <c r="X357" t="s">
        <v>472</v>
      </c>
      <c r="Y357" t="s">
        <v>2116</v>
      </c>
    </row>
    <row r="358" spans="2:25">
      <c r="B358" t="s">
        <v>2111</v>
      </c>
      <c r="C358" t="s" vm="39">
        <v>701</v>
      </c>
      <c r="D358" t="s">
        <v>100</v>
      </c>
      <c r="E358" t="s">
        <v>485</v>
      </c>
      <c r="F358" t="s">
        <v>461</v>
      </c>
      <c r="G358" t="s">
        <v>473</v>
      </c>
      <c r="H358">
        <v>1</v>
      </c>
      <c r="I358" t="s">
        <v>456</v>
      </c>
      <c r="J358" t="s">
        <v>464</v>
      </c>
      <c r="K358">
        <v>2</v>
      </c>
      <c r="L358" t="s">
        <v>486</v>
      </c>
      <c r="M358" t="s">
        <v>556</v>
      </c>
      <c r="N358" t="s">
        <v>450</v>
      </c>
      <c r="O358" t="s">
        <v>453</v>
      </c>
      <c r="P358" t="s">
        <v>421</v>
      </c>
      <c r="Q358">
        <v>0</v>
      </c>
      <c r="R358" t="s">
        <v>159</v>
      </c>
      <c r="S358">
        <v>0</v>
      </c>
      <c r="T358" t="s">
        <v>1516</v>
      </c>
      <c r="U358" t="s">
        <v>492</v>
      </c>
      <c r="V358" t="s">
        <v>1181</v>
      </c>
      <c r="W358" t="s">
        <v>477</v>
      </c>
      <c r="X358" t="s">
        <v>472</v>
      </c>
      <c r="Y358" t="s">
        <v>2113</v>
      </c>
    </row>
    <row r="359" spans="2:25">
      <c r="B359" t="s">
        <v>2111</v>
      </c>
      <c r="C359" t="s" vm="39">
        <v>701</v>
      </c>
      <c r="D359" t="s">
        <v>100</v>
      </c>
      <c r="E359" t="s">
        <v>485</v>
      </c>
      <c r="F359" t="s">
        <v>461</v>
      </c>
      <c r="G359" t="s">
        <v>473</v>
      </c>
      <c r="H359">
        <v>1</v>
      </c>
      <c r="I359" t="s">
        <v>458</v>
      </c>
      <c r="J359" t="s">
        <v>464</v>
      </c>
      <c r="K359">
        <v>2</v>
      </c>
      <c r="L359" t="s">
        <v>486</v>
      </c>
      <c r="M359" t="s">
        <v>556</v>
      </c>
      <c r="N359" t="s">
        <v>450</v>
      </c>
      <c r="O359" t="s">
        <v>453</v>
      </c>
      <c r="P359" t="s">
        <v>421</v>
      </c>
      <c r="Q359">
        <v>0</v>
      </c>
      <c r="R359" t="s">
        <v>159</v>
      </c>
      <c r="S359">
        <v>0</v>
      </c>
      <c r="T359" t="s">
        <v>1516</v>
      </c>
      <c r="U359" t="s">
        <v>492</v>
      </c>
      <c r="V359" t="s">
        <v>1181</v>
      </c>
      <c r="W359" t="s">
        <v>477</v>
      </c>
      <c r="X359" t="s">
        <v>472</v>
      </c>
      <c r="Y359" t="s">
        <v>2112</v>
      </c>
    </row>
    <row r="360" spans="2:25">
      <c r="B360" t="s">
        <v>2109</v>
      </c>
      <c r="C360" t="s" vm="39">
        <v>701</v>
      </c>
      <c r="D360" t="s">
        <v>102</v>
      </c>
      <c r="E360" t="s">
        <v>485</v>
      </c>
      <c r="F360" t="s">
        <v>461</v>
      </c>
      <c r="G360" t="s">
        <v>473</v>
      </c>
      <c r="H360">
        <v>1</v>
      </c>
      <c r="I360" t="s">
        <v>458</v>
      </c>
      <c r="J360" t="s">
        <v>463</v>
      </c>
      <c r="K360">
        <v>2</v>
      </c>
      <c r="L360" t="s">
        <v>486</v>
      </c>
      <c r="M360" t="s">
        <v>1022</v>
      </c>
      <c r="N360" t="s">
        <v>450</v>
      </c>
      <c r="O360" t="s">
        <v>453</v>
      </c>
      <c r="P360" t="s">
        <v>421</v>
      </c>
      <c r="Q360">
        <v>0</v>
      </c>
      <c r="R360" t="s">
        <v>159</v>
      </c>
      <c r="S360">
        <v>0</v>
      </c>
      <c r="T360" t="s">
        <v>1516</v>
      </c>
      <c r="U360" t="s">
        <v>492</v>
      </c>
      <c r="V360" t="s">
        <v>1181</v>
      </c>
      <c r="W360" t="s">
        <v>399</v>
      </c>
      <c r="X360" t="s">
        <v>123</v>
      </c>
      <c r="Y360" t="s">
        <v>2110</v>
      </c>
    </row>
    <row r="361" spans="2:25">
      <c r="B361" t="s">
        <v>2107</v>
      </c>
      <c r="C361" t="s" vm="39">
        <v>701</v>
      </c>
      <c r="D361" t="s">
        <v>1019</v>
      </c>
      <c r="E361" t="s">
        <v>485</v>
      </c>
      <c r="F361" t="s">
        <v>461</v>
      </c>
      <c r="G361" t="s">
        <v>473</v>
      </c>
      <c r="H361">
        <v>1</v>
      </c>
      <c r="I361" t="s">
        <v>458</v>
      </c>
      <c r="J361" t="s">
        <v>463</v>
      </c>
      <c r="K361">
        <v>2</v>
      </c>
      <c r="L361" t="s">
        <v>486</v>
      </c>
      <c r="M361" t="s">
        <v>1022</v>
      </c>
      <c r="N361" t="s">
        <v>450</v>
      </c>
      <c r="O361" t="s">
        <v>453</v>
      </c>
      <c r="P361" t="s">
        <v>421</v>
      </c>
      <c r="Q361">
        <v>0</v>
      </c>
      <c r="R361" t="s">
        <v>159</v>
      </c>
      <c r="S361">
        <v>0</v>
      </c>
      <c r="T361" t="s">
        <v>1516</v>
      </c>
      <c r="U361" t="s">
        <v>492</v>
      </c>
      <c r="V361" t="s">
        <v>1181</v>
      </c>
      <c r="W361" t="s">
        <v>399</v>
      </c>
      <c r="X361" t="s">
        <v>123</v>
      </c>
      <c r="Y361" t="s">
        <v>2108</v>
      </c>
    </row>
    <row r="362" spans="2:25">
      <c r="B362" t="s">
        <v>2105</v>
      </c>
      <c r="C362" t="s" vm="39">
        <v>701</v>
      </c>
      <c r="D362" t="s">
        <v>100</v>
      </c>
      <c r="E362" t="s">
        <v>485</v>
      </c>
      <c r="F362" t="s">
        <v>461</v>
      </c>
      <c r="G362" t="s">
        <v>473</v>
      </c>
      <c r="H362">
        <v>1</v>
      </c>
      <c r="I362" t="s">
        <v>456</v>
      </c>
      <c r="J362" t="s">
        <v>463</v>
      </c>
      <c r="K362">
        <v>2</v>
      </c>
      <c r="L362" t="s">
        <v>486</v>
      </c>
      <c r="M362" t="s">
        <v>556</v>
      </c>
      <c r="N362" t="s">
        <v>450</v>
      </c>
      <c r="O362" t="s">
        <v>453</v>
      </c>
      <c r="P362" t="s">
        <v>421</v>
      </c>
      <c r="Q362">
        <v>0</v>
      </c>
      <c r="R362" t="s">
        <v>159</v>
      </c>
      <c r="S362">
        <v>0</v>
      </c>
      <c r="T362" t="s">
        <v>1516</v>
      </c>
      <c r="U362" t="s">
        <v>492</v>
      </c>
      <c r="V362" t="s">
        <v>1181</v>
      </c>
      <c r="W362" t="s">
        <v>399</v>
      </c>
      <c r="X362" t="s">
        <v>472</v>
      </c>
      <c r="Y362" t="s">
        <v>2106</v>
      </c>
    </row>
    <row r="363" spans="2:25">
      <c r="B363" t="s">
        <v>2101</v>
      </c>
      <c r="C363" t="s" vm="39">
        <v>701</v>
      </c>
      <c r="D363" t="s">
        <v>100</v>
      </c>
      <c r="E363" t="s">
        <v>485</v>
      </c>
      <c r="F363" t="s">
        <v>461</v>
      </c>
      <c r="G363" t="s">
        <v>473</v>
      </c>
      <c r="H363">
        <v>1</v>
      </c>
      <c r="I363" t="s">
        <v>456</v>
      </c>
      <c r="J363" t="s">
        <v>463</v>
      </c>
      <c r="K363">
        <v>2</v>
      </c>
      <c r="L363" t="s">
        <v>486</v>
      </c>
      <c r="M363" t="s">
        <v>556</v>
      </c>
      <c r="N363" t="s">
        <v>450</v>
      </c>
      <c r="O363" t="s">
        <v>453</v>
      </c>
      <c r="P363" t="s">
        <v>421</v>
      </c>
      <c r="Q363">
        <v>0</v>
      </c>
      <c r="R363" t="s">
        <v>159</v>
      </c>
      <c r="S363">
        <v>0</v>
      </c>
      <c r="T363" t="s">
        <v>1516</v>
      </c>
      <c r="U363" t="s">
        <v>492</v>
      </c>
      <c r="V363" t="s">
        <v>1181</v>
      </c>
      <c r="W363" t="s">
        <v>399</v>
      </c>
      <c r="X363" t="s">
        <v>470</v>
      </c>
      <c r="Y363" t="s">
        <v>2104</v>
      </c>
    </row>
    <row r="364" spans="2:25">
      <c r="B364" t="s">
        <v>2101</v>
      </c>
      <c r="C364" t="s" vm="39">
        <v>701</v>
      </c>
      <c r="D364" t="s">
        <v>100</v>
      </c>
      <c r="E364" t="s">
        <v>485</v>
      </c>
      <c r="F364" t="s">
        <v>461</v>
      </c>
      <c r="G364" t="s">
        <v>473</v>
      </c>
      <c r="H364">
        <v>1</v>
      </c>
      <c r="I364" t="s">
        <v>456</v>
      </c>
      <c r="J364" t="s">
        <v>463</v>
      </c>
      <c r="K364">
        <v>2</v>
      </c>
      <c r="L364" t="s">
        <v>486</v>
      </c>
      <c r="M364" t="s">
        <v>556</v>
      </c>
      <c r="N364" t="s">
        <v>450</v>
      </c>
      <c r="O364" t="s">
        <v>453</v>
      </c>
      <c r="P364" t="s">
        <v>421</v>
      </c>
      <c r="Q364">
        <v>0</v>
      </c>
      <c r="R364" t="s">
        <v>159</v>
      </c>
      <c r="S364">
        <v>0</v>
      </c>
      <c r="T364" t="s">
        <v>1516</v>
      </c>
      <c r="U364" t="s">
        <v>492</v>
      </c>
      <c r="V364" t="s">
        <v>1181</v>
      </c>
      <c r="W364" t="s">
        <v>399</v>
      </c>
      <c r="X364" t="s">
        <v>470</v>
      </c>
      <c r="Y364" t="s">
        <v>2103</v>
      </c>
    </row>
    <row r="365" spans="2:25">
      <c r="B365" t="s">
        <v>2101</v>
      </c>
      <c r="C365" t="s" vm="39">
        <v>701</v>
      </c>
      <c r="D365" t="s">
        <v>100</v>
      </c>
      <c r="E365" t="s">
        <v>485</v>
      </c>
      <c r="F365" t="s">
        <v>217</v>
      </c>
      <c r="G365" t="s">
        <v>473</v>
      </c>
      <c r="H365">
        <v>1</v>
      </c>
      <c r="I365" t="s">
        <v>458</v>
      </c>
      <c r="J365" t="s">
        <v>463</v>
      </c>
      <c r="K365">
        <v>2</v>
      </c>
      <c r="L365" t="s">
        <v>486</v>
      </c>
      <c r="M365" t="s">
        <v>1022</v>
      </c>
      <c r="N365" t="s">
        <v>450</v>
      </c>
      <c r="O365" t="s">
        <v>453</v>
      </c>
      <c r="P365" t="s">
        <v>157</v>
      </c>
      <c r="Q365">
        <v>8</v>
      </c>
      <c r="R365" t="s">
        <v>419</v>
      </c>
      <c r="S365">
        <v>8</v>
      </c>
      <c r="T365" t="s">
        <v>1516</v>
      </c>
      <c r="U365" t="s">
        <v>492</v>
      </c>
      <c r="V365" t="s">
        <v>1181</v>
      </c>
      <c r="W365" t="s">
        <v>399</v>
      </c>
      <c r="X365" t="s">
        <v>470</v>
      </c>
      <c r="Y365" t="s">
        <v>2102</v>
      </c>
    </row>
    <row r="366" spans="2:25">
      <c r="B366" t="s">
        <v>2098</v>
      </c>
      <c r="C366" t="s" vm="39">
        <v>701</v>
      </c>
      <c r="D366" t="s">
        <v>102</v>
      </c>
      <c r="E366" t="s">
        <v>485</v>
      </c>
      <c r="F366" t="s">
        <v>461</v>
      </c>
      <c r="G366" t="s">
        <v>473</v>
      </c>
      <c r="H366">
        <v>1</v>
      </c>
      <c r="I366" t="s">
        <v>456</v>
      </c>
      <c r="J366" t="s">
        <v>463</v>
      </c>
      <c r="K366">
        <v>2</v>
      </c>
      <c r="L366" t="s">
        <v>486</v>
      </c>
      <c r="M366" t="s">
        <v>556</v>
      </c>
      <c r="N366" t="s">
        <v>450</v>
      </c>
      <c r="O366" t="s">
        <v>453</v>
      </c>
      <c r="P366" t="s">
        <v>421</v>
      </c>
      <c r="Q366">
        <v>0</v>
      </c>
      <c r="R366" t="s">
        <v>159</v>
      </c>
      <c r="S366">
        <v>0</v>
      </c>
      <c r="T366" t="s">
        <v>1516</v>
      </c>
      <c r="U366" t="s">
        <v>492</v>
      </c>
      <c r="V366" t="s">
        <v>1181</v>
      </c>
      <c r="W366" t="s">
        <v>399</v>
      </c>
      <c r="X366" t="s">
        <v>401</v>
      </c>
      <c r="Y366" t="s">
        <v>2100</v>
      </c>
    </row>
    <row r="367" spans="2:25">
      <c r="B367" t="s">
        <v>2098</v>
      </c>
      <c r="C367" t="s" vm="39">
        <v>701</v>
      </c>
      <c r="D367" t="s">
        <v>102</v>
      </c>
      <c r="E367" t="s">
        <v>485</v>
      </c>
      <c r="F367" t="s">
        <v>461</v>
      </c>
      <c r="G367" t="s">
        <v>473</v>
      </c>
      <c r="H367">
        <v>1</v>
      </c>
      <c r="I367" t="s">
        <v>456</v>
      </c>
      <c r="J367" t="s">
        <v>463</v>
      </c>
      <c r="K367">
        <v>2</v>
      </c>
      <c r="L367" t="s">
        <v>486</v>
      </c>
      <c r="M367" t="s">
        <v>556</v>
      </c>
      <c r="N367" t="s">
        <v>450</v>
      </c>
      <c r="O367" t="s">
        <v>453</v>
      </c>
      <c r="P367" t="s">
        <v>421</v>
      </c>
      <c r="Q367">
        <v>0</v>
      </c>
      <c r="R367" t="s">
        <v>159</v>
      </c>
      <c r="S367">
        <v>0</v>
      </c>
      <c r="T367" t="s">
        <v>1516</v>
      </c>
      <c r="U367" t="s">
        <v>492</v>
      </c>
      <c r="V367" t="s">
        <v>1181</v>
      </c>
      <c r="W367" t="s">
        <v>399</v>
      </c>
      <c r="X367" t="s">
        <v>401</v>
      </c>
      <c r="Y367" t="s">
        <v>2099</v>
      </c>
    </row>
    <row r="368" spans="2:25">
      <c r="B368" t="s">
        <v>2088</v>
      </c>
      <c r="C368" t="s" vm="39">
        <v>701</v>
      </c>
      <c r="D368" t="s">
        <v>333</v>
      </c>
      <c r="E368" t="s">
        <v>485</v>
      </c>
      <c r="F368" t="s">
        <v>461</v>
      </c>
      <c r="G368" t="s">
        <v>473</v>
      </c>
      <c r="H368">
        <v>1</v>
      </c>
      <c r="I368" t="s">
        <v>456</v>
      </c>
      <c r="J368" t="s">
        <v>464</v>
      </c>
      <c r="K368">
        <v>2</v>
      </c>
      <c r="L368" t="s">
        <v>486</v>
      </c>
      <c r="M368" t="s">
        <v>1022</v>
      </c>
      <c r="N368" t="s">
        <v>450</v>
      </c>
      <c r="O368" t="s">
        <v>453</v>
      </c>
      <c r="P368" t="s">
        <v>157</v>
      </c>
      <c r="Q368">
        <v>12</v>
      </c>
      <c r="R368" t="s">
        <v>419</v>
      </c>
      <c r="S368">
        <v>12</v>
      </c>
      <c r="T368" t="s">
        <v>1577</v>
      </c>
      <c r="U368" t="s">
        <v>492</v>
      </c>
      <c r="V368" t="s">
        <v>1181</v>
      </c>
      <c r="W368" t="s">
        <v>477</v>
      </c>
      <c r="X368" t="s">
        <v>470</v>
      </c>
      <c r="Y368" t="s">
        <v>2097</v>
      </c>
    </row>
    <row r="369" spans="2:25">
      <c r="B369" t="s">
        <v>2088</v>
      </c>
      <c r="C369" t="s" vm="39">
        <v>701</v>
      </c>
      <c r="D369" t="s">
        <v>333</v>
      </c>
      <c r="E369" t="s">
        <v>485</v>
      </c>
      <c r="F369" t="s">
        <v>461</v>
      </c>
      <c r="G369" t="s">
        <v>473</v>
      </c>
      <c r="H369">
        <v>1</v>
      </c>
      <c r="I369" t="s">
        <v>456</v>
      </c>
      <c r="J369" t="s">
        <v>464</v>
      </c>
      <c r="K369">
        <v>2</v>
      </c>
      <c r="L369" t="s">
        <v>486</v>
      </c>
      <c r="M369" t="s">
        <v>1022</v>
      </c>
      <c r="N369" t="s">
        <v>450</v>
      </c>
      <c r="O369" t="s">
        <v>453</v>
      </c>
      <c r="P369" t="s">
        <v>157</v>
      </c>
      <c r="Q369">
        <v>12</v>
      </c>
      <c r="R369" t="s">
        <v>419</v>
      </c>
      <c r="S369">
        <v>12</v>
      </c>
      <c r="T369" t="s">
        <v>1577</v>
      </c>
      <c r="U369" t="s">
        <v>492</v>
      </c>
      <c r="V369" t="s">
        <v>1181</v>
      </c>
      <c r="W369" t="s">
        <v>477</v>
      </c>
      <c r="X369" t="s">
        <v>470</v>
      </c>
      <c r="Y369" t="s">
        <v>2096</v>
      </c>
    </row>
    <row r="370" spans="2:25">
      <c r="B370" t="s">
        <v>2088</v>
      </c>
      <c r="C370" t="s" vm="39">
        <v>701</v>
      </c>
      <c r="D370" t="s">
        <v>333</v>
      </c>
      <c r="E370" t="s">
        <v>485</v>
      </c>
      <c r="F370" t="s">
        <v>461</v>
      </c>
      <c r="G370" t="s">
        <v>473</v>
      </c>
      <c r="H370">
        <v>1</v>
      </c>
      <c r="I370" t="s">
        <v>456</v>
      </c>
      <c r="J370" t="s">
        <v>464</v>
      </c>
      <c r="K370">
        <v>2</v>
      </c>
      <c r="L370" t="s">
        <v>486</v>
      </c>
      <c r="M370" t="s">
        <v>1022</v>
      </c>
      <c r="N370" t="s">
        <v>450</v>
      </c>
      <c r="O370" t="s">
        <v>453</v>
      </c>
      <c r="P370" t="s">
        <v>157</v>
      </c>
      <c r="Q370">
        <v>12</v>
      </c>
      <c r="R370" t="s">
        <v>419</v>
      </c>
      <c r="S370">
        <v>12</v>
      </c>
      <c r="T370" t="s">
        <v>1577</v>
      </c>
      <c r="U370" t="s">
        <v>492</v>
      </c>
      <c r="V370" t="s">
        <v>1181</v>
      </c>
      <c r="W370" t="s">
        <v>477</v>
      </c>
      <c r="X370" t="s">
        <v>470</v>
      </c>
      <c r="Y370" t="s">
        <v>2095</v>
      </c>
    </row>
    <row r="371" spans="2:25">
      <c r="B371" t="s">
        <v>2088</v>
      </c>
      <c r="C371" t="s" vm="39">
        <v>701</v>
      </c>
      <c r="D371" t="s">
        <v>333</v>
      </c>
      <c r="E371" t="s">
        <v>485</v>
      </c>
      <c r="F371" t="s">
        <v>461</v>
      </c>
      <c r="G371" t="s">
        <v>473</v>
      </c>
      <c r="H371">
        <v>1</v>
      </c>
      <c r="I371" t="s">
        <v>456</v>
      </c>
      <c r="J371" t="s">
        <v>464</v>
      </c>
      <c r="K371">
        <v>2</v>
      </c>
      <c r="L371" t="s">
        <v>486</v>
      </c>
      <c r="M371" t="s">
        <v>1022</v>
      </c>
      <c r="N371" t="s">
        <v>450</v>
      </c>
      <c r="O371" t="s">
        <v>453</v>
      </c>
      <c r="P371" t="s">
        <v>157</v>
      </c>
      <c r="Q371">
        <v>12</v>
      </c>
      <c r="R371" t="s">
        <v>419</v>
      </c>
      <c r="S371">
        <v>12</v>
      </c>
      <c r="T371" t="s">
        <v>1577</v>
      </c>
      <c r="U371" t="s">
        <v>492</v>
      </c>
      <c r="V371" t="s">
        <v>1181</v>
      </c>
      <c r="W371" t="s">
        <v>477</v>
      </c>
      <c r="X371" t="s">
        <v>472</v>
      </c>
      <c r="Y371" t="s">
        <v>2094</v>
      </c>
    </row>
    <row r="372" spans="2:25">
      <c r="B372" t="s">
        <v>2088</v>
      </c>
      <c r="C372" t="s" vm="39">
        <v>701</v>
      </c>
      <c r="D372" t="s">
        <v>333</v>
      </c>
      <c r="E372" t="s">
        <v>485</v>
      </c>
      <c r="F372" t="s">
        <v>461</v>
      </c>
      <c r="G372" t="s">
        <v>473</v>
      </c>
      <c r="H372">
        <v>1</v>
      </c>
      <c r="I372" t="s">
        <v>456</v>
      </c>
      <c r="J372" t="s">
        <v>464</v>
      </c>
      <c r="K372">
        <v>2</v>
      </c>
      <c r="L372" t="s">
        <v>486</v>
      </c>
      <c r="M372" t="s">
        <v>1022</v>
      </c>
      <c r="N372" t="s">
        <v>450</v>
      </c>
      <c r="O372" t="s">
        <v>453</v>
      </c>
      <c r="P372" t="s">
        <v>157</v>
      </c>
      <c r="Q372">
        <v>12</v>
      </c>
      <c r="R372" t="s">
        <v>419</v>
      </c>
      <c r="S372">
        <v>12</v>
      </c>
      <c r="T372" t="s">
        <v>1577</v>
      </c>
      <c r="U372" t="s">
        <v>492</v>
      </c>
      <c r="V372" t="s">
        <v>1181</v>
      </c>
      <c r="W372" t="s">
        <v>477</v>
      </c>
      <c r="X372" t="s">
        <v>401</v>
      </c>
      <c r="Y372" t="s">
        <v>2093</v>
      </c>
    </row>
    <row r="373" spans="2:25">
      <c r="B373" t="s">
        <v>2088</v>
      </c>
      <c r="C373" t="s" vm="39">
        <v>701</v>
      </c>
      <c r="D373" t="s">
        <v>333</v>
      </c>
      <c r="E373" t="s">
        <v>485</v>
      </c>
      <c r="F373" t="s">
        <v>461</v>
      </c>
      <c r="G373" t="s">
        <v>473</v>
      </c>
      <c r="H373">
        <v>1</v>
      </c>
      <c r="I373" t="s">
        <v>456</v>
      </c>
      <c r="J373" t="s">
        <v>464</v>
      </c>
      <c r="K373">
        <v>2</v>
      </c>
      <c r="L373" t="s">
        <v>486</v>
      </c>
      <c r="M373" t="s">
        <v>1022</v>
      </c>
      <c r="N373" t="s">
        <v>450</v>
      </c>
      <c r="O373" t="s">
        <v>453</v>
      </c>
      <c r="P373" t="s">
        <v>157</v>
      </c>
      <c r="Q373">
        <v>12</v>
      </c>
      <c r="R373" t="s">
        <v>419</v>
      </c>
      <c r="S373">
        <v>12</v>
      </c>
      <c r="T373" t="s">
        <v>1577</v>
      </c>
      <c r="U373" t="s">
        <v>492</v>
      </c>
      <c r="V373" t="s">
        <v>1181</v>
      </c>
      <c r="W373" t="s">
        <v>477</v>
      </c>
      <c r="X373" t="s">
        <v>401</v>
      </c>
      <c r="Y373" t="s">
        <v>2092</v>
      </c>
    </row>
    <row r="374" spans="2:25">
      <c r="B374" t="s">
        <v>2088</v>
      </c>
      <c r="C374" t="s" vm="39">
        <v>701</v>
      </c>
      <c r="D374" t="s">
        <v>333</v>
      </c>
      <c r="E374" t="s">
        <v>485</v>
      </c>
      <c r="F374" t="s">
        <v>461</v>
      </c>
      <c r="G374" t="s">
        <v>473</v>
      </c>
      <c r="H374">
        <v>1</v>
      </c>
      <c r="I374" t="s">
        <v>456</v>
      </c>
      <c r="J374" t="s">
        <v>464</v>
      </c>
      <c r="K374">
        <v>2</v>
      </c>
      <c r="L374" t="s">
        <v>486</v>
      </c>
      <c r="M374" t="s">
        <v>1022</v>
      </c>
      <c r="N374" t="s">
        <v>450</v>
      </c>
      <c r="O374" t="s">
        <v>453</v>
      </c>
      <c r="P374" t="s">
        <v>157</v>
      </c>
      <c r="Q374">
        <v>12</v>
      </c>
      <c r="R374" t="s">
        <v>419</v>
      </c>
      <c r="S374">
        <v>12</v>
      </c>
      <c r="T374" t="s">
        <v>1577</v>
      </c>
      <c r="U374" t="s">
        <v>492</v>
      </c>
      <c r="V374" t="s">
        <v>1181</v>
      </c>
      <c r="W374" t="s">
        <v>477</v>
      </c>
      <c r="X374" t="s">
        <v>401</v>
      </c>
      <c r="Y374" t="s">
        <v>2091</v>
      </c>
    </row>
    <row r="375" spans="2:25">
      <c r="B375" t="s">
        <v>2088</v>
      </c>
      <c r="C375" t="s" vm="39">
        <v>701</v>
      </c>
      <c r="D375" t="s">
        <v>333</v>
      </c>
      <c r="E375" t="s">
        <v>485</v>
      </c>
      <c r="F375" t="s">
        <v>461</v>
      </c>
      <c r="G375" t="s">
        <v>473</v>
      </c>
      <c r="H375">
        <v>1</v>
      </c>
      <c r="I375" t="s">
        <v>456</v>
      </c>
      <c r="J375" t="s">
        <v>464</v>
      </c>
      <c r="K375">
        <v>2</v>
      </c>
      <c r="L375" t="s">
        <v>486</v>
      </c>
      <c r="M375" t="s">
        <v>1022</v>
      </c>
      <c r="N375" t="s">
        <v>450</v>
      </c>
      <c r="O375" t="s">
        <v>453</v>
      </c>
      <c r="P375" t="s">
        <v>157</v>
      </c>
      <c r="Q375">
        <v>12</v>
      </c>
      <c r="R375" t="s">
        <v>419</v>
      </c>
      <c r="S375">
        <v>12</v>
      </c>
      <c r="T375" t="s">
        <v>1577</v>
      </c>
      <c r="U375" t="s">
        <v>492</v>
      </c>
      <c r="V375" t="s">
        <v>1181</v>
      </c>
      <c r="W375" t="s">
        <v>477</v>
      </c>
      <c r="X375" t="s">
        <v>401</v>
      </c>
      <c r="Y375" t="s">
        <v>2090</v>
      </c>
    </row>
    <row r="376" spans="2:25">
      <c r="B376" t="s">
        <v>2088</v>
      </c>
      <c r="C376" t="s" vm="39">
        <v>701</v>
      </c>
      <c r="D376" t="s">
        <v>333</v>
      </c>
      <c r="E376" t="s">
        <v>485</v>
      </c>
      <c r="F376" t="s">
        <v>461</v>
      </c>
      <c r="G376" t="s">
        <v>473</v>
      </c>
      <c r="H376">
        <v>1</v>
      </c>
      <c r="I376" t="s">
        <v>456</v>
      </c>
      <c r="J376" t="s">
        <v>464</v>
      </c>
      <c r="K376">
        <v>2</v>
      </c>
      <c r="L376" t="s">
        <v>486</v>
      </c>
      <c r="M376" t="s">
        <v>1022</v>
      </c>
      <c r="N376" t="s">
        <v>450</v>
      </c>
      <c r="O376" t="s">
        <v>453</v>
      </c>
      <c r="P376" t="s">
        <v>157</v>
      </c>
      <c r="Q376">
        <v>12</v>
      </c>
      <c r="R376" t="s">
        <v>419</v>
      </c>
      <c r="S376">
        <v>12</v>
      </c>
      <c r="T376" t="s">
        <v>1577</v>
      </c>
      <c r="U376" t="s">
        <v>492</v>
      </c>
      <c r="V376" t="s">
        <v>1181</v>
      </c>
      <c r="W376" t="s">
        <v>477</v>
      </c>
      <c r="X376" t="s">
        <v>401</v>
      </c>
      <c r="Y376" t="s">
        <v>2089</v>
      </c>
    </row>
    <row r="377" spans="2:25">
      <c r="B377" t="s">
        <v>2088</v>
      </c>
      <c r="C377" t="s" vm="39">
        <v>701</v>
      </c>
      <c r="D377" t="s">
        <v>333</v>
      </c>
      <c r="E377" t="s">
        <v>485</v>
      </c>
      <c r="F377" t="s">
        <v>461</v>
      </c>
      <c r="G377" t="s">
        <v>473</v>
      </c>
      <c r="H377">
        <v>1</v>
      </c>
      <c r="I377" t="s">
        <v>456</v>
      </c>
      <c r="J377" t="s">
        <v>464</v>
      </c>
      <c r="K377">
        <v>2</v>
      </c>
      <c r="L377" t="s">
        <v>486</v>
      </c>
      <c r="M377" t="s">
        <v>1022</v>
      </c>
      <c r="N377" t="s">
        <v>450</v>
      </c>
      <c r="O377" t="s">
        <v>453</v>
      </c>
      <c r="P377" t="s">
        <v>157</v>
      </c>
      <c r="Q377">
        <v>12</v>
      </c>
      <c r="R377" t="s">
        <v>419</v>
      </c>
      <c r="S377">
        <v>12</v>
      </c>
      <c r="T377" t="s">
        <v>1577</v>
      </c>
      <c r="U377" t="s">
        <v>492</v>
      </c>
      <c r="V377" t="s">
        <v>1181</v>
      </c>
      <c r="W377" t="s">
        <v>477</v>
      </c>
      <c r="X377" t="s">
        <v>401</v>
      </c>
      <c r="Y377" t="s">
        <v>2089</v>
      </c>
    </row>
    <row r="378" spans="2:25">
      <c r="B378" t="s">
        <v>2088</v>
      </c>
      <c r="C378" t="s" vm="39">
        <v>701</v>
      </c>
      <c r="D378" t="s">
        <v>333</v>
      </c>
      <c r="E378" t="s">
        <v>485</v>
      </c>
      <c r="F378" t="s">
        <v>461</v>
      </c>
      <c r="G378" t="s">
        <v>473</v>
      </c>
      <c r="H378">
        <v>1</v>
      </c>
      <c r="I378" t="s">
        <v>456</v>
      </c>
      <c r="J378" t="s">
        <v>464</v>
      </c>
      <c r="K378">
        <v>2</v>
      </c>
      <c r="L378" t="s">
        <v>486</v>
      </c>
      <c r="M378" t="s">
        <v>1022</v>
      </c>
      <c r="N378" t="s">
        <v>450</v>
      </c>
      <c r="O378" t="s">
        <v>453</v>
      </c>
      <c r="P378" t="s">
        <v>157</v>
      </c>
      <c r="Q378">
        <v>12</v>
      </c>
      <c r="R378" t="s">
        <v>419</v>
      </c>
      <c r="S378">
        <v>12</v>
      </c>
      <c r="T378" t="s">
        <v>1577</v>
      </c>
      <c r="U378" t="s">
        <v>492</v>
      </c>
      <c r="V378" t="s">
        <v>1181</v>
      </c>
      <c r="W378" t="s">
        <v>477</v>
      </c>
      <c r="X378" t="s">
        <v>401</v>
      </c>
      <c r="Y378" t="s">
        <v>2089</v>
      </c>
    </row>
    <row r="379" spans="2:25">
      <c r="B379" t="s">
        <v>2088</v>
      </c>
      <c r="C379" t="s" vm="39">
        <v>701</v>
      </c>
      <c r="D379" t="s">
        <v>333</v>
      </c>
      <c r="E379" t="s">
        <v>485</v>
      </c>
      <c r="F379" t="s">
        <v>461</v>
      </c>
      <c r="G379" t="s">
        <v>473</v>
      </c>
      <c r="H379">
        <v>1</v>
      </c>
      <c r="I379" t="s">
        <v>456</v>
      </c>
      <c r="J379" t="s">
        <v>464</v>
      </c>
      <c r="K379">
        <v>2</v>
      </c>
      <c r="L379" t="s">
        <v>486</v>
      </c>
      <c r="M379" t="s">
        <v>1022</v>
      </c>
      <c r="N379" t="s">
        <v>450</v>
      </c>
      <c r="O379" t="s">
        <v>453</v>
      </c>
      <c r="P379" t="s">
        <v>157</v>
      </c>
      <c r="Q379">
        <v>12</v>
      </c>
      <c r="R379" t="s">
        <v>419</v>
      </c>
      <c r="S379">
        <v>12</v>
      </c>
      <c r="T379" t="s">
        <v>1577</v>
      </c>
      <c r="U379" t="s">
        <v>492</v>
      </c>
      <c r="V379" t="s">
        <v>1181</v>
      </c>
      <c r="W379" t="s">
        <v>477</v>
      </c>
      <c r="X379" t="s">
        <v>401</v>
      </c>
      <c r="Y379" t="s">
        <v>2089</v>
      </c>
    </row>
    <row r="380" spans="2:25">
      <c r="B380" t="s">
        <v>2079</v>
      </c>
      <c r="C380" t="s" vm="39">
        <v>701</v>
      </c>
      <c r="D380" t="s">
        <v>100</v>
      </c>
      <c r="E380" t="s">
        <v>485</v>
      </c>
      <c r="F380" t="s">
        <v>461</v>
      </c>
      <c r="G380" t="s">
        <v>473</v>
      </c>
      <c r="H380">
        <v>1</v>
      </c>
      <c r="I380" t="s">
        <v>458</v>
      </c>
      <c r="J380" t="s">
        <v>464</v>
      </c>
      <c r="K380">
        <v>2</v>
      </c>
      <c r="L380" t="s">
        <v>486</v>
      </c>
      <c r="M380" t="s">
        <v>1022</v>
      </c>
      <c r="N380" t="s">
        <v>450</v>
      </c>
      <c r="O380" t="s">
        <v>453</v>
      </c>
      <c r="P380" t="s">
        <v>421</v>
      </c>
      <c r="Q380">
        <v>0</v>
      </c>
      <c r="R380" t="s">
        <v>159</v>
      </c>
      <c r="S380">
        <v>0</v>
      </c>
      <c r="T380" t="s">
        <v>1485</v>
      </c>
      <c r="U380" t="s">
        <v>492</v>
      </c>
      <c r="V380" t="s">
        <v>1181</v>
      </c>
      <c r="W380" t="s">
        <v>477</v>
      </c>
      <c r="X380" t="s">
        <v>472</v>
      </c>
      <c r="Y380" t="s">
        <v>2085</v>
      </c>
    </row>
    <row r="381" spans="2:25">
      <c r="B381" t="s">
        <v>2079</v>
      </c>
      <c r="C381" t="s" vm="39">
        <v>701</v>
      </c>
      <c r="D381" t="s">
        <v>100</v>
      </c>
      <c r="E381" t="s">
        <v>485</v>
      </c>
      <c r="F381" t="s">
        <v>461</v>
      </c>
      <c r="G381" t="s">
        <v>473</v>
      </c>
      <c r="H381">
        <v>1</v>
      </c>
      <c r="I381" t="s">
        <v>458</v>
      </c>
      <c r="J381" t="s">
        <v>464</v>
      </c>
      <c r="K381">
        <v>2</v>
      </c>
      <c r="L381" t="s">
        <v>486</v>
      </c>
      <c r="M381" t="s">
        <v>1022</v>
      </c>
      <c r="N381" t="s">
        <v>450</v>
      </c>
      <c r="O381" t="s">
        <v>453</v>
      </c>
      <c r="P381" t="s">
        <v>157</v>
      </c>
      <c r="Q381">
        <v>8</v>
      </c>
      <c r="R381" t="s">
        <v>416</v>
      </c>
      <c r="S381">
        <v>8</v>
      </c>
      <c r="T381" t="s">
        <v>1485</v>
      </c>
      <c r="U381" t="s">
        <v>492</v>
      </c>
      <c r="V381" t="s">
        <v>1181</v>
      </c>
      <c r="W381" t="s">
        <v>477</v>
      </c>
      <c r="X381" t="s">
        <v>472</v>
      </c>
      <c r="Y381" t="s">
        <v>2084</v>
      </c>
    </row>
    <row r="382" spans="2:25">
      <c r="B382" t="s">
        <v>2079</v>
      </c>
      <c r="C382" t="s" vm="39">
        <v>701</v>
      </c>
      <c r="D382" t="s">
        <v>100</v>
      </c>
      <c r="E382" t="s">
        <v>485</v>
      </c>
      <c r="F382" t="s">
        <v>461</v>
      </c>
      <c r="G382" t="s">
        <v>473</v>
      </c>
      <c r="H382">
        <v>1</v>
      </c>
      <c r="I382" t="s">
        <v>458</v>
      </c>
      <c r="J382" t="s">
        <v>464</v>
      </c>
      <c r="K382">
        <v>2</v>
      </c>
      <c r="L382" t="s">
        <v>486</v>
      </c>
      <c r="M382" t="s">
        <v>1022</v>
      </c>
      <c r="N382" t="s">
        <v>450</v>
      </c>
      <c r="O382" t="s">
        <v>453</v>
      </c>
      <c r="P382" t="s">
        <v>157</v>
      </c>
      <c r="Q382">
        <v>8</v>
      </c>
      <c r="R382" t="s">
        <v>416</v>
      </c>
      <c r="S382">
        <v>8</v>
      </c>
      <c r="T382" t="s">
        <v>1485</v>
      </c>
      <c r="U382" t="s">
        <v>492</v>
      </c>
      <c r="V382" t="s">
        <v>1181</v>
      </c>
      <c r="W382" t="s">
        <v>477</v>
      </c>
      <c r="X382" t="s">
        <v>472</v>
      </c>
      <c r="Y382" t="s">
        <v>2083</v>
      </c>
    </row>
    <row r="383" spans="2:25">
      <c r="B383" t="s">
        <v>2079</v>
      </c>
      <c r="C383" t="s" vm="39">
        <v>701</v>
      </c>
      <c r="D383" t="s">
        <v>100</v>
      </c>
      <c r="E383" t="s">
        <v>485</v>
      </c>
      <c r="F383" t="s">
        <v>217</v>
      </c>
      <c r="G383" t="s">
        <v>487</v>
      </c>
      <c r="H383" t="s">
        <v>123</v>
      </c>
      <c r="I383" t="s">
        <v>458</v>
      </c>
      <c r="J383" t="s">
        <v>462</v>
      </c>
      <c r="K383">
        <v>1</v>
      </c>
      <c r="L383" t="s">
        <v>486</v>
      </c>
      <c r="M383" t="s">
        <v>556</v>
      </c>
      <c r="N383" t="s">
        <v>450</v>
      </c>
      <c r="O383" t="s">
        <v>453</v>
      </c>
      <c r="P383" t="s">
        <v>421</v>
      </c>
      <c r="Q383">
        <v>0</v>
      </c>
      <c r="R383" t="s">
        <v>159</v>
      </c>
      <c r="S383">
        <v>0</v>
      </c>
      <c r="T383" t="s">
        <v>1347</v>
      </c>
      <c r="U383" t="s">
        <v>492</v>
      </c>
      <c r="V383" t="s">
        <v>1181</v>
      </c>
      <c r="W383" t="s">
        <v>476</v>
      </c>
      <c r="X383" t="s">
        <v>470</v>
      </c>
      <c r="Y383" t="s">
        <v>2082</v>
      </c>
    </row>
    <row r="384" spans="2:25">
      <c r="B384" t="s">
        <v>2079</v>
      </c>
      <c r="C384" t="s" vm="39">
        <v>701</v>
      </c>
      <c r="D384" t="s">
        <v>100</v>
      </c>
      <c r="E384" t="s">
        <v>485</v>
      </c>
      <c r="F384" t="s">
        <v>217</v>
      </c>
      <c r="G384" t="s">
        <v>487</v>
      </c>
      <c r="H384" t="s">
        <v>123</v>
      </c>
      <c r="I384" t="s">
        <v>458</v>
      </c>
      <c r="J384" t="s">
        <v>462</v>
      </c>
      <c r="K384">
        <v>1</v>
      </c>
      <c r="L384" t="s">
        <v>486</v>
      </c>
      <c r="M384" t="s">
        <v>556</v>
      </c>
      <c r="N384" t="s">
        <v>450</v>
      </c>
      <c r="O384" t="s">
        <v>453</v>
      </c>
      <c r="P384" t="s">
        <v>421</v>
      </c>
      <c r="Q384">
        <v>0</v>
      </c>
      <c r="R384" t="s">
        <v>159</v>
      </c>
      <c r="S384">
        <v>0</v>
      </c>
      <c r="T384" t="s">
        <v>1347</v>
      </c>
      <c r="U384" t="s">
        <v>492</v>
      </c>
      <c r="V384" t="s">
        <v>1181</v>
      </c>
      <c r="W384" t="s">
        <v>476</v>
      </c>
      <c r="X384" t="s">
        <v>470</v>
      </c>
      <c r="Y384" t="s">
        <v>2082</v>
      </c>
    </row>
    <row r="385" spans="2:25">
      <c r="B385" t="s">
        <v>2079</v>
      </c>
      <c r="C385" t="s" vm="39">
        <v>701</v>
      </c>
      <c r="D385" t="s">
        <v>100</v>
      </c>
      <c r="E385" t="s">
        <v>485</v>
      </c>
      <c r="F385" t="s">
        <v>217</v>
      </c>
      <c r="G385" t="s">
        <v>473</v>
      </c>
      <c r="H385">
        <v>1</v>
      </c>
      <c r="I385" t="s">
        <v>458</v>
      </c>
      <c r="J385" t="s">
        <v>462</v>
      </c>
      <c r="K385">
        <v>1</v>
      </c>
      <c r="L385" t="s">
        <v>486</v>
      </c>
      <c r="M385" t="s">
        <v>556</v>
      </c>
      <c r="N385" t="s">
        <v>450</v>
      </c>
      <c r="O385" t="s">
        <v>453</v>
      </c>
      <c r="P385" t="s">
        <v>421</v>
      </c>
      <c r="Q385">
        <v>0</v>
      </c>
      <c r="R385" t="s">
        <v>159</v>
      </c>
      <c r="S385">
        <v>0</v>
      </c>
      <c r="T385" t="s">
        <v>1485</v>
      </c>
      <c r="U385" t="s">
        <v>492</v>
      </c>
      <c r="V385" t="s">
        <v>1181</v>
      </c>
      <c r="W385" t="s">
        <v>477</v>
      </c>
      <c r="X385" t="s">
        <v>470</v>
      </c>
      <c r="Y385" t="s">
        <v>2081</v>
      </c>
    </row>
    <row r="386" spans="2:25">
      <c r="B386" t="s">
        <v>2079</v>
      </c>
      <c r="C386" t="s" vm="39">
        <v>701</v>
      </c>
      <c r="D386" t="s">
        <v>100</v>
      </c>
      <c r="E386" t="s">
        <v>485</v>
      </c>
      <c r="F386" t="s">
        <v>217</v>
      </c>
      <c r="G386" t="s">
        <v>473</v>
      </c>
      <c r="H386">
        <v>1</v>
      </c>
      <c r="I386" t="s">
        <v>456</v>
      </c>
      <c r="J386" t="s">
        <v>462</v>
      </c>
      <c r="K386">
        <v>1</v>
      </c>
      <c r="L386" t="s">
        <v>486</v>
      </c>
      <c r="M386" t="s">
        <v>556</v>
      </c>
      <c r="N386" t="s">
        <v>450</v>
      </c>
      <c r="O386" t="s">
        <v>453</v>
      </c>
      <c r="P386" t="s">
        <v>421</v>
      </c>
      <c r="Q386">
        <v>0</v>
      </c>
      <c r="R386" t="s">
        <v>159</v>
      </c>
      <c r="S386">
        <v>0</v>
      </c>
      <c r="T386" t="s">
        <v>1485</v>
      </c>
      <c r="U386" t="s">
        <v>492</v>
      </c>
      <c r="V386" t="s">
        <v>1181</v>
      </c>
      <c r="W386" t="s">
        <v>477</v>
      </c>
      <c r="X386" t="s">
        <v>470</v>
      </c>
      <c r="Y386" t="s">
        <v>2080</v>
      </c>
    </row>
    <row r="387" spans="2:25">
      <c r="B387" t="s">
        <v>2076</v>
      </c>
      <c r="C387" t="s" vm="39">
        <v>701</v>
      </c>
      <c r="D387" t="s">
        <v>102</v>
      </c>
      <c r="E387" t="s">
        <v>485</v>
      </c>
      <c r="F387" t="s">
        <v>461</v>
      </c>
      <c r="G387" t="s">
        <v>473</v>
      </c>
      <c r="H387">
        <v>2</v>
      </c>
      <c r="I387" t="s">
        <v>456</v>
      </c>
      <c r="J387" t="s">
        <v>463</v>
      </c>
      <c r="K387">
        <v>2</v>
      </c>
      <c r="L387" t="s">
        <v>486</v>
      </c>
      <c r="M387" t="s">
        <v>556</v>
      </c>
      <c r="N387" t="s">
        <v>450</v>
      </c>
      <c r="O387" t="s">
        <v>453</v>
      </c>
      <c r="P387" t="s">
        <v>157</v>
      </c>
      <c r="Q387">
        <v>12</v>
      </c>
      <c r="R387" t="s">
        <v>1494</v>
      </c>
      <c r="S387">
        <v>12</v>
      </c>
      <c r="T387" t="s">
        <v>1516</v>
      </c>
      <c r="U387" t="s">
        <v>492</v>
      </c>
      <c r="V387" t="s">
        <v>1181</v>
      </c>
      <c r="W387" t="s">
        <v>399</v>
      </c>
      <c r="X387" t="s">
        <v>472</v>
      </c>
      <c r="Y387" t="s">
        <v>2078</v>
      </c>
    </row>
    <row r="388" spans="2:25">
      <c r="B388" t="s">
        <v>2076</v>
      </c>
      <c r="C388" t="s" vm="39">
        <v>701</v>
      </c>
      <c r="D388" t="s">
        <v>102</v>
      </c>
      <c r="E388" t="s">
        <v>485</v>
      </c>
      <c r="F388" t="s">
        <v>461</v>
      </c>
      <c r="G388" t="s">
        <v>473</v>
      </c>
      <c r="H388">
        <v>2</v>
      </c>
      <c r="I388" t="s">
        <v>456</v>
      </c>
      <c r="J388" t="s">
        <v>463</v>
      </c>
      <c r="K388">
        <v>2</v>
      </c>
      <c r="L388" t="s">
        <v>486</v>
      </c>
      <c r="M388" t="s">
        <v>556</v>
      </c>
      <c r="N388" t="s">
        <v>450</v>
      </c>
      <c r="O388" t="s">
        <v>453</v>
      </c>
      <c r="P388" t="s">
        <v>158</v>
      </c>
      <c r="Q388">
        <v>12</v>
      </c>
      <c r="R388" t="s">
        <v>1494</v>
      </c>
      <c r="S388">
        <v>12</v>
      </c>
      <c r="T388" t="s">
        <v>1516</v>
      </c>
      <c r="U388" t="s">
        <v>492</v>
      </c>
      <c r="V388" t="s">
        <v>1181</v>
      </c>
      <c r="W388" t="s">
        <v>399</v>
      </c>
      <c r="X388" t="s">
        <v>472</v>
      </c>
      <c r="Y388" t="s">
        <v>2077</v>
      </c>
    </row>
    <row r="389" spans="2:25">
      <c r="B389" t="s">
        <v>2069</v>
      </c>
      <c r="C389" t="s" vm="39">
        <v>701</v>
      </c>
      <c r="D389" t="s">
        <v>100</v>
      </c>
      <c r="E389" t="s">
        <v>485</v>
      </c>
      <c r="F389" t="s">
        <v>461</v>
      </c>
      <c r="G389" t="s">
        <v>487</v>
      </c>
      <c r="H389" t="s">
        <v>123</v>
      </c>
      <c r="I389" t="s">
        <v>456</v>
      </c>
      <c r="J389" t="s">
        <v>463</v>
      </c>
      <c r="K389">
        <v>1</v>
      </c>
      <c r="L389" t="s">
        <v>486</v>
      </c>
      <c r="M389" t="s">
        <v>556</v>
      </c>
      <c r="N389" t="s">
        <v>450</v>
      </c>
      <c r="O389" t="s">
        <v>453</v>
      </c>
      <c r="P389" t="s">
        <v>157</v>
      </c>
      <c r="Q389">
        <v>8</v>
      </c>
      <c r="R389" t="s">
        <v>419</v>
      </c>
      <c r="S389">
        <v>8</v>
      </c>
      <c r="T389" t="s">
        <v>1485</v>
      </c>
      <c r="U389" t="s">
        <v>492</v>
      </c>
      <c r="V389" t="s">
        <v>1181</v>
      </c>
      <c r="W389" t="s">
        <v>399</v>
      </c>
      <c r="X389" t="s">
        <v>472</v>
      </c>
      <c r="Y389" t="s">
        <v>2074</v>
      </c>
    </row>
    <row r="390" spans="2:25">
      <c r="B390" t="s">
        <v>2069</v>
      </c>
      <c r="C390" t="s" vm="39">
        <v>701</v>
      </c>
      <c r="D390" t="s">
        <v>100</v>
      </c>
      <c r="E390" t="s">
        <v>485</v>
      </c>
      <c r="F390" t="s">
        <v>461</v>
      </c>
      <c r="G390" t="s">
        <v>487</v>
      </c>
      <c r="H390" t="s">
        <v>123</v>
      </c>
      <c r="I390" t="s">
        <v>456</v>
      </c>
      <c r="J390" t="s">
        <v>463</v>
      </c>
      <c r="K390">
        <v>2</v>
      </c>
      <c r="L390" t="s">
        <v>486</v>
      </c>
      <c r="M390" t="s">
        <v>556</v>
      </c>
      <c r="N390" t="s">
        <v>450</v>
      </c>
      <c r="O390" t="s">
        <v>453</v>
      </c>
      <c r="P390" t="s">
        <v>157</v>
      </c>
      <c r="Q390">
        <v>8</v>
      </c>
      <c r="R390" t="s">
        <v>419</v>
      </c>
      <c r="S390">
        <v>8</v>
      </c>
      <c r="T390" t="s">
        <v>1485</v>
      </c>
      <c r="U390" t="s">
        <v>492</v>
      </c>
      <c r="V390" t="s">
        <v>1181</v>
      </c>
      <c r="W390" t="s">
        <v>399</v>
      </c>
      <c r="X390" t="s">
        <v>472</v>
      </c>
      <c r="Y390" t="s">
        <v>2073</v>
      </c>
    </row>
    <row r="391" spans="2:25">
      <c r="B391" t="s">
        <v>2069</v>
      </c>
      <c r="C391" t="s" vm="39">
        <v>701</v>
      </c>
      <c r="D391" t="s">
        <v>100</v>
      </c>
      <c r="E391" t="s">
        <v>485</v>
      </c>
      <c r="F391" t="s">
        <v>461</v>
      </c>
      <c r="G391" t="s">
        <v>487</v>
      </c>
      <c r="H391" t="s">
        <v>123</v>
      </c>
      <c r="I391" t="s">
        <v>456</v>
      </c>
      <c r="J391" t="s">
        <v>463</v>
      </c>
      <c r="K391">
        <v>2</v>
      </c>
      <c r="L391" t="s">
        <v>486</v>
      </c>
      <c r="M391" t="s">
        <v>556</v>
      </c>
      <c r="N391" t="s">
        <v>450</v>
      </c>
      <c r="O391" t="s">
        <v>453</v>
      </c>
      <c r="P391" t="s">
        <v>157</v>
      </c>
      <c r="Q391">
        <v>8</v>
      </c>
      <c r="R391" t="s">
        <v>419</v>
      </c>
      <c r="S391">
        <v>8</v>
      </c>
      <c r="T391" t="s">
        <v>1485</v>
      </c>
      <c r="U391" t="s">
        <v>492</v>
      </c>
      <c r="V391" t="s">
        <v>1181</v>
      </c>
      <c r="W391" t="s">
        <v>399</v>
      </c>
      <c r="X391" t="s">
        <v>472</v>
      </c>
      <c r="Y391" t="s">
        <v>2072</v>
      </c>
    </row>
    <row r="392" spans="2:25">
      <c r="B392" t="s">
        <v>2069</v>
      </c>
      <c r="C392" t="s" vm="39">
        <v>701</v>
      </c>
      <c r="D392" t="s">
        <v>100</v>
      </c>
      <c r="E392" t="s">
        <v>485</v>
      </c>
      <c r="F392" t="s">
        <v>461</v>
      </c>
      <c r="G392" t="s">
        <v>487</v>
      </c>
      <c r="H392" t="s">
        <v>123</v>
      </c>
      <c r="I392" t="s">
        <v>458</v>
      </c>
      <c r="J392" t="s">
        <v>463</v>
      </c>
      <c r="K392">
        <v>2</v>
      </c>
      <c r="L392" t="s">
        <v>486</v>
      </c>
      <c r="M392" t="s">
        <v>556</v>
      </c>
      <c r="N392" t="s">
        <v>450</v>
      </c>
      <c r="O392" t="s">
        <v>453</v>
      </c>
      <c r="P392" t="s">
        <v>157</v>
      </c>
      <c r="Q392">
        <v>8</v>
      </c>
      <c r="R392" t="s">
        <v>416</v>
      </c>
      <c r="S392">
        <v>8</v>
      </c>
      <c r="T392" t="s">
        <v>1485</v>
      </c>
      <c r="U392" t="s">
        <v>492</v>
      </c>
      <c r="V392" t="s">
        <v>1181</v>
      </c>
      <c r="W392" t="s">
        <v>399</v>
      </c>
      <c r="X392" t="s">
        <v>472</v>
      </c>
      <c r="Y392" t="s">
        <v>2071</v>
      </c>
    </row>
    <row r="393" spans="2:25">
      <c r="B393" t="s">
        <v>2069</v>
      </c>
      <c r="C393" t="s" vm="39">
        <v>701</v>
      </c>
      <c r="D393" t="s">
        <v>102</v>
      </c>
      <c r="E393" t="s">
        <v>485</v>
      </c>
      <c r="F393" t="s">
        <v>461</v>
      </c>
      <c r="G393" t="s">
        <v>473</v>
      </c>
      <c r="H393">
        <v>2</v>
      </c>
      <c r="I393" t="s">
        <v>456</v>
      </c>
      <c r="J393" t="s">
        <v>463</v>
      </c>
      <c r="K393">
        <v>2</v>
      </c>
      <c r="L393" t="s">
        <v>486</v>
      </c>
      <c r="M393" t="s">
        <v>556</v>
      </c>
      <c r="N393" t="s">
        <v>450</v>
      </c>
      <c r="O393" t="s">
        <v>453</v>
      </c>
      <c r="P393" t="s">
        <v>157</v>
      </c>
      <c r="Q393">
        <v>6</v>
      </c>
      <c r="R393" t="s">
        <v>159</v>
      </c>
      <c r="S393">
        <v>0</v>
      </c>
      <c r="T393" t="s">
        <v>402</v>
      </c>
      <c r="U393" t="s">
        <v>492</v>
      </c>
      <c r="V393" t="s">
        <v>1181</v>
      </c>
      <c r="W393" t="s">
        <v>399</v>
      </c>
      <c r="X393" t="s">
        <v>472</v>
      </c>
      <c r="Y393" t="s">
        <v>2070</v>
      </c>
    </row>
    <row r="394" spans="2:25">
      <c r="B394" t="s">
        <v>2065</v>
      </c>
      <c r="C394" t="s" vm="39">
        <v>701</v>
      </c>
      <c r="D394" t="s">
        <v>100</v>
      </c>
      <c r="E394" t="s">
        <v>485</v>
      </c>
      <c r="F394" t="s">
        <v>461</v>
      </c>
      <c r="G394" t="s">
        <v>473</v>
      </c>
      <c r="H394">
        <v>1</v>
      </c>
      <c r="I394" t="s">
        <v>458</v>
      </c>
      <c r="J394" t="s">
        <v>463</v>
      </c>
      <c r="K394">
        <v>1</v>
      </c>
      <c r="L394" t="s">
        <v>486</v>
      </c>
      <c r="M394" t="s">
        <v>556</v>
      </c>
      <c r="N394" t="s">
        <v>450</v>
      </c>
      <c r="O394" t="s">
        <v>453</v>
      </c>
      <c r="P394" t="s">
        <v>157</v>
      </c>
      <c r="Q394">
        <v>8</v>
      </c>
      <c r="R394" t="s">
        <v>416</v>
      </c>
      <c r="S394">
        <v>8</v>
      </c>
      <c r="T394" t="s">
        <v>1516</v>
      </c>
      <c r="U394" t="s">
        <v>492</v>
      </c>
      <c r="V394" t="s">
        <v>1181</v>
      </c>
      <c r="W394" t="s">
        <v>399</v>
      </c>
      <c r="X394" t="s">
        <v>472</v>
      </c>
      <c r="Y394" t="s">
        <v>2067</v>
      </c>
    </row>
    <row r="395" spans="2:25">
      <c r="B395" t="s">
        <v>2065</v>
      </c>
      <c r="C395" t="s" vm="39">
        <v>701</v>
      </c>
      <c r="D395" t="s">
        <v>100</v>
      </c>
      <c r="E395" t="s">
        <v>485</v>
      </c>
      <c r="F395" t="s">
        <v>461</v>
      </c>
      <c r="G395" t="s">
        <v>473</v>
      </c>
      <c r="H395">
        <v>1</v>
      </c>
      <c r="I395" t="s">
        <v>458</v>
      </c>
      <c r="J395" t="s">
        <v>463</v>
      </c>
      <c r="K395">
        <v>1</v>
      </c>
      <c r="L395" t="s">
        <v>486</v>
      </c>
      <c r="M395" t="s">
        <v>556</v>
      </c>
      <c r="N395" t="s">
        <v>450</v>
      </c>
      <c r="O395" t="s">
        <v>453</v>
      </c>
      <c r="P395" t="s">
        <v>157</v>
      </c>
      <c r="Q395">
        <v>8</v>
      </c>
      <c r="R395" t="s">
        <v>416</v>
      </c>
      <c r="S395">
        <v>8</v>
      </c>
      <c r="T395" t="s">
        <v>1516</v>
      </c>
      <c r="U395" t="s">
        <v>492</v>
      </c>
      <c r="V395" t="s">
        <v>1181</v>
      </c>
      <c r="W395" t="s">
        <v>399</v>
      </c>
      <c r="X395" t="s">
        <v>472</v>
      </c>
      <c r="Y395" t="s">
        <v>2067</v>
      </c>
    </row>
    <row r="396" spans="2:25">
      <c r="B396" t="s">
        <v>2065</v>
      </c>
      <c r="C396" t="s" vm="39">
        <v>701</v>
      </c>
      <c r="D396" t="s">
        <v>100</v>
      </c>
      <c r="E396" t="s">
        <v>485</v>
      </c>
      <c r="F396" t="s">
        <v>461</v>
      </c>
      <c r="G396" t="s">
        <v>473</v>
      </c>
      <c r="H396">
        <v>1</v>
      </c>
      <c r="I396" t="s">
        <v>456</v>
      </c>
      <c r="J396" t="s">
        <v>463</v>
      </c>
      <c r="K396">
        <v>2</v>
      </c>
      <c r="L396" t="s">
        <v>486</v>
      </c>
      <c r="M396" t="s">
        <v>556</v>
      </c>
      <c r="N396" t="s">
        <v>450</v>
      </c>
      <c r="O396" t="s">
        <v>453</v>
      </c>
      <c r="P396" t="s">
        <v>421</v>
      </c>
      <c r="Q396">
        <v>0</v>
      </c>
      <c r="R396" t="s">
        <v>416</v>
      </c>
      <c r="S396">
        <v>1</v>
      </c>
      <c r="T396" t="s">
        <v>1516</v>
      </c>
      <c r="U396" t="s">
        <v>492</v>
      </c>
      <c r="V396" t="s">
        <v>1181</v>
      </c>
      <c r="W396" t="s">
        <v>399</v>
      </c>
      <c r="X396" t="s">
        <v>472</v>
      </c>
      <c r="Y396" t="s">
        <v>2066</v>
      </c>
    </row>
    <row r="397" spans="2:25">
      <c r="B397" t="s">
        <v>2065</v>
      </c>
      <c r="C397" t="s" vm="39">
        <v>701</v>
      </c>
      <c r="D397" t="s">
        <v>100</v>
      </c>
      <c r="E397" t="s">
        <v>485</v>
      </c>
      <c r="F397" t="s">
        <v>461</v>
      </c>
      <c r="G397" t="s">
        <v>473</v>
      </c>
      <c r="H397">
        <v>1</v>
      </c>
      <c r="I397" t="s">
        <v>456</v>
      </c>
      <c r="J397" t="s">
        <v>463</v>
      </c>
      <c r="K397">
        <v>2</v>
      </c>
      <c r="L397" t="s">
        <v>486</v>
      </c>
      <c r="M397" t="s">
        <v>556</v>
      </c>
      <c r="N397" t="s">
        <v>450</v>
      </c>
      <c r="O397" t="s">
        <v>453</v>
      </c>
      <c r="P397" t="s">
        <v>421</v>
      </c>
      <c r="Q397">
        <v>0</v>
      </c>
      <c r="R397" t="s">
        <v>416</v>
      </c>
      <c r="S397">
        <v>1</v>
      </c>
      <c r="T397" t="s">
        <v>1516</v>
      </c>
      <c r="U397" t="s">
        <v>492</v>
      </c>
      <c r="V397" t="s">
        <v>1181</v>
      </c>
      <c r="W397" t="s">
        <v>399</v>
      </c>
      <c r="X397" t="s">
        <v>472</v>
      </c>
      <c r="Y397" t="s">
        <v>2066</v>
      </c>
    </row>
    <row r="398" spans="2:25">
      <c r="B398" t="s">
        <v>2061</v>
      </c>
      <c r="C398" t="s" vm="39">
        <v>701</v>
      </c>
      <c r="D398" t="s">
        <v>100</v>
      </c>
      <c r="E398" t="s">
        <v>485</v>
      </c>
      <c r="F398" t="s">
        <v>461</v>
      </c>
      <c r="G398" t="s">
        <v>473</v>
      </c>
      <c r="H398">
        <v>1</v>
      </c>
      <c r="I398" t="s">
        <v>456</v>
      </c>
      <c r="J398" t="s">
        <v>463</v>
      </c>
      <c r="K398">
        <v>2</v>
      </c>
      <c r="L398" t="s">
        <v>486</v>
      </c>
      <c r="M398" t="s">
        <v>556</v>
      </c>
      <c r="N398" t="s">
        <v>450</v>
      </c>
      <c r="O398" t="s">
        <v>453</v>
      </c>
      <c r="P398" t="s">
        <v>421</v>
      </c>
      <c r="Q398">
        <v>0</v>
      </c>
      <c r="R398" t="s">
        <v>159</v>
      </c>
      <c r="S398">
        <v>0</v>
      </c>
      <c r="T398" t="s">
        <v>1516</v>
      </c>
      <c r="U398" t="s">
        <v>492</v>
      </c>
      <c r="V398" t="s">
        <v>1181</v>
      </c>
      <c r="W398" t="s">
        <v>399</v>
      </c>
      <c r="X398" t="s">
        <v>472</v>
      </c>
      <c r="Y398" t="s">
        <v>2064</v>
      </c>
    </row>
    <row r="399" spans="2:25">
      <c r="B399" t="s">
        <v>2061</v>
      </c>
      <c r="C399" t="s" vm="39">
        <v>701</v>
      </c>
      <c r="D399" t="s">
        <v>100</v>
      </c>
      <c r="E399" t="s">
        <v>485</v>
      </c>
      <c r="F399" t="s">
        <v>461</v>
      </c>
      <c r="G399" t="s">
        <v>473</v>
      </c>
      <c r="H399">
        <v>1</v>
      </c>
      <c r="I399" t="s">
        <v>456</v>
      </c>
      <c r="J399" t="s">
        <v>463</v>
      </c>
      <c r="K399">
        <v>2</v>
      </c>
      <c r="L399" t="s">
        <v>486</v>
      </c>
      <c r="M399" t="s">
        <v>556</v>
      </c>
      <c r="N399" t="s">
        <v>450</v>
      </c>
      <c r="O399" t="s">
        <v>453</v>
      </c>
      <c r="P399" t="s">
        <v>421</v>
      </c>
      <c r="Q399">
        <v>0</v>
      </c>
      <c r="R399" t="s">
        <v>159</v>
      </c>
      <c r="S399">
        <v>0</v>
      </c>
      <c r="T399" t="s">
        <v>1516</v>
      </c>
      <c r="U399" t="s">
        <v>492</v>
      </c>
      <c r="V399" t="s">
        <v>1181</v>
      </c>
      <c r="W399" t="s">
        <v>399</v>
      </c>
      <c r="X399" t="s">
        <v>472</v>
      </c>
      <c r="Y399" t="s">
        <v>2062</v>
      </c>
    </row>
    <row r="400" spans="2:25">
      <c r="B400" t="s">
        <v>2057</v>
      </c>
      <c r="C400" t="s" vm="39">
        <v>701</v>
      </c>
      <c r="D400" t="s">
        <v>333</v>
      </c>
      <c r="E400" t="s">
        <v>485</v>
      </c>
      <c r="F400" t="s">
        <v>461</v>
      </c>
      <c r="G400" t="s">
        <v>473</v>
      </c>
      <c r="H400">
        <v>2</v>
      </c>
      <c r="I400" t="s">
        <v>459</v>
      </c>
      <c r="J400" t="s">
        <v>463</v>
      </c>
      <c r="K400">
        <v>2</v>
      </c>
      <c r="L400" t="s">
        <v>486</v>
      </c>
      <c r="M400" t="s">
        <v>1475</v>
      </c>
      <c r="N400" t="s">
        <v>450</v>
      </c>
      <c r="O400" t="s">
        <v>453</v>
      </c>
      <c r="P400" t="s">
        <v>421</v>
      </c>
      <c r="Q400">
        <v>0</v>
      </c>
      <c r="R400" t="s">
        <v>159</v>
      </c>
      <c r="S400">
        <v>0</v>
      </c>
      <c r="T400" t="s">
        <v>1516</v>
      </c>
      <c r="U400" t="s">
        <v>492</v>
      </c>
      <c r="V400" t="s">
        <v>1181</v>
      </c>
      <c r="W400" t="s">
        <v>399</v>
      </c>
      <c r="X400" t="s">
        <v>401</v>
      </c>
      <c r="Y400" t="s">
        <v>2060</v>
      </c>
    </row>
    <row r="401" spans="2:25">
      <c r="B401" t="s">
        <v>2057</v>
      </c>
      <c r="C401" t="s" vm="39">
        <v>701</v>
      </c>
      <c r="D401" t="s">
        <v>333</v>
      </c>
      <c r="E401" t="s">
        <v>485</v>
      </c>
      <c r="F401" t="s">
        <v>461</v>
      </c>
      <c r="G401" t="s">
        <v>473</v>
      </c>
      <c r="H401">
        <v>2</v>
      </c>
      <c r="I401" t="s">
        <v>459</v>
      </c>
      <c r="J401" t="s">
        <v>463</v>
      </c>
      <c r="K401">
        <v>2</v>
      </c>
      <c r="L401" t="s">
        <v>486</v>
      </c>
      <c r="M401" t="s">
        <v>1475</v>
      </c>
      <c r="N401" t="s">
        <v>450</v>
      </c>
      <c r="O401" t="s">
        <v>453</v>
      </c>
      <c r="P401" t="s">
        <v>421</v>
      </c>
      <c r="Q401">
        <v>0</v>
      </c>
      <c r="R401" t="s">
        <v>159</v>
      </c>
      <c r="S401">
        <v>0</v>
      </c>
      <c r="T401" t="s">
        <v>1516</v>
      </c>
      <c r="U401" t="s">
        <v>492</v>
      </c>
      <c r="V401" t="s">
        <v>1181</v>
      </c>
      <c r="W401" t="s">
        <v>399</v>
      </c>
      <c r="X401" t="s">
        <v>401</v>
      </c>
      <c r="Y401" t="s">
        <v>2060</v>
      </c>
    </row>
    <row r="402" spans="2:25">
      <c r="B402" t="s">
        <v>2057</v>
      </c>
      <c r="C402" t="s" vm="39">
        <v>701</v>
      </c>
      <c r="D402" t="s">
        <v>333</v>
      </c>
      <c r="E402" t="s">
        <v>485</v>
      </c>
      <c r="F402" t="s">
        <v>461</v>
      </c>
      <c r="G402" t="s">
        <v>473</v>
      </c>
      <c r="H402">
        <v>2</v>
      </c>
      <c r="I402" t="s">
        <v>460</v>
      </c>
      <c r="J402" t="s">
        <v>463</v>
      </c>
      <c r="K402">
        <v>2</v>
      </c>
      <c r="L402" t="s">
        <v>486</v>
      </c>
      <c r="M402" t="s">
        <v>1475</v>
      </c>
      <c r="N402" t="s">
        <v>450</v>
      </c>
      <c r="O402" t="s">
        <v>453</v>
      </c>
      <c r="P402" t="s">
        <v>421</v>
      </c>
      <c r="Q402">
        <v>0</v>
      </c>
      <c r="R402" t="s">
        <v>159</v>
      </c>
      <c r="S402">
        <v>0</v>
      </c>
      <c r="T402" t="s">
        <v>1516</v>
      </c>
      <c r="U402" t="s">
        <v>492</v>
      </c>
      <c r="V402" t="s">
        <v>1181</v>
      </c>
      <c r="W402" t="s">
        <v>399</v>
      </c>
      <c r="X402" t="s">
        <v>401</v>
      </c>
      <c r="Y402" t="s">
        <v>2058</v>
      </c>
    </row>
    <row r="403" spans="2:25">
      <c r="B403" t="s">
        <v>2057</v>
      </c>
      <c r="C403" t="s" vm="39">
        <v>701</v>
      </c>
      <c r="D403" t="s">
        <v>333</v>
      </c>
      <c r="E403" t="s">
        <v>485</v>
      </c>
      <c r="F403" t="s">
        <v>461</v>
      </c>
      <c r="G403" t="s">
        <v>473</v>
      </c>
      <c r="H403">
        <v>2</v>
      </c>
      <c r="I403" t="s">
        <v>459</v>
      </c>
      <c r="J403" t="s">
        <v>463</v>
      </c>
      <c r="K403">
        <v>2</v>
      </c>
      <c r="L403" t="s">
        <v>486</v>
      </c>
      <c r="M403" t="s">
        <v>1475</v>
      </c>
      <c r="N403" t="s">
        <v>450</v>
      </c>
      <c r="O403" t="s">
        <v>453</v>
      </c>
      <c r="P403" t="s">
        <v>421</v>
      </c>
      <c r="Q403">
        <v>0</v>
      </c>
      <c r="R403" t="s">
        <v>159</v>
      </c>
      <c r="S403">
        <v>0</v>
      </c>
      <c r="T403" t="s">
        <v>1516</v>
      </c>
      <c r="U403" t="s">
        <v>492</v>
      </c>
      <c r="V403" t="s">
        <v>1181</v>
      </c>
      <c r="W403" t="s">
        <v>399</v>
      </c>
      <c r="X403" t="s">
        <v>401</v>
      </c>
      <c r="Y403" t="s">
        <v>2060</v>
      </c>
    </row>
    <row r="404" spans="2:25">
      <c r="B404" t="s">
        <v>2057</v>
      </c>
      <c r="C404" t="s" vm="39">
        <v>701</v>
      </c>
      <c r="D404" t="s">
        <v>333</v>
      </c>
      <c r="E404" t="s">
        <v>485</v>
      </c>
      <c r="F404" t="s">
        <v>461</v>
      </c>
      <c r="G404" t="s">
        <v>473</v>
      </c>
      <c r="H404">
        <v>2</v>
      </c>
      <c r="I404" t="s">
        <v>460</v>
      </c>
      <c r="J404" t="s">
        <v>463</v>
      </c>
      <c r="K404">
        <v>2</v>
      </c>
      <c r="L404" t="s">
        <v>486</v>
      </c>
      <c r="M404" t="s">
        <v>1475</v>
      </c>
      <c r="N404" t="s">
        <v>450</v>
      </c>
      <c r="O404" t="s">
        <v>453</v>
      </c>
      <c r="P404" t="s">
        <v>421</v>
      </c>
      <c r="Q404">
        <v>0</v>
      </c>
      <c r="R404" t="s">
        <v>159</v>
      </c>
      <c r="S404">
        <v>0</v>
      </c>
      <c r="T404" t="s">
        <v>1516</v>
      </c>
      <c r="U404" t="s">
        <v>492</v>
      </c>
      <c r="V404" t="s">
        <v>1181</v>
      </c>
      <c r="W404" t="s">
        <v>399</v>
      </c>
      <c r="X404" t="s">
        <v>401</v>
      </c>
      <c r="Y404" t="s">
        <v>2058</v>
      </c>
    </row>
    <row r="405" spans="2:25">
      <c r="B405" t="s">
        <v>2057</v>
      </c>
      <c r="C405" t="s" vm="39">
        <v>701</v>
      </c>
      <c r="D405" t="s">
        <v>333</v>
      </c>
      <c r="E405" t="s">
        <v>485</v>
      </c>
      <c r="F405" t="s">
        <v>461</v>
      </c>
      <c r="G405" t="s">
        <v>473</v>
      </c>
      <c r="H405">
        <v>2</v>
      </c>
      <c r="I405" t="s">
        <v>458</v>
      </c>
      <c r="J405" t="s">
        <v>463</v>
      </c>
      <c r="K405">
        <v>2</v>
      </c>
      <c r="L405" t="s">
        <v>486</v>
      </c>
      <c r="M405" t="s">
        <v>1475</v>
      </c>
      <c r="N405" t="s">
        <v>450</v>
      </c>
      <c r="O405" t="s">
        <v>453</v>
      </c>
      <c r="P405" t="s">
        <v>421</v>
      </c>
      <c r="Q405">
        <v>0</v>
      </c>
      <c r="R405" t="s">
        <v>159</v>
      </c>
      <c r="S405">
        <v>0</v>
      </c>
      <c r="T405" t="s">
        <v>1516</v>
      </c>
      <c r="U405" t="s">
        <v>492</v>
      </c>
      <c r="V405" t="s">
        <v>1181</v>
      </c>
      <c r="W405" t="s">
        <v>399</v>
      </c>
      <c r="X405" t="s">
        <v>401</v>
      </c>
      <c r="Y405" t="s">
        <v>2059</v>
      </c>
    </row>
    <row r="406" spans="2:25">
      <c r="B406" t="s">
        <v>2057</v>
      </c>
      <c r="C406" t="s" vm="39">
        <v>701</v>
      </c>
      <c r="D406" t="s">
        <v>333</v>
      </c>
      <c r="E406" t="s">
        <v>485</v>
      </c>
      <c r="F406" t="s">
        <v>461</v>
      </c>
      <c r="G406" t="s">
        <v>473</v>
      </c>
      <c r="H406">
        <v>2</v>
      </c>
      <c r="I406" t="s">
        <v>460</v>
      </c>
      <c r="J406" t="s">
        <v>463</v>
      </c>
      <c r="K406">
        <v>2</v>
      </c>
      <c r="L406" t="s">
        <v>486</v>
      </c>
      <c r="M406" t="s">
        <v>1475</v>
      </c>
      <c r="N406" t="s">
        <v>450</v>
      </c>
      <c r="O406" t="s">
        <v>453</v>
      </c>
      <c r="P406" t="s">
        <v>421</v>
      </c>
      <c r="Q406">
        <v>0</v>
      </c>
      <c r="R406" t="s">
        <v>159</v>
      </c>
      <c r="S406">
        <v>0</v>
      </c>
      <c r="T406" t="s">
        <v>1516</v>
      </c>
      <c r="U406" t="s">
        <v>492</v>
      </c>
      <c r="V406" t="s">
        <v>1181</v>
      </c>
      <c r="W406" t="s">
        <v>399</v>
      </c>
      <c r="X406" t="s">
        <v>401</v>
      </c>
      <c r="Y406" t="s">
        <v>2058</v>
      </c>
    </row>
    <row r="407" spans="2:25">
      <c r="B407" t="s">
        <v>2053</v>
      </c>
      <c r="C407" t="s" vm="39">
        <v>701</v>
      </c>
      <c r="D407" t="s">
        <v>333</v>
      </c>
      <c r="E407" t="s">
        <v>485</v>
      </c>
      <c r="F407" t="s">
        <v>461</v>
      </c>
      <c r="G407" t="s">
        <v>473</v>
      </c>
      <c r="H407">
        <v>2</v>
      </c>
      <c r="I407" t="s">
        <v>456</v>
      </c>
      <c r="J407" t="s">
        <v>463</v>
      </c>
      <c r="K407">
        <v>2</v>
      </c>
      <c r="L407" t="s">
        <v>486</v>
      </c>
      <c r="M407" t="s">
        <v>1475</v>
      </c>
      <c r="N407" t="s">
        <v>450</v>
      </c>
      <c r="O407" t="s">
        <v>453</v>
      </c>
      <c r="P407" t="s">
        <v>421</v>
      </c>
      <c r="Q407">
        <v>0</v>
      </c>
      <c r="R407" t="s">
        <v>159</v>
      </c>
      <c r="S407">
        <v>0</v>
      </c>
      <c r="T407" t="s">
        <v>1516</v>
      </c>
      <c r="U407" t="s">
        <v>492</v>
      </c>
      <c r="V407" t="s">
        <v>1181</v>
      </c>
      <c r="W407" t="s">
        <v>399</v>
      </c>
      <c r="X407" t="s">
        <v>401</v>
      </c>
      <c r="Y407" t="s">
        <v>2054</v>
      </c>
    </row>
    <row r="408" spans="2:25">
      <c r="B408" t="s">
        <v>2050</v>
      </c>
      <c r="C408" t="s" vm="39">
        <v>701</v>
      </c>
      <c r="D408" t="s">
        <v>100</v>
      </c>
      <c r="E408" t="s">
        <v>485</v>
      </c>
      <c r="F408" t="s">
        <v>461</v>
      </c>
      <c r="G408" t="s">
        <v>473</v>
      </c>
      <c r="H408">
        <v>1</v>
      </c>
      <c r="I408" t="s">
        <v>458</v>
      </c>
      <c r="J408" t="s">
        <v>463</v>
      </c>
      <c r="K408">
        <v>2</v>
      </c>
      <c r="L408" t="s">
        <v>486</v>
      </c>
      <c r="M408" t="s">
        <v>556</v>
      </c>
      <c r="N408" t="s">
        <v>450</v>
      </c>
      <c r="O408" t="s">
        <v>453</v>
      </c>
      <c r="P408" t="s">
        <v>421</v>
      </c>
      <c r="Q408">
        <v>0</v>
      </c>
      <c r="R408" t="s">
        <v>159</v>
      </c>
      <c r="S408">
        <v>0</v>
      </c>
      <c r="T408" t="s">
        <v>1516</v>
      </c>
      <c r="U408" t="s">
        <v>492</v>
      </c>
      <c r="V408" t="s">
        <v>1181</v>
      </c>
      <c r="W408" t="s">
        <v>399</v>
      </c>
      <c r="X408" t="s">
        <v>472</v>
      </c>
      <c r="Y408" t="s">
        <v>2051</v>
      </c>
    </row>
    <row r="409" spans="2:25">
      <c r="B409" t="s">
        <v>2046</v>
      </c>
      <c r="C409" t="s" vm="39">
        <v>701</v>
      </c>
      <c r="D409" t="s">
        <v>1019</v>
      </c>
      <c r="E409" t="s">
        <v>485</v>
      </c>
      <c r="F409" t="s">
        <v>461</v>
      </c>
      <c r="G409" t="s">
        <v>473</v>
      </c>
      <c r="H409">
        <v>2</v>
      </c>
      <c r="I409" t="s">
        <v>456</v>
      </c>
      <c r="J409" t="s">
        <v>463</v>
      </c>
      <c r="K409">
        <v>2</v>
      </c>
      <c r="L409" t="s">
        <v>486</v>
      </c>
      <c r="M409" t="s">
        <v>1864</v>
      </c>
      <c r="N409" t="s">
        <v>450</v>
      </c>
      <c r="O409" t="s">
        <v>453</v>
      </c>
      <c r="P409" t="s">
        <v>421</v>
      </c>
      <c r="Q409">
        <v>0</v>
      </c>
      <c r="R409" t="s">
        <v>159</v>
      </c>
      <c r="S409">
        <v>0</v>
      </c>
      <c r="T409" t="s">
        <v>1516</v>
      </c>
      <c r="U409" t="s">
        <v>492</v>
      </c>
      <c r="V409" t="s">
        <v>1181</v>
      </c>
      <c r="W409" t="s">
        <v>399</v>
      </c>
      <c r="X409" t="s">
        <v>401</v>
      </c>
      <c r="Y409" t="s">
        <v>2049</v>
      </c>
    </row>
    <row r="410" spans="2:25">
      <c r="B410" t="s">
        <v>2046</v>
      </c>
      <c r="C410" t="s" vm="39">
        <v>701</v>
      </c>
      <c r="D410" t="s">
        <v>1019</v>
      </c>
      <c r="E410" t="s">
        <v>485</v>
      </c>
      <c r="F410" t="s">
        <v>461</v>
      </c>
      <c r="G410" t="s">
        <v>473</v>
      </c>
      <c r="H410">
        <v>2</v>
      </c>
      <c r="I410" t="s">
        <v>456</v>
      </c>
      <c r="J410" t="s">
        <v>462</v>
      </c>
      <c r="K410">
        <v>2</v>
      </c>
      <c r="L410" t="s">
        <v>486</v>
      </c>
      <c r="M410" t="s">
        <v>1864</v>
      </c>
      <c r="N410" t="s">
        <v>450</v>
      </c>
      <c r="O410" t="s">
        <v>453</v>
      </c>
      <c r="P410" t="s">
        <v>421</v>
      </c>
      <c r="Q410">
        <v>0</v>
      </c>
      <c r="R410" t="s">
        <v>159</v>
      </c>
      <c r="S410">
        <v>0</v>
      </c>
      <c r="T410" t="s">
        <v>1516</v>
      </c>
      <c r="U410" t="s">
        <v>492</v>
      </c>
      <c r="V410" t="s">
        <v>1181</v>
      </c>
      <c r="W410" t="s">
        <v>399</v>
      </c>
      <c r="X410" t="s">
        <v>401</v>
      </c>
      <c r="Y410" t="s">
        <v>2048</v>
      </c>
    </row>
    <row r="411" spans="2:25">
      <c r="B411" t="s">
        <v>2046</v>
      </c>
      <c r="C411" t="s" vm="39">
        <v>701</v>
      </c>
      <c r="D411" t="s">
        <v>1019</v>
      </c>
      <c r="E411" t="s">
        <v>485</v>
      </c>
      <c r="F411" t="s">
        <v>461</v>
      </c>
      <c r="G411" t="s">
        <v>473</v>
      </c>
      <c r="H411">
        <v>2</v>
      </c>
      <c r="I411" t="s">
        <v>456</v>
      </c>
      <c r="J411" t="s">
        <v>462</v>
      </c>
      <c r="K411">
        <v>2</v>
      </c>
      <c r="L411" t="s">
        <v>486</v>
      </c>
      <c r="M411" t="s">
        <v>1864</v>
      </c>
      <c r="N411" t="s">
        <v>450</v>
      </c>
      <c r="O411" t="s">
        <v>453</v>
      </c>
      <c r="P411" t="s">
        <v>421</v>
      </c>
      <c r="Q411">
        <v>0</v>
      </c>
      <c r="R411" t="s">
        <v>159</v>
      </c>
      <c r="S411">
        <v>0</v>
      </c>
      <c r="T411" t="s">
        <v>1516</v>
      </c>
      <c r="U411" t="s">
        <v>492</v>
      </c>
      <c r="V411" t="s">
        <v>1181</v>
      </c>
      <c r="W411" t="s">
        <v>399</v>
      </c>
      <c r="X411" t="s">
        <v>401</v>
      </c>
      <c r="Y411" t="s">
        <v>2048</v>
      </c>
    </row>
    <row r="412" spans="2:25">
      <c r="B412" t="s">
        <v>2046</v>
      </c>
      <c r="C412" t="s" vm="39">
        <v>701</v>
      </c>
      <c r="D412" t="s">
        <v>1019</v>
      </c>
      <c r="E412" t="s">
        <v>485</v>
      </c>
      <c r="F412" t="s">
        <v>461</v>
      </c>
      <c r="G412" t="s">
        <v>473</v>
      </c>
      <c r="H412">
        <v>2</v>
      </c>
      <c r="I412" t="s">
        <v>456</v>
      </c>
      <c r="J412" t="s">
        <v>462</v>
      </c>
      <c r="K412">
        <v>2</v>
      </c>
      <c r="L412" t="s">
        <v>486</v>
      </c>
      <c r="M412" t="s">
        <v>1864</v>
      </c>
      <c r="N412" t="s">
        <v>450</v>
      </c>
      <c r="O412" t="s">
        <v>453</v>
      </c>
      <c r="P412" t="s">
        <v>421</v>
      </c>
      <c r="Q412">
        <v>0</v>
      </c>
      <c r="R412" t="s">
        <v>159</v>
      </c>
      <c r="S412">
        <v>0</v>
      </c>
      <c r="T412" t="s">
        <v>1516</v>
      </c>
      <c r="U412" t="s">
        <v>492</v>
      </c>
      <c r="V412" t="s">
        <v>1181</v>
      </c>
      <c r="W412" t="s">
        <v>399</v>
      </c>
      <c r="X412" t="s">
        <v>401</v>
      </c>
      <c r="Y412" t="s">
        <v>2047</v>
      </c>
    </row>
    <row r="413" spans="2:25">
      <c r="B413" t="s">
        <v>2044</v>
      </c>
      <c r="C413" t="s" vm="39">
        <v>701</v>
      </c>
      <c r="D413" t="s">
        <v>102</v>
      </c>
      <c r="E413" t="s">
        <v>485</v>
      </c>
      <c r="F413" t="s">
        <v>461</v>
      </c>
      <c r="G413" t="s">
        <v>473</v>
      </c>
      <c r="H413">
        <v>1</v>
      </c>
      <c r="I413" t="s">
        <v>458</v>
      </c>
      <c r="J413" t="s">
        <v>462</v>
      </c>
      <c r="K413">
        <v>2</v>
      </c>
      <c r="L413" t="s">
        <v>486</v>
      </c>
      <c r="M413" t="s">
        <v>556</v>
      </c>
      <c r="N413" t="s">
        <v>450</v>
      </c>
      <c r="O413" t="s">
        <v>453</v>
      </c>
      <c r="P413" t="s">
        <v>421</v>
      </c>
      <c r="Q413">
        <v>0</v>
      </c>
      <c r="R413" t="s">
        <v>159</v>
      </c>
      <c r="S413">
        <v>0</v>
      </c>
      <c r="T413" t="s">
        <v>1516</v>
      </c>
      <c r="U413" t="s">
        <v>492</v>
      </c>
      <c r="V413" t="s">
        <v>1181</v>
      </c>
      <c r="W413" t="s">
        <v>399</v>
      </c>
      <c r="X413" t="s">
        <v>401</v>
      </c>
      <c r="Y413" t="s">
        <v>2045</v>
      </c>
    </row>
    <row r="414" spans="2:25">
      <c r="B414" t="s">
        <v>2041</v>
      </c>
      <c r="C414" t="s" vm="39">
        <v>701</v>
      </c>
      <c r="D414" t="s">
        <v>102</v>
      </c>
      <c r="E414" t="s">
        <v>485</v>
      </c>
      <c r="F414" t="s">
        <v>461</v>
      </c>
      <c r="G414" t="s">
        <v>473</v>
      </c>
      <c r="H414">
        <v>2</v>
      </c>
      <c r="I414" t="s">
        <v>456</v>
      </c>
      <c r="J414" t="s">
        <v>463</v>
      </c>
      <c r="K414">
        <v>2</v>
      </c>
      <c r="L414" t="s">
        <v>486</v>
      </c>
      <c r="M414" t="s">
        <v>1022</v>
      </c>
      <c r="N414" t="s">
        <v>450</v>
      </c>
      <c r="O414" t="s">
        <v>453</v>
      </c>
      <c r="P414" t="s">
        <v>421</v>
      </c>
      <c r="Q414">
        <v>0</v>
      </c>
      <c r="R414" t="s">
        <v>159</v>
      </c>
      <c r="S414">
        <v>0</v>
      </c>
      <c r="T414" t="s">
        <v>402</v>
      </c>
      <c r="U414" t="s">
        <v>492</v>
      </c>
      <c r="V414" t="s">
        <v>1181</v>
      </c>
      <c r="W414" t="s">
        <v>399</v>
      </c>
      <c r="X414" t="s">
        <v>401</v>
      </c>
      <c r="Y414" t="s">
        <v>2043</v>
      </c>
    </row>
    <row r="415" spans="2:25">
      <c r="B415" t="s">
        <v>2041</v>
      </c>
      <c r="C415" t="s" vm="39">
        <v>701</v>
      </c>
      <c r="D415" t="s">
        <v>102</v>
      </c>
      <c r="E415" t="s">
        <v>485</v>
      </c>
      <c r="F415" t="s">
        <v>461</v>
      </c>
      <c r="G415" t="s">
        <v>473</v>
      </c>
      <c r="H415">
        <v>2</v>
      </c>
      <c r="I415" t="s">
        <v>458</v>
      </c>
      <c r="J415" t="s">
        <v>463</v>
      </c>
      <c r="K415">
        <v>2</v>
      </c>
      <c r="L415" t="s">
        <v>486</v>
      </c>
      <c r="M415" t="s">
        <v>1022</v>
      </c>
      <c r="N415" t="s">
        <v>450</v>
      </c>
      <c r="O415" t="s">
        <v>453</v>
      </c>
      <c r="P415" t="s">
        <v>421</v>
      </c>
      <c r="Q415">
        <v>0</v>
      </c>
      <c r="R415" t="s">
        <v>159</v>
      </c>
      <c r="S415">
        <v>0</v>
      </c>
      <c r="T415" t="s">
        <v>402</v>
      </c>
      <c r="U415" t="s">
        <v>492</v>
      </c>
      <c r="V415" t="s">
        <v>1181</v>
      </c>
      <c r="W415" t="s">
        <v>399</v>
      </c>
      <c r="X415" t="s">
        <v>401</v>
      </c>
      <c r="Y415" t="s">
        <v>2042</v>
      </c>
    </row>
    <row r="416" spans="2:25">
      <c r="B416" t="s">
        <v>2038</v>
      </c>
      <c r="C416" t="s" vm="39">
        <v>701</v>
      </c>
      <c r="D416" t="s">
        <v>100</v>
      </c>
      <c r="E416" t="s">
        <v>485</v>
      </c>
      <c r="F416" t="s">
        <v>461</v>
      </c>
      <c r="G416" t="s">
        <v>487</v>
      </c>
      <c r="H416" t="s">
        <v>123</v>
      </c>
      <c r="I416" t="s">
        <v>456</v>
      </c>
      <c r="J416" t="s">
        <v>463</v>
      </c>
      <c r="K416">
        <v>2</v>
      </c>
      <c r="L416" t="s">
        <v>486</v>
      </c>
      <c r="M416" t="s">
        <v>556</v>
      </c>
      <c r="N416" t="s">
        <v>450</v>
      </c>
      <c r="O416" t="s">
        <v>453</v>
      </c>
      <c r="P416" t="s">
        <v>158</v>
      </c>
      <c r="Q416">
        <v>8</v>
      </c>
      <c r="R416" t="s">
        <v>416</v>
      </c>
      <c r="S416">
        <v>8</v>
      </c>
      <c r="T416" t="s">
        <v>402</v>
      </c>
      <c r="U416" t="s">
        <v>492</v>
      </c>
      <c r="V416" t="s">
        <v>1181</v>
      </c>
      <c r="W416" t="s">
        <v>399</v>
      </c>
      <c r="X416" t="s">
        <v>472</v>
      </c>
      <c r="Y416" t="s">
        <v>2039</v>
      </c>
    </row>
    <row r="417" spans="2:25">
      <c r="B417" t="s">
        <v>2035</v>
      </c>
      <c r="C417" t="s" vm="39">
        <v>701</v>
      </c>
      <c r="D417" t="s">
        <v>100</v>
      </c>
      <c r="E417" t="s">
        <v>485</v>
      </c>
      <c r="F417" t="s">
        <v>461</v>
      </c>
      <c r="G417" t="s">
        <v>487</v>
      </c>
      <c r="H417" t="s">
        <v>123</v>
      </c>
      <c r="I417" t="s">
        <v>460</v>
      </c>
      <c r="J417" t="s">
        <v>462</v>
      </c>
      <c r="K417">
        <v>2</v>
      </c>
      <c r="L417" t="s">
        <v>486</v>
      </c>
      <c r="M417" t="s">
        <v>492</v>
      </c>
      <c r="N417" t="s">
        <v>450</v>
      </c>
      <c r="O417" t="s">
        <v>453</v>
      </c>
      <c r="P417" t="s">
        <v>421</v>
      </c>
      <c r="Q417">
        <v>0</v>
      </c>
      <c r="R417" t="s">
        <v>159</v>
      </c>
      <c r="S417">
        <v>0</v>
      </c>
      <c r="T417" t="s">
        <v>402</v>
      </c>
      <c r="U417" t="s">
        <v>492</v>
      </c>
      <c r="V417" t="s">
        <v>1181</v>
      </c>
      <c r="W417" t="s">
        <v>399</v>
      </c>
      <c r="X417" t="s">
        <v>472</v>
      </c>
      <c r="Y417" t="s">
        <v>2037</v>
      </c>
    </row>
    <row r="418" spans="2:25">
      <c r="B418" t="s">
        <v>2035</v>
      </c>
      <c r="C418" t="s" vm="39">
        <v>701</v>
      </c>
      <c r="D418" t="s">
        <v>100</v>
      </c>
      <c r="E418" t="s">
        <v>485</v>
      </c>
      <c r="F418" t="s">
        <v>461</v>
      </c>
      <c r="G418" t="s">
        <v>487</v>
      </c>
      <c r="H418" t="s">
        <v>123</v>
      </c>
      <c r="I418" t="s">
        <v>456</v>
      </c>
      <c r="J418" t="s">
        <v>463</v>
      </c>
      <c r="K418">
        <v>2</v>
      </c>
      <c r="L418" t="s">
        <v>486</v>
      </c>
      <c r="M418" t="s">
        <v>556</v>
      </c>
      <c r="N418" t="s">
        <v>450</v>
      </c>
      <c r="O418" t="s">
        <v>453</v>
      </c>
      <c r="P418" t="s">
        <v>421</v>
      </c>
      <c r="Q418">
        <v>0</v>
      </c>
      <c r="R418" t="s">
        <v>159</v>
      </c>
      <c r="S418">
        <v>0</v>
      </c>
      <c r="T418" t="s">
        <v>402</v>
      </c>
      <c r="U418" t="s">
        <v>492</v>
      </c>
      <c r="V418" t="s">
        <v>1181</v>
      </c>
      <c r="W418" t="s">
        <v>399</v>
      </c>
      <c r="X418" t="s">
        <v>472</v>
      </c>
      <c r="Y418" t="s">
        <v>2036</v>
      </c>
    </row>
    <row r="419" spans="2:25">
      <c r="B419" t="s">
        <v>2032</v>
      </c>
      <c r="C419" t="s" vm="39">
        <v>701</v>
      </c>
      <c r="D419" t="s">
        <v>100</v>
      </c>
      <c r="E419" t="s">
        <v>485</v>
      </c>
      <c r="F419" t="s">
        <v>461</v>
      </c>
      <c r="G419" t="s">
        <v>473</v>
      </c>
      <c r="H419">
        <v>1</v>
      </c>
      <c r="I419" t="s">
        <v>458</v>
      </c>
      <c r="J419" t="s">
        <v>462</v>
      </c>
      <c r="K419">
        <v>2</v>
      </c>
      <c r="L419" t="s">
        <v>486</v>
      </c>
      <c r="M419" t="s">
        <v>556</v>
      </c>
      <c r="N419" t="s">
        <v>450</v>
      </c>
      <c r="O419" t="s">
        <v>453</v>
      </c>
      <c r="P419" t="s">
        <v>421</v>
      </c>
      <c r="Q419">
        <v>0</v>
      </c>
      <c r="R419" t="s">
        <v>159</v>
      </c>
      <c r="S419">
        <v>0</v>
      </c>
      <c r="T419" t="s">
        <v>1516</v>
      </c>
      <c r="U419" t="s">
        <v>492</v>
      </c>
      <c r="V419" t="s">
        <v>1181</v>
      </c>
      <c r="W419" t="s">
        <v>399</v>
      </c>
      <c r="X419" t="s">
        <v>472</v>
      </c>
      <c r="Y419" t="s">
        <v>2034</v>
      </c>
    </row>
    <row r="420" spans="2:25">
      <c r="B420" t="s">
        <v>2032</v>
      </c>
      <c r="C420" t="s" vm="39">
        <v>701</v>
      </c>
      <c r="D420" t="s">
        <v>100</v>
      </c>
      <c r="E420" t="s">
        <v>485</v>
      </c>
      <c r="F420" t="s">
        <v>461</v>
      </c>
      <c r="G420" t="s">
        <v>473</v>
      </c>
      <c r="H420">
        <v>1</v>
      </c>
      <c r="I420" t="s">
        <v>458</v>
      </c>
      <c r="J420" t="s">
        <v>462</v>
      </c>
      <c r="K420">
        <v>2</v>
      </c>
      <c r="L420" t="s">
        <v>486</v>
      </c>
      <c r="M420" t="s">
        <v>556</v>
      </c>
      <c r="N420" t="s">
        <v>450</v>
      </c>
      <c r="O420" t="s">
        <v>453</v>
      </c>
      <c r="P420" t="s">
        <v>157</v>
      </c>
      <c r="Q420">
        <v>8</v>
      </c>
      <c r="R420" t="s">
        <v>419</v>
      </c>
      <c r="S420">
        <v>8</v>
      </c>
      <c r="T420" t="s">
        <v>1516</v>
      </c>
      <c r="U420" t="s">
        <v>492</v>
      </c>
      <c r="V420" t="s">
        <v>1181</v>
      </c>
      <c r="W420" t="s">
        <v>399</v>
      </c>
      <c r="X420" t="s">
        <v>472</v>
      </c>
      <c r="Y420" t="s">
        <v>2033</v>
      </c>
    </row>
    <row r="421" spans="2:25">
      <c r="B421" t="s">
        <v>2022</v>
      </c>
      <c r="C421" t="s" vm="39">
        <v>701</v>
      </c>
      <c r="D421" t="s">
        <v>100</v>
      </c>
      <c r="E421" t="s">
        <v>485</v>
      </c>
      <c r="F421" t="s">
        <v>217</v>
      </c>
      <c r="G421" t="s">
        <v>473</v>
      </c>
      <c r="H421">
        <v>1</v>
      </c>
      <c r="I421" t="s">
        <v>458</v>
      </c>
      <c r="J421" t="s">
        <v>464</v>
      </c>
      <c r="K421">
        <v>2</v>
      </c>
      <c r="L421" t="s">
        <v>486</v>
      </c>
      <c r="M421" t="s">
        <v>556</v>
      </c>
      <c r="N421" t="s">
        <v>450</v>
      </c>
      <c r="O421" t="s">
        <v>453</v>
      </c>
      <c r="P421" t="s">
        <v>157</v>
      </c>
      <c r="Q421">
        <v>8</v>
      </c>
      <c r="R421" t="s">
        <v>419</v>
      </c>
      <c r="S421">
        <v>8</v>
      </c>
      <c r="T421" t="s">
        <v>1516</v>
      </c>
      <c r="U421" t="s">
        <v>492</v>
      </c>
      <c r="V421" t="s">
        <v>1181</v>
      </c>
      <c r="W421" t="s">
        <v>399</v>
      </c>
      <c r="X421" t="s">
        <v>472</v>
      </c>
      <c r="Y421" t="s">
        <v>2029</v>
      </c>
    </row>
    <row r="422" spans="2:25">
      <c r="B422" t="s">
        <v>2022</v>
      </c>
      <c r="C422" t="s" vm="39">
        <v>701</v>
      </c>
      <c r="D422" t="s">
        <v>100</v>
      </c>
      <c r="E422" t="s">
        <v>485</v>
      </c>
      <c r="F422" t="s">
        <v>461</v>
      </c>
      <c r="G422" t="s">
        <v>487</v>
      </c>
      <c r="H422" t="s">
        <v>123</v>
      </c>
      <c r="I422" t="s">
        <v>458</v>
      </c>
      <c r="J422" t="s">
        <v>463</v>
      </c>
      <c r="K422">
        <v>2</v>
      </c>
      <c r="L422" t="s">
        <v>486</v>
      </c>
      <c r="M422" t="s">
        <v>556</v>
      </c>
      <c r="N422" t="s">
        <v>450</v>
      </c>
      <c r="O422" t="s">
        <v>453</v>
      </c>
      <c r="P422" t="s">
        <v>421</v>
      </c>
      <c r="Q422">
        <v>0</v>
      </c>
      <c r="R422" t="s">
        <v>159</v>
      </c>
      <c r="S422">
        <v>0</v>
      </c>
      <c r="T422" t="s">
        <v>1516</v>
      </c>
      <c r="U422" t="s">
        <v>492</v>
      </c>
      <c r="V422" t="s">
        <v>1181</v>
      </c>
      <c r="W422" t="s">
        <v>399</v>
      </c>
      <c r="X422" t="s">
        <v>472</v>
      </c>
      <c r="Y422" t="s">
        <v>2028</v>
      </c>
    </row>
    <row r="423" spans="2:25">
      <c r="B423" t="s">
        <v>2022</v>
      </c>
      <c r="C423" t="s" vm="39">
        <v>701</v>
      </c>
      <c r="D423" t="s">
        <v>100</v>
      </c>
      <c r="E423" t="s">
        <v>485</v>
      </c>
      <c r="F423" t="s">
        <v>461</v>
      </c>
      <c r="G423" t="s">
        <v>487</v>
      </c>
      <c r="H423" t="s">
        <v>123</v>
      </c>
      <c r="I423" t="s">
        <v>456</v>
      </c>
      <c r="J423" t="s">
        <v>463</v>
      </c>
      <c r="K423">
        <v>2</v>
      </c>
      <c r="L423" t="s">
        <v>486</v>
      </c>
      <c r="M423" t="s">
        <v>556</v>
      </c>
      <c r="N423" t="s">
        <v>450</v>
      </c>
      <c r="O423" t="s">
        <v>453</v>
      </c>
      <c r="P423" t="s">
        <v>421</v>
      </c>
      <c r="Q423">
        <v>0</v>
      </c>
      <c r="R423" t="s">
        <v>159</v>
      </c>
      <c r="S423">
        <v>0</v>
      </c>
      <c r="T423" t="s">
        <v>1516</v>
      </c>
      <c r="U423" t="s">
        <v>492</v>
      </c>
      <c r="V423" t="s">
        <v>1181</v>
      </c>
      <c r="W423" t="s">
        <v>399</v>
      </c>
      <c r="X423" t="s">
        <v>472</v>
      </c>
      <c r="Y423" t="s">
        <v>2027</v>
      </c>
    </row>
    <row r="424" spans="2:25">
      <c r="B424" t="s">
        <v>2022</v>
      </c>
      <c r="C424" t="s" vm="39">
        <v>701</v>
      </c>
      <c r="D424" t="s">
        <v>100</v>
      </c>
      <c r="E424" t="s">
        <v>485</v>
      </c>
      <c r="F424" t="s">
        <v>461</v>
      </c>
      <c r="G424" t="s">
        <v>487</v>
      </c>
      <c r="H424" t="s">
        <v>123</v>
      </c>
      <c r="I424" t="s">
        <v>456</v>
      </c>
      <c r="J424" t="s">
        <v>463</v>
      </c>
      <c r="K424">
        <v>2</v>
      </c>
      <c r="L424" t="s">
        <v>486</v>
      </c>
      <c r="M424" t="s">
        <v>556</v>
      </c>
      <c r="N424" t="s">
        <v>450</v>
      </c>
      <c r="O424" t="s">
        <v>453</v>
      </c>
      <c r="P424" t="s">
        <v>157</v>
      </c>
      <c r="Q424">
        <v>8</v>
      </c>
      <c r="R424" t="s">
        <v>416</v>
      </c>
      <c r="S424">
        <v>8</v>
      </c>
      <c r="T424" t="s">
        <v>1516</v>
      </c>
      <c r="U424" t="s">
        <v>492</v>
      </c>
      <c r="V424" t="s">
        <v>1181</v>
      </c>
      <c r="W424" t="s">
        <v>399</v>
      </c>
      <c r="X424" t="s">
        <v>472</v>
      </c>
      <c r="Y424" t="s">
        <v>2026</v>
      </c>
    </row>
    <row r="425" spans="2:25">
      <c r="B425" t="s">
        <v>2022</v>
      </c>
      <c r="C425" t="s" vm="39">
        <v>701</v>
      </c>
      <c r="D425" t="s">
        <v>100</v>
      </c>
      <c r="E425" t="s">
        <v>485</v>
      </c>
      <c r="F425" t="s">
        <v>461</v>
      </c>
      <c r="G425" t="s">
        <v>487</v>
      </c>
      <c r="H425" t="s">
        <v>123</v>
      </c>
      <c r="I425" t="s">
        <v>458</v>
      </c>
      <c r="J425" t="s">
        <v>463</v>
      </c>
      <c r="K425">
        <v>2</v>
      </c>
      <c r="L425" t="s">
        <v>486</v>
      </c>
      <c r="M425" t="s">
        <v>556</v>
      </c>
      <c r="N425" t="s">
        <v>450</v>
      </c>
      <c r="O425" t="s">
        <v>453</v>
      </c>
      <c r="P425" t="s">
        <v>157</v>
      </c>
      <c r="Q425">
        <v>8</v>
      </c>
      <c r="R425" t="s">
        <v>416</v>
      </c>
      <c r="S425">
        <v>8</v>
      </c>
      <c r="T425" t="s">
        <v>1516</v>
      </c>
      <c r="U425" t="s">
        <v>492</v>
      </c>
      <c r="V425" t="s">
        <v>1181</v>
      </c>
      <c r="W425" t="s">
        <v>399</v>
      </c>
      <c r="X425" t="s">
        <v>472</v>
      </c>
      <c r="Y425" t="s">
        <v>2025</v>
      </c>
    </row>
    <row r="426" spans="2:25">
      <c r="B426" t="s">
        <v>2022</v>
      </c>
      <c r="C426" t="s" vm="39">
        <v>701</v>
      </c>
      <c r="D426" t="s">
        <v>100</v>
      </c>
      <c r="E426" t="s">
        <v>485</v>
      </c>
      <c r="F426" t="s">
        <v>461</v>
      </c>
      <c r="G426" t="s">
        <v>487</v>
      </c>
      <c r="H426" t="s">
        <v>123</v>
      </c>
      <c r="I426" t="s">
        <v>458</v>
      </c>
      <c r="J426" t="s">
        <v>463</v>
      </c>
      <c r="K426">
        <v>2</v>
      </c>
      <c r="L426" t="s">
        <v>486</v>
      </c>
      <c r="M426" t="s">
        <v>556</v>
      </c>
      <c r="N426" t="s">
        <v>450</v>
      </c>
      <c r="O426" t="s">
        <v>453</v>
      </c>
      <c r="P426" t="s">
        <v>157</v>
      </c>
      <c r="Q426">
        <v>8</v>
      </c>
      <c r="R426" t="s">
        <v>416</v>
      </c>
      <c r="S426">
        <v>8</v>
      </c>
      <c r="T426" t="s">
        <v>1516</v>
      </c>
      <c r="U426" t="s">
        <v>492</v>
      </c>
      <c r="V426" t="s">
        <v>1181</v>
      </c>
      <c r="W426" t="s">
        <v>399</v>
      </c>
      <c r="X426" t="s">
        <v>401</v>
      </c>
      <c r="Y426" t="s">
        <v>2024</v>
      </c>
    </row>
    <row r="427" spans="2:25">
      <c r="B427" t="s">
        <v>2022</v>
      </c>
      <c r="C427" t="s" vm="39">
        <v>701</v>
      </c>
      <c r="D427" t="s">
        <v>100</v>
      </c>
      <c r="E427" t="s">
        <v>485</v>
      </c>
      <c r="F427" t="s">
        <v>461</v>
      </c>
      <c r="G427" t="s">
        <v>487</v>
      </c>
      <c r="H427" t="s">
        <v>123</v>
      </c>
      <c r="I427" t="s">
        <v>458</v>
      </c>
      <c r="J427" t="s">
        <v>463</v>
      </c>
      <c r="K427">
        <v>2</v>
      </c>
      <c r="L427" t="s">
        <v>486</v>
      </c>
      <c r="M427" t="s">
        <v>556</v>
      </c>
      <c r="N427" t="s">
        <v>450</v>
      </c>
      <c r="O427" t="s">
        <v>453</v>
      </c>
      <c r="P427" t="s">
        <v>157</v>
      </c>
      <c r="Q427">
        <v>8</v>
      </c>
      <c r="R427" t="s">
        <v>416</v>
      </c>
      <c r="S427">
        <v>8</v>
      </c>
      <c r="T427" t="s">
        <v>402</v>
      </c>
      <c r="U427" t="s">
        <v>492</v>
      </c>
      <c r="V427" t="s">
        <v>1181</v>
      </c>
      <c r="W427" t="s">
        <v>399</v>
      </c>
      <c r="X427" t="s">
        <v>401</v>
      </c>
      <c r="Y427" t="s">
        <v>2023</v>
      </c>
    </row>
    <row r="428" spans="2:25">
      <c r="B428" t="s">
        <v>2018</v>
      </c>
      <c r="C428" t="s" vm="39">
        <v>701</v>
      </c>
      <c r="D428" t="s">
        <v>100</v>
      </c>
      <c r="E428" t="s">
        <v>485</v>
      </c>
      <c r="F428" t="s">
        <v>461</v>
      </c>
      <c r="G428" t="s">
        <v>473</v>
      </c>
      <c r="H428">
        <v>1</v>
      </c>
      <c r="I428" t="s">
        <v>456</v>
      </c>
      <c r="J428" t="s">
        <v>463</v>
      </c>
      <c r="K428">
        <v>2</v>
      </c>
      <c r="L428" t="s">
        <v>486</v>
      </c>
      <c r="M428" t="s">
        <v>556</v>
      </c>
      <c r="N428" t="s">
        <v>450</v>
      </c>
      <c r="O428" t="s">
        <v>453</v>
      </c>
      <c r="P428" t="s">
        <v>157</v>
      </c>
      <c r="Q428">
        <v>8</v>
      </c>
      <c r="R428" t="s">
        <v>416</v>
      </c>
      <c r="S428">
        <v>8</v>
      </c>
      <c r="T428" t="s">
        <v>1516</v>
      </c>
      <c r="U428" t="s">
        <v>492</v>
      </c>
      <c r="V428" t="s">
        <v>1181</v>
      </c>
      <c r="W428" t="s">
        <v>399</v>
      </c>
      <c r="X428" t="s">
        <v>472</v>
      </c>
      <c r="Y428" t="s">
        <v>2005</v>
      </c>
    </row>
    <row r="429" spans="2:25">
      <c r="B429" t="s">
        <v>2018</v>
      </c>
      <c r="C429" t="s" vm="39">
        <v>701</v>
      </c>
      <c r="D429" t="s">
        <v>100</v>
      </c>
      <c r="E429" t="s">
        <v>99</v>
      </c>
      <c r="F429" t="s">
        <v>461</v>
      </c>
      <c r="G429" t="s">
        <v>473</v>
      </c>
      <c r="H429">
        <v>1</v>
      </c>
      <c r="I429" t="s">
        <v>456</v>
      </c>
      <c r="J429" t="s">
        <v>463</v>
      </c>
      <c r="K429">
        <v>2</v>
      </c>
      <c r="L429" t="s">
        <v>486</v>
      </c>
      <c r="M429" t="s">
        <v>556</v>
      </c>
      <c r="N429" t="s">
        <v>450</v>
      </c>
      <c r="O429" t="s">
        <v>453</v>
      </c>
      <c r="P429" t="s">
        <v>157</v>
      </c>
      <c r="Q429">
        <v>8</v>
      </c>
      <c r="R429" t="s">
        <v>416</v>
      </c>
      <c r="S429">
        <v>8</v>
      </c>
      <c r="T429" t="s">
        <v>1516</v>
      </c>
      <c r="U429" t="s">
        <v>492</v>
      </c>
      <c r="V429" t="s">
        <v>1181</v>
      </c>
      <c r="W429" t="s">
        <v>399</v>
      </c>
      <c r="X429" t="s">
        <v>472</v>
      </c>
      <c r="Y429" t="s">
        <v>2005</v>
      </c>
    </row>
    <row r="430" spans="2:25">
      <c r="B430" t="s">
        <v>2018</v>
      </c>
      <c r="C430" t="s" vm="39">
        <v>701</v>
      </c>
      <c r="D430" t="s">
        <v>100</v>
      </c>
      <c r="E430" t="s">
        <v>485</v>
      </c>
      <c r="F430" t="s">
        <v>461</v>
      </c>
      <c r="G430" t="s">
        <v>473</v>
      </c>
      <c r="H430">
        <v>1</v>
      </c>
      <c r="I430" t="s">
        <v>456</v>
      </c>
      <c r="J430" t="s">
        <v>463</v>
      </c>
      <c r="K430">
        <v>2</v>
      </c>
      <c r="L430" t="s">
        <v>486</v>
      </c>
      <c r="M430" t="s">
        <v>556</v>
      </c>
      <c r="N430" t="s">
        <v>450</v>
      </c>
      <c r="O430" t="s">
        <v>453</v>
      </c>
      <c r="P430" t="s">
        <v>157</v>
      </c>
      <c r="Q430">
        <v>8</v>
      </c>
      <c r="R430" t="s">
        <v>416</v>
      </c>
      <c r="S430">
        <v>8</v>
      </c>
      <c r="T430" t="s">
        <v>1516</v>
      </c>
      <c r="U430" t="s">
        <v>492</v>
      </c>
      <c r="V430" t="s">
        <v>1181</v>
      </c>
      <c r="W430" t="s">
        <v>399</v>
      </c>
      <c r="X430" t="s">
        <v>472</v>
      </c>
      <c r="Y430" t="s">
        <v>2005</v>
      </c>
    </row>
    <row r="431" spans="2:25">
      <c r="B431" t="s">
        <v>2018</v>
      </c>
      <c r="C431" t="s" vm="39">
        <v>701</v>
      </c>
      <c r="D431" t="s">
        <v>100</v>
      </c>
      <c r="E431" t="s">
        <v>485</v>
      </c>
      <c r="F431" t="s">
        <v>461</v>
      </c>
      <c r="G431" t="s">
        <v>473</v>
      </c>
      <c r="H431">
        <v>1</v>
      </c>
      <c r="I431" t="s">
        <v>460</v>
      </c>
      <c r="J431" t="s">
        <v>463</v>
      </c>
      <c r="K431">
        <v>2</v>
      </c>
      <c r="L431" t="s">
        <v>486</v>
      </c>
      <c r="M431" t="s">
        <v>556</v>
      </c>
      <c r="N431" t="s">
        <v>450</v>
      </c>
      <c r="O431" t="s">
        <v>453</v>
      </c>
      <c r="P431" t="s">
        <v>157</v>
      </c>
      <c r="Q431">
        <v>4</v>
      </c>
      <c r="R431" t="s">
        <v>416</v>
      </c>
      <c r="S431">
        <v>8</v>
      </c>
      <c r="T431" t="s">
        <v>1516</v>
      </c>
      <c r="U431" t="s">
        <v>492</v>
      </c>
      <c r="V431" t="s">
        <v>1181</v>
      </c>
      <c r="W431" t="s">
        <v>399</v>
      </c>
      <c r="X431" t="s">
        <v>472</v>
      </c>
      <c r="Y431" t="s">
        <v>2019</v>
      </c>
    </row>
    <row r="432" spans="2:25">
      <c r="B432" t="s">
        <v>2011</v>
      </c>
      <c r="C432" t="s" vm="39">
        <v>701</v>
      </c>
      <c r="D432" t="s">
        <v>102</v>
      </c>
      <c r="E432" t="s">
        <v>485</v>
      </c>
      <c r="F432" t="s">
        <v>461</v>
      </c>
      <c r="G432" t="s">
        <v>473</v>
      </c>
      <c r="H432">
        <v>2</v>
      </c>
      <c r="I432" t="s">
        <v>458</v>
      </c>
      <c r="J432" t="s">
        <v>463</v>
      </c>
      <c r="K432">
        <v>2</v>
      </c>
      <c r="L432" t="s">
        <v>486</v>
      </c>
      <c r="M432" t="s">
        <v>556</v>
      </c>
      <c r="N432" t="s">
        <v>450</v>
      </c>
      <c r="O432" t="s">
        <v>453</v>
      </c>
      <c r="P432" t="s">
        <v>421</v>
      </c>
      <c r="Q432">
        <v>0</v>
      </c>
      <c r="R432" t="s">
        <v>159</v>
      </c>
      <c r="S432">
        <v>0</v>
      </c>
      <c r="T432" t="s">
        <v>1516</v>
      </c>
      <c r="U432" t="s">
        <v>492</v>
      </c>
      <c r="V432" t="s">
        <v>1181</v>
      </c>
      <c r="W432" t="s">
        <v>399</v>
      </c>
      <c r="X432" t="s">
        <v>401</v>
      </c>
      <c r="Y432" t="s">
        <v>2013</v>
      </c>
    </row>
    <row r="433" spans="2:25">
      <c r="B433" t="s">
        <v>2011</v>
      </c>
      <c r="C433" t="s" vm="39">
        <v>701</v>
      </c>
      <c r="D433" t="s">
        <v>100</v>
      </c>
      <c r="E433" t="s">
        <v>485</v>
      </c>
      <c r="F433" t="s">
        <v>461</v>
      </c>
      <c r="G433" t="s">
        <v>473</v>
      </c>
      <c r="H433">
        <v>1</v>
      </c>
      <c r="I433" t="s">
        <v>458</v>
      </c>
      <c r="J433" t="s">
        <v>463</v>
      </c>
      <c r="K433">
        <v>2</v>
      </c>
      <c r="L433" t="s">
        <v>486</v>
      </c>
      <c r="M433" t="s">
        <v>556</v>
      </c>
      <c r="N433" t="s">
        <v>450</v>
      </c>
      <c r="O433" t="s">
        <v>453</v>
      </c>
      <c r="P433" t="s">
        <v>157</v>
      </c>
      <c r="Q433">
        <v>8</v>
      </c>
      <c r="R433" t="s">
        <v>416</v>
      </c>
      <c r="S433">
        <v>8</v>
      </c>
      <c r="T433" t="s">
        <v>1516</v>
      </c>
      <c r="U433" t="s">
        <v>492</v>
      </c>
      <c r="V433" t="s">
        <v>1181</v>
      </c>
      <c r="W433" t="s">
        <v>399</v>
      </c>
      <c r="X433" t="s">
        <v>472</v>
      </c>
      <c r="Y433" t="s">
        <v>2012</v>
      </c>
    </row>
    <row r="434" spans="2:25">
      <c r="B434" t="s">
        <v>2011</v>
      </c>
      <c r="C434" t="s" vm="39">
        <v>701</v>
      </c>
      <c r="D434" t="s">
        <v>100</v>
      </c>
      <c r="E434" t="s">
        <v>485</v>
      </c>
      <c r="F434" t="s">
        <v>461</v>
      </c>
      <c r="G434" t="s">
        <v>473</v>
      </c>
      <c r="H434">
        <v>1</v>
      </c>
      <c r="I434" t="s">
        <v>456</v>
      </c>
      <c r="J434" t="s">
        <v>463</v>
      </c>
      <c r="K434">
        <v>2</v>
      </c>
      <c r="L434" t="s">
        <v>486</v>
      </c>
      <c r="M434" t="s">
        <v>556</v>
      </c>
      <c r="N434" t="s">
        <v>450</v>
      </c>
      <c r="O434" t="s">
        <v>453</v>
      </c>
      <c r="P434" t="s">
        <v>157</v>
      </c>
      <c r="Q434">
        <v>8</v>
      </c>
      <c r="R434" t="s">
        <v>416</v>
      </c>
      <c r="S434">
        <v>8</v>
      </c>
      <c r="T434" t="s">
        <v>1516</v>
      </c>
      <c r="U434" t="s">
        <v>492</v>
      </c>
      <c r="V434" t="s">
        <v>1181</v>
      </c>
      <c r="W434" t="s">
        <v>399</v>
      </c>
      <c r="X434" t="s">
        <v>472</v>
      </c>
      <c r="Y434" t="s">
        <v>2009</v>
      </c>
    </row>
    <row r="435" spans="2:25">
      <c r="B435" t="s">
        <v>2004</v>
      </c>
      <c r="C435" t="s" vm="39">
        <v>701</v>
      </c>
      <c r="D435" t="s">
        <v>100</v>
      </c>
      <c r="E435" t="s">
        <v>485</v>
      </c>
      <c r="F435" t="s">
        <v>461</v>
      </c>
      <c r="G435" t="s">
        <v>473</v>
      </c>
      <c r="H435">
        <v>1</v>
      </c>
      <c r="I435" t="s">
        <v>456</v>
      </c>
      <c r="J435" t="s">
        <v>463</v>
      </c>
      <c r="K435">
        <v>2</v>
      </c>
      <c r="L435" t="s">
        <v>486</v>
      </c>
      <c r="M435" t="s">
        <v>556</v>
      </c>
      <c r="N435" t="s">
        <v>450</v>
      </c>
      <c r="O435" t="s">
        <v>453</v>
      </c>
      <c r="P435" t="s">
        <v>157</v>
      </c>
      <c r="Q435">
        <v>8</v>
      </c>
      <c r="R435" t="s">
        <v>416</v>
      </c>
      <c r="S435">
        <v>8</v>
      </c>
      <c r="T435" t="s">
        <v>1516</v>
      </c>
      <c r="U435" t="s">
        <v>492</v>
      </c>
      <c r="V435" t="s">
        <v>1181</v>
      </c>
      <c r="W435" t="s">
        <v>399</v>
      </c>
      <c r="X435" t="s">
        <v>472</v>
      </c>
      <c r="Y435" t="s">
        <v>2009</v>
      </c>
    </row>
    <row r="436" spans="2:25">
      <c r="B436" t="s">
        <v>2004</v>
      </c>
      <c r="C436" t="s" vm="39">
        <v>701</v>
      </c>
      <c r="D436" t="s">
        <v>100</v>
      </c>
      <c r="E436" t="s">
        <v>485</v>
      </c>
      <c r="F436" t="s">
        <v>461</v>
      </c>
      <c r="G436" t="s">
        <v>473</v>
      </c>
      <c r="H436">
        <v>1</v>
      </c>
      <c r="I436" t="s">
        <v>456</v>
      </c>
      <c r="J436" t="s">
        <v>463</v>
      </c>
      <c r="K436">
        <v>2</v>
      </c>
      <c r="L436" t="s">
        <v>486</v>
      </c>
      <c r="M436" t="s">
        <v>556</v>
      </c>
      <c r="N436" t="s">
        <v>450</v>
      </c>
      <c r="O436" t="s">
        <v>453</v>
      </c>
      <c r="P436" t="s">
        <v>157</v>
      </c>
      <c r="Q436">
        <v>8</v>
      </c>
      <c r="R436" t="s">
        <v>416</v>
      </c>
      <c r="S436">
        <v>8</v>
      </c>
      <c r="T436" t="s">
        <v>1516</v>
      </c>
      <c r="U436" t="s">
        <v>492</v>
      </c>
      <c r="V436" t="s">
        <v>1181</v>
      </c>
      <c r="W436" t="s">
        <v>399</v>
      </c>
      <c r="X436" t="s">
        <v>472</v>
      </c>
      <c r="Y436" t="s">
        <v>2008</v>
      </c>
    </row>
    <row r="437" spans="2:25">
      <c r="B437" t="s">
        <v>2004</v>
      </c>
      <c r="C437" t="s" vm="39">
        <v>701</v>
      </c>
      <c r="D437" t="s">
        <v>100</v>
      </c>
      <c r="E437" t="s">
        <v>485</v>
      </c>
      <c r="F437" t="s">
        <v>461</v>
      </c>
      <c r="G437" t="s">
        <v>473</v>
      </c>
      <c r="H437">
        <v>1</v>
      </c>
      <c r="I437" t="s">
        <v>456</v>
      </c>
      <c r="J437" t="s">
        <v>463</v>
      </c>
      <c r="K437">
        <v>2</v>
      </c>
      <c r="L437" t="s">
        <v>486</v>
      </c>
      <c r="M437" t="s">
        <v>556</v>
      </c>
      <c r="N437" t="s">
        <v>450</v>
      </c>
      <c r="O437" t="s">
        <v>453</v>
      </c>
      <c r="P437" t="s">
        <v>157</v>
      </c>
      <c r="Q437">
        <v>8</v>
      </c>
      <c r="R437" t="s">
        <v>416</v>
      </c>
      <c r="S437">
        <v>8</v>
      </c>
      <c r="T437" t="s">
        <v>1516</v>
      </c>
      <c r="U437" t="s">
        <v>492</v>
      </c>
      <c r="V437" t="s">
        <v>1181</v>
      </c>
      <c r="W437" t="s">
        <v>399</v>
      </c>
      <c r="X437" t="s">
        <v>472</v>
      </c>
      <c r="Y437" t="s">
        <v>1706</v>
      </c>
    </row>
    <row r="438" spans="2:25">
      <c r="B438" t="s">
        <v>2004</v>
      </c>
      <c r="C438" t="s" vm="39">
        <v>701</v>
      </c>
      <c r="D438" t="s">
        <v>100</v>
      </c>
      <c r="E438" t="s">
        <v>485</v>
      </c>
      <c r="F438" t="s">
        <v>461</v>
      </c>
      <c r="G438" t="s">
        <v>473</v>
      </c>
      <c r="H438">
        <v>1</v>
      </c>
      <c r="I438" t="s">
        <v>456</v>
      </c>
      <c r="J438" t="s">
        <v>463</v>
      </c>
      <c r="K438">
        <v>2</v>
      </c>
      <c r="L438" t="s">
        <v>486</v>
      </c>
      <c r="M438" t="s">
        <v>556</v>
      </c>
      <c r="N438" t="s">
        <v>450</v>
      </c>
      <c r="O438" t="s">
        <v>453</v>
      </c>
      <c r="P438" t="s">
        <v>157</v>
      </c>
      <c r="Q438">
        <v>8</v>
      </c>
      <c r="R438" t="s">
        <v>416</v>
      </c>
      <c r="S438">
        <v>8</v>
      </c>
      <c r="T438" t="s">
        <v>1516</v>
      </c>
      <c r="U438" t="s">
        <v>492</v>
      </c>
      <c r="V438" t="s">
        <v>1181</v>
      </c>
      <c r="W438" t="s">
        <v>399</v>
      </c>
      <c r="X438" t="s">
        <v>472</v>
      </c>
      <c r="Y438" t="s">
        <v>2007</v>
      </c>
    </row>
    <row r="439" spans="2:25">
      <c r="B439" t="s">
        <v>2004</v>
      </c>
      <c r="C439" t="s" vm="39">
        <v>701</v>
      </c>
      <c r="D439" t="s">
        <v>100</v>
      </c>
      <c r="E439" t="s">
        <v>485</v>
      </c>
      <c r="F439" t="s">
        <v>461</v>
      </c>
      <c r="G439" t="s">
        <v>473</v>
      </c>
      <c r="H439">
        <v>1</v>
      </c>
      <c r="I439" t="s">
        <v>456</v>
      </c>
      <c r="J439" t="s">
        <v>463</v>
      </c>
      <c r="K439">
        <v>2</v>
      </c>
      <c r="L439" t="s">
        <v>486</v>
      </c>
      <c r="M439" t="s">
        <v>556</v>
      </c>
      <c r="N439" t="s">
        <v>450</v>
      </c>
      <c r="O439" t="s">
        <v>453</v>
      </c>
      <c r="P439" t="s">
        <v>157</v>
      </c>
      <c r="Q439">
        <v>8</v>
      </c>
      <c r="R439" t="s">
        <v>416</v>
      </c>
      <c r="S439">
        <v>8</v>
      </c>
      <c r="T439" t="s">
        <v>1516</v>
      </c>
      <c r="U439" t="s">
        <v>492</v>
      </c>
      <c r="V439" t="s">
        <v>1181</v>
      </c>
      <c r="W439" t="s">
        <v>399</v>
      </c>
      <c r="X439" t="s">
        <v>472</v>
      </c>
      <c r="Y439" t="s">
        <v>2005</v>
      </c>
    </row>
    <row r="440" spans="2:25">
      <c r="B440" t="s">
        <v>1996</v>
      </c>
      <c r="C440" t="s" vm="39">
        <v>701</v>
      </c>
      <c r="D440" t="s">
        <v>100</v>
      </c>
      <c r="E440" t="s">
        <v>485</v>
      </c>
      <c r="F440" t="s">
        <v>461</v>
      </c>
      <c r="G440" t="s">
        <v>473</v>
      </c>
      <c r="H440">
        <v>1</v>
      </c>
      <c r="I440" t="s">
        <v>458</v>
      </c>
      <c r="J440" t="s">
        <v>463</v>
      </c>
      <c r="K440">
        <v>2</v>
      </c>
      <c r="L440" t="s">
        <v>486</v>
      </c>
      <c r="M440" t="s">
        <v>556</v>
      </c>
      <c r="N440" t="s">
        <v>450</v>
      </c>
      <c r="O440" t="s">
        <v>453</v>
      </c>
      <c r="P440" t="s">
        <v>157</v>
      </c>
      <c r="Q440">
        <v>8</v>
      </c>
      <c r="R440" t="s">
        <v>419</v>
      </c>
      <c r="S440">
        <v>8</v>
      </c>
      <c r="T440" t="s">
        <v>1516</v>
      </c>
      <c r="U440" t="s">
        <v>492</v>
      </c>
      <c r="V440" t="s">
        <v>1181</v>
      </c>
      <c r="W440" t="s">
        <v>399</v>
      </c>
      <c r="X440" t="s">
        <v>472</v>
      </c>
      <c r="Y440" t="s">
        <v>2001</v>
      </c>
    </row>
    <row r="441" spans="2:25">
      <c r="B441" t="s">
        <v>1996</v>
      </c>
      <c r="C441" t="s" vm="39">
        <v>701</v>
      </c>
      <c r="D441" t="s">
        <v>100</v>
      </c>
      <c r="E441" t="s">
        <v>485</v>
      </c>
      <c r="F441" t="s">
        <v>461</v>
      </c>
      <c r="G441" t="s">
        <v>473</v>
      </c>
      <c r="H441">
        <v>1</v>
      </c>
      <c r="I441" t="s">
        <v>456</v>
      </c>
      <c r="J441" t="s">
        <v>463</v>
      </c>
      <c r="K441">
        <v>2</v>
      </c>
      <c r="L441" t="s">
        <v>486</v>
      </c>
      <c r="M441" t="s">
        <v>556</v>
      </c>
      <c r="N441" t="s">
        <v>450</v>
      </c>
      <c r="O441" t="s">
        <v>453</v>
      </c>
      <c r="P441" t="s">
        <v>421</v>
      </c>
      <c r="Q441">
        <v>0</v>
      </c>
      <c r="R441" t="s">
        <v>159</v>
      </c>
      <c r="S441">
        <v>0</v>
      </c>
      <c r="T441" t="s">
        <v>1516</v>
      </c>
      <c r="U441" t="s">
        <v>492</v>
      </c>
      <c r="V441" t="s">
        <v>1181</v>
      </c>
      <c r="W441" t="s">
        <v>399</v>
      </c>
      <c r="X441" t="s">
        <v>472</v>
      </c>
      <c r="Y441" t="s">
        <v>2000</v>
      </c>
    </row>
    <row r="442" spans="2:25">
      <c r="B442" t="s">
        <v>1996</v>
      </c>
      <c r="C442" t="s" vm="39">
        <v>701</v>
      </c>
      <c r="D442" t="s">
        <v>102</v>
      </c>
      <c r="E442" t="s">
        <v>485</v>
      </c>
      <c r="F442" t="s">
        <v>461</v>
      </c>
      <c r="G442" t="s">
        <v>473</v>
      </c>
      <c r="H442">
        <v>1</v>
      </c>
      <c r="I442" t="s">
        <v>456</v>
      </c>
      <c r="J442" t="s">
        <v>463</v>
      </c>
      <c r="K442">
        <v>2</v>
      </c>
      <c r="L442" t="s">
        <v>486</v>
      </c>
      <c r="M442" t="s">
        <v>556</v>
      </c>
      <c r="N442" t="s">
        <v>450</v>
      </c>
      <c r="O442" t="s">
        <v>453</v>
      </c>
      <c r="P442" t="s">
        <v>421</v>
      </c>
      <c r="Q442">
        <v>0</v>
      </c>
      <c r="R442" t="s">
        <v>159</v>
      </c>
      <c r="S442">
        <v>0</v>
      </c>
      <c r="T442" t="s">
        <v>1516</v>
      </c>
      <c r="U442" t="s">
        <v>492</v>
      </c>
      <c r="V442" t="s">
        <v>1181</v>
      </c>
      <c r="W442" t="s">
        <v>399</v>
      </c>
      <c r="X442" t="s">
        <v>472</v>
      </c>
      <c r="Y442" t="s">
        <v>1999</v>
      </c>
    </row>
    <row r="443" spans="2:25">
      <c r="B443" t="s">
        <v>1996</v>
      </c>
      <c r="C443" t="s" vm="39">
        <v>701</v>
      </c>
      <c r="D443" t="s">
        <v>100</v>
      </c>
      <c r="E443" t="s">
        <v>485</v>
      </c>
      <c r="F443" t="s">
        <v>461</v>
      </c>
      <c r="G443" t="s">
        <v>473</v>
      </c>
      <c r="H443">
        <v>1</v>
      </c>
      <c r="I443" t="s">
        <v>458</v>
      </c>
      <c r="J443" t="s">
        <v>463</v>
      </c>
      <c r="K443">
        <v>2</v>
      </c>
      <c r="L443" t="s">
        <v>486</v>
      </c>
      <c r="M443" t="s">
        <v>556</v>
      </c>
      <c r="N443" t="s">
        <v>450</v>
      </c>
      <c r="O443" t="s">
        <v>453</v>
      </c>
      <c r="P443" t="s">
        <v>421</v>
      </c>
      <c r="Q443">
        <v>0</v>
      </c>
      <c r="R443" t="s">
        <v>159</v>
      </c>
      <c r="S443">
        <v>0</v>
      </c>
      <c r="T443" t="s">
        <v>1516</v>
      </c>
      <c r="U443" t="s">
        <v>492</v>
      </c>
      <c r="V443" t="s">
        <v>1181</v>
      </c>
      <c r="W443" t="s">
        <v>399</v>
      </c>
      <c r="X443" t="s">
        <v>472</v>
      </c>
      <c r="Y443" t="s">
        <v>1998</v>
      </c>
    </row>
    <row r="444" spans="2:25">
      <c r="B444" t="s">
        <v>1996</v>
      </c>
      <c r="C444" t="s" vm="39">
        <v>701</v>
      </c>
      <c r="D444" t="s">
        <v>100</v>
      </c>
      <c r="E444" t="s">
        <v>485</v>
      </c>
      <c r="F444" t="s">
        <v>461</v>
      </c>
      <c r="G444" t="s">
        <v>473</v>
      </c>
      <c r="H444">
        <v>1</v>
      </c>
      <c r="I444" t="s">
        <v>458</v>
      </c>
      <c r="J444" t="s">
        <v>463</v>
      </c>
      <c r="K444">
        <v>2</v>
      </c>
      <c r="L444" t="s">
        <v>486</v>
      </c>
      <c r="M444" t="s">
        <v>556</v>
      </c>
      <c r="N444" t="s">
        <v>450</v>
      </c>
      <c r="O444" t="s">
        <v>453</v>
      </c>
      <c r="P444" t="s">
        <v>421</v>
      </c>
      <c r="Q444">
        <v>0</v>
      </c>
      <c r="R444" t="s">
        <v>159</v>
      </c>
      <c r="S444">
        <v>0</v>
      </c>
      <c r="T444" t="s">
        <v>1516</v>
      </c>
      <c r="U444" t="s">
        <v>492</v>
      </c>
      <c r="V444" t="s">
        <v>1181</v>
      </c>
      <c r="W444" t="s">
        <v>399</v>
      </c>
      <c r="X444" t="s">
        <v>472</v>
      </c>
      <c r="Y444" t="s">
        <v>1997</v>
      </c>
    </row>
    <row r="445" spans="2:25">
      <c r="B445" t="s">
        <v>1988</v>
      </c>
      <c r="C445" t="s" vm="39">
        <v>701</v>
      </c>
      <c r="D445" t="s">
        <v>333</v>
      </c>
      <c r="E445" t="s">
        <v>485</v>
      </c>
      <c r="F445" t="s">
        <v>461</v>
      </c>
      <c r="G445" t="s">
        <v>473</v>
      </c>
      <c r="H445">
        <v>2</v>
      </c>
      <c r="I445" t="s">
        <v>458</v>
      </c>
      <c r="J445" t="s">
        <v>463</v>
      </c>
      <c r="K445">
        <v>2</v>
      </c>
      <c r="L445" t="s">
        <v>486</v>
      </c>
      <c r="M445" t="s">
        <v>1022</v>
      </c>
      <c r="N445" t="s">
        <v>450</v>
      </c>
      <c r="O445" t="s">
        <v>453</v>
      </c>
      <c r="P445" t="s">
        <v>157</v>
      </c>
      <c r="Q445">
        <v>12</v>
      </c>
      <c r="R445" t="s">
        <v>159</v>
      </c>
      <c r="S445">
        <v>0</v>
      </c>
      <c r="T445" t="s">
        <v>1516</v>
      </c>
      <c r="U445" t="s">
        <v>492</v>
      </c>
      <c r="V445" t="s">
        <v>1181</v>
      </c>
      <c r="W445" t="s">
        <v>399</v>
      </c>
      <c r="X445" t="s">
        <v>401</v>
      </c>
      <c r="Y445" t="s">
        <v>1995</v>
      </c>
    </row>
    <row r="446" spans="2:25">
      <c r="B446" t="s">
        <v>1988</v>
      </c>
      <c r="C446" t="s" vm="39">
        <v>701</v>
      </c>
      <c r="D446" t="s">
        <v>333</v>
      </c>
      <c r="E446" t="s">
        <v>485</v>
      </c>
      <c r="F446" t="s">
        <v>461</v>
      </c>
      <c r="G446" t="s">
        <v>473</v>
      </c>
      <c r="H446">
        <v>2</v>
      </c>
      <c r="I446" t="s">
        <v>458</v>
      </c>
      <c r="J446" t="s">
        <v>463</v>
      </c>
      <c r="K446">
        <v>2</v>
      </c>
      <c r="L446" t="s">
        <v>486</v>
      </c>
      <c r="M446" t="s">
        <v>1022</v>
      </c>
      <c r="N446" t="s">
        <v>450</v>
      </c>
      <c r="O446" t="s">
        <v>453</v>
      </c>
      <c r="P446" t="s">
        <v>421</v>
      </c>
      <c r="Q446">
        <v>0</v>
      </c>
      <c r="R446" t="s">
        <v>159</v>
      </c>
      <c r="S446">
        <v>0</v>
      </c>
      <c r="T446" t="s">
        <v>1516</v>
      </c>
      <c r="U446" t="s">
        <v>492</v>
      </c>
      <c r="V446" t="s">
        <v>1181</v>
      </c>
      <c r="W446" t="s">
        <v>399</v>
      </c>
      <c r="X446" t="s">
        <v>401</v>
      </c>
      <c r="Y446" t="s">
        <v>1994</v>
      </c>
    </row>
    <row r="447" spans="2:25">
      <c r="B447" t="s">
        <v>1988</v>
      </c>
      <c r="C447" t="s" vm="39">
        <v>701</v>
      </c>
      <c r="D447" t="s">
        <v>333</v>
      </c>
      <c r="E447" t="s">
        <v>485</v>
      </c>
      <c r="F447" t="s">
        <v>461</v>
      </c>
      <c r="G447" t="s">
        <v>473</v>
      </c>
      <c r="H447">
        <v>2</v>
      </c>
      <c r="I447" t="s">
        <v>458</v>
      </c>
      <c r="J447" t="s">
        <v>463</v>
      </c>
      <c r="K447">
        <v>2</v>
      </c>
      <c r="L447" t="s">
        <v>486</v>
      </c>
      <c r="M447" t="s">
        <v>1022</v>
      </c>
      <c r="N447" t="s">
        <v>450</v>
      </c>
      <c r="O447" t="s">
        <v>453</v>
      </c>
      <c r="P447" t="s">
        <v>421</v>
      </c>
      <c r="Q447">
        <v>0</v>
      </c>
      <c r="R447" t="s">
        <v>159</v>
      </c>
      <c r="S447">
        <v>0</v>
      </c>
      <c r="T447" t="s">
        <v>1516</v>
      </c>
      <c r="U447" t="s">
        <v>492</v>
      </c>
      <c r="V447" t="s">
        <v>1181</v>
      </c>
      <c r="W447" t="s">
        <v>399</v>
      </c>
      <c r="X447" t="s">
        <v>401</v>
      </c>
      <c r="Y447" t="s">
        <v>1993</v>
      </c>
    </row>
    <row r="448" spans="2:25">
      <c r="B448" t="s">
        <v>1988</v>
      </c>
      <c r="C448" t="s" vm="39">
        <v>701</v>
      </c>
      <c r="D448" t="s">
        <v>333</v>
      </c>
      <c r="E448" t="s">
        <v>485</v>
      </c>
      <c r="F448" t="s">
        <v>461</v>
      </c>
      <c r="G448" t="s">
        <v>473</v>
      </c>
      <c r="H448">
        <v>2</v>
      </c>
      <c r="I448" t="s">
        <v>456</v>
      </c>
      <c r="J448" t="s">
        <v>463</v>
      </c>
      <c r="K448">
        <v>2</v>
      </c>
      <c r="L448" t="s">
        <v>486</v>
      </c>
      <c r="M448" t="s">
        <v>1022</v>
      </c>
      <c r="N448" t="s">
        <v>450</v>
      </c>
      <c r="O448" t="s">
        <v>453</v>
      </c>
      <c r="P448" t="s">
        <v>421</v>
      </c>
      <c r="Q448">
        <v>0</v>
      </c>
      <c r="R448" t="s">
        <v>159</v>
      </c>
      <c r="S448">
        <v>0</v>
      </c>
      <c r="T448" t="s">
        <v>1516</v>
      </c>
      <c r="U448" t="s">
        <v>492</v>
      </c>
      <c r="V448" t="s">
        <v>1181</v>
      </c>
      <c r="W448" t="s">
        <v>399</v>
      </c>
      <c r="X448" t="s">
        <v>401</v>
      </c>
      <c r="Y448" t="s">
        <v>1992</v>
      </c>
    </row>
    <row r="449" spans="2:25">
      <c r="B449" t="s">
        <v>1988</v>
      </c>
      <c r="C449" t="s" vm="39">
        <v>701</v>
      </c>
      <c r="D449" t="s">
        <v>333</v>
      </c>
      <c r="E449" t="s">
        <v>485</v>
      </c>
      <c r="F449" t="s">
        <v>461</v>
      </c>
      <c r="G449" t="s">
        <v>473</v>
      </c>
      <c r="H449">
        <v>2</v>
      </c>
      <c r="I449" t="s">
        <v>456</v>
      </c>
      <c r="J449" t="s">
        <v>463</v>
      </c>
      <c r="K449">
        <v>2</v>
      </c>
      <c r="L449" t="s">
        <v>486</v>
      </c>
      <c r="M449" t="s">
        <v>1022</v>
      </c>
      <c r="N449" t="s">
        <v>450</v>
      </c>
      <c r="O449" t="s">
        <v>453</v>
      </c>
      <c r="P449" t="s">
        <v>421</v>
      </c>
      <c r="Q449">
        <v>0</v>
      </c>
      <c r="R449" t="s">
        <v>159</v>
      </c>
      <c r="S449">
        <v>0</v>
      </c>
      <c r="T449" t="s">
        <v>1516</v>
      </c>
      <c r="U449" t="s">
        <v>492</v>
      </c>
      <c r="V449" t="s">
        <v>1181</v>
      </c>
      <c r="W449" t="s">
        <v>399</v>
      </c>
      <c r="X449" t="s">
        <v>401</v>
      </c>
      <c r="Y449" t="s">
        <v>1991</v>
      </c>
    </row>
    <row r="450" spans="2:25">
      <c r="B450" t="s">
        <v>1988</v>
      </c>
      <c r="C450" t="s" vm="39">
        <v>701</v>
      </c>
      <c r="D450" t="s">
        <v>100</v>
      </c>
      <c r="E450" t="s">
        <v>485</v>
      </c>
      <c r="F450" t="s">
        <v>461</v>
      </c>
      <c r="G450" t="s">
        <v>473</v>
      </c>
      <c r="H450">
        <v>1</v>
      </c>
      <c r="I450" t="s">
        <v>456</v>
      </c>
      <c r="J450" t="s">
        <v>463</v>
      </c>
      <c r="K450">
        <v>2</v>
      </c>
      <c r="L450" t="s">
        <v>486</v>
      </c>
      <c r="M450" t="s">
        <v>556</v>
      </c>
      <c r="N450" t="s">
        <v>450</v>
      </c>
      <c r="O450" t="s">
        <v>453</v>
      </c>
      <c r="P450" t="s">
        <v>421</v>
      </c>
      <c r="Q450">
        <v>0</v>
      </c>
      <c r="R450" t="s">
        <v>159</v>
      </c>
      <c r="S450">
        <v>0</v>
      </c>
      <c r="T450" t="s">
        <v>1516</v>
      </c>
      <c r="U450" t="s">
        <v>492</v>
      </c>
      <c r="V450" t="s">
        <v>1181</v>
      </c>
      <c r="W450" t="s">
        <v>399</v>
      </c>
      <c r="X450" t="s">
        <v>472</v>
      </c>
      <c r="Y450" t="s">
        <v>1989</v>
      </c>
    </row>
    <row r="451" spans="2:25">
      <c r="B451" t="s">
        <v>1984</v>
      </c>
      <c r="C451" t="s" vm="39">
        <v>701</v>
      </c>
      <c r="D451" t="s">
        <v>100</v>
      </c>
      <c r="E451" t="s">
        <v>485</v>
      </c>
      <c r="F451" t="s">
        <v>461</v>
      </c>
      <c r="G451" t="s">
        <v>473</v>
      </c>
      <c r="H451">
        <v>1</v>
      </c>
      <c r="I451" t="s">
        <v>458</v>
      </c>
      <c r="J451" t="s">
        <v>463</v>
      </c>
      <c r="K451">
        <v>2</v>
      </c>
      <c r="L451" t="s">
        <v>486</v>
      </c>
      <c r="M451" t="s">
        <v>556</v>
      </c>
      <c r="N451" t="s">
        <v>450</v>
      </c>
      <c r="O451" t="s">
        <v>453</v>
      </c>
      <c r="P451" t="s">
        <v>421</v>
      </c>
      <c r="Q451">
        <v>0</v>
      </c>
      <c r="R451" t="s">
        <v>159</v>
      </c>
      <c r="S451">
        <v>0</v>
      </c>
      <c r="T451" t="s">
        <v>1516</v>
      </c>
      <c r="U451" t="s">
        <v>492</v>
      </c>
      <c r="V451" t="s">
        <v>1181</v>
      </c>
      <c r="W451" t="s">
        <v>399</v>
      </c>
      <c r="X451" t="s">
        <v>472</v>
      </c>
      <c r="Y451" t="s">
        <v>1987</v>
      </c>
    </row>
    <row r="452" spans="2:25">
      <c r="B452" t="s">
        <v>1984</v>
      </c>
      <c r="C452" t="s" vm="39">
        <v>701</v>
      </c>
      <c r="D452" t="s">
        <v>102</v>
      </c>
      <c r="E452" t="s">
        <v>485</v>
      </c>
      <c r="F452" t="s">
        <v>461</v>
      </c>
      <c r="G452" t="s">
        <v>473</v>
      </c>
      <c r="H452">
        <v>1</v>
      </c>
      <c r="I452" t="s">
        <v>456</v>
      </c>
      <c r="J452" t="s">
        <v>463</v>
      </c>
      <c r="K452">
        <v>2</v>
      </c>
      <c r="L452" t="s">
        <v>486</v>
      </c>
      <c r="M452" t="s">
        <v>556</v>
      </c>
      <c r="N452" t="s">
        <v>450</v>
      </c>
      <c r="O452" t="s">
        <v>453</v>
      </c>
      <c r="P452" t="s">
        <v>421</v>
      </c>
      <c r="Q452">
        <v>0</v>
      </c>
      <c r="R452" t="s">
        <v>159</v>
      </c>
      <c r="S452">
        <v>0</v>
      </c>
      <c r="T452" t="s">
        <v>1516</v>
      </c>
      <c r="U452" t="s">
        <v>492</v>
      </c>
      <c r="V452" t="s">
        <v>1181</v>
      </c>
      <c r="W452" t="s">
        <v>399</v>
      </c>
      <c r="X452" t="s">
        <v>401</v>
      </c>
      <c r="Y452" t="s">
        <v>1986</v>
      </c>
    </row>
    <row r="453" spans="2:25">
      <c r="B453" t="s">
        <v>1984</v>
      </c>
      <c r="C453" t="s" vm="39">
        <v>701</v>
      </c>
      <c r="D453" t="s">
        <v>100</v>
      </c>
      <c r="E453" t="s">
        <v>485</v>
      </c>
      <c r="F453" t="s">
        <v>461</v>
      </c>
      <c r="G453" t="s">
        <v>473</v>
      </c>
      <c r="H453">
        <v>1</v>
      </c>
      <c r="I453" t="s">
        <v>456</v>
      </c>
      <c r="J453" t="s">
        <v>463</v>
      </c>
      <c r="K453">
        <v>1</v>
      </c>
      <c r="L453" t="s">
        <v>486</v>
      </c>
      <c r="M453" t="s">
        <v>556</v>
      </c>
      <c r="N453" t="s">
        <v>450</v>
      </c>
      <c r="O453" t="s">
        <v>453</v>
      </c>
      <c r="P453" t="s">
        <v>421</v>
      </c>
      <c r="Q453">
        <v>0</v>
      </c>
      <c r="R453" t="s">
        <v>159</v>
      </c>
      <c r="S453">
        <v>0</v>
      </c>
      <c r="T453" t="s">
        <v>402</v>
      </c>
      <c r="U453" t="s">
        <v>492</v>
      </c>
      <c r="V453" t="s">
        <v>1181</v>
      </c>
      <c r="W453" t="s">
        <v>399</v>
      </c>
      <c r="X453" t="s">
        <v>470</v>
      </c>
      <c r="Y453" t="s">
        <v>1985</v>
      </c>
    </row>
    <row r="454" spans="2:25">
      <c r="B454" t="s">
        <v>1982</v>
      </c>
      <c r="C454" t="s" vm="39">
        <v>701</v>
      </c>
      <c r="D454" t="s">
        <v>1019</v>
      </c>
      <c r="E454" t="s">
        <v>485</v>
      </c>
      <c r="F454" t="s">
        <v>461</v>
      </c>
      <c r="G454" t="s">
        <v>473</v>
      </c>
      <c r="H454">
        <v>2</v>
      </c>
      <c r="I454" t="s">
        <v>460</v>
      </c>
      <c r="J454" t="s">
        <v>463</v>
      </c>
      <c r="K454">
        <v>2</v>
      </c>
      <c r="L454" t="s">
        <v>486</v>
      </c>
      <c r="M454" t="s">
        <v>1864</v>
      </c>
      <c r="N454" t="s">
        <v>450</v>
      </c>
      <c r="O454" t="s">
        <v>453</v>
      </c>
      <c r="P454" t="s">
        <v>421</v>
      </c>
      <c r="Q454">
        <v>0</v>
      </c>
      <c r="R454" t="s">
        <v>159</v>
      </c>
      <c r="S454">
        <v>0</v>
      </c>
      <c r="T454" t="s">
        <v>1516</v>
      </c>
      <c r="U454" t="s">
        <v>492</v>
      </c>
      <c r="V454" t="s">
        <v>1181</v>
      </c>
      <c r="W454" t="s">
        <v>399</v>
      </c>
      <c r="X454" t="s">
        <v>401</v>
      </c>
      <c r="Y454" t="s">
        <v>1983</v>
      </c>
    </row>
    <row r="455" spans="2:25">
      <c r="B455" t="s">
        <v>1968</v>
      </c>
      <c r="C455" t="s" vm="39">
        <v>701</v>
      </c>
      <c r="D455" t="s">
        <v>102</v>
      </c>
      <c r="E455" t="s">
        <v>485</v>
      </c>
      <c r="F455" t="s">
        <v>217</v>
      </c>
      <c r="G455" t="s">
        <v>487</v>
      </c>
      <c r="H455" t="s">
        <v>123</v>
      </c>
      <c r="I455" t="s">
        <v>456</v>
      </c>
      <c r="J455" t="s">
        <v>463</v>
      </c>
      <c r="K455">
        <v>2</v>
      </c>
      <c r="L455" t="s">
        <v>486</v>
      </c>
      <c r="M455" t="s">
        <v>556</v>
      </c>
      <c r="N455" t="s">
        <v>450</v>
      </c>
      <c r="O455" t="s">
        <v>453</v>
      </c>
      <c r="P455" t="s">
        <v>157</v>
      </c>
      <c r="Q455">
        <v>8</v>
      </c>
      <c r="R455" t="s">
        <v>419</v>
      </c>
      <c r="S455">
        <v>8</v>
      </c>
      <c r="T455" t="s">
        <v>1516</v>
      </c>
      <c r="U455" t="s">
        <v>492</v>
      </c>
      <c r="V455" t="s">
        <v>1181</v>
      </c>
      <c r="W455" t="s">
        <v>399</v>
      </c>
      <c r="X455" t="s">
        <v>472</v>
      </c>
      <c r="Y455" t="s">
        <v>1981</v>
      </c>
    </row>
    <row r="456" spans="2:25">
      <c r="B456" t="s">
        <v>1968</v>
      </c>
      <c r="C456" t="s" vm="39">
        <v>701</v>
      </c>
      <c r="D456" t="s">
        <v>102</v>
      </c>
      <c r="E456" t="s">
        <v>485</v>
      </c>
      <c r="F456" t="s">
        <v>217</v>
      </c>
      <c r="G456" t="s">
        <v>487</v>
      </c>
      <c r="H456" t="s">
        <v>123</v>
      </c>
      <c r="I456" t="s">
        <v>456</v>
      </c>
      <c r="J456" t="s">
        <v>463</v>
      </c>
      <c r="K456">
        <v>2</v>
      </c>
      <c r="L456" t="s">
        <v>486</v>
      </c>
      <c r="M456" t="s">
        <v>556</v>
      </c>
      <c r="N456" t="s">
        <v>450</v>
      </c>
      <c r="O456" t="s">
        <v>453</v>
      </c>
      <c r="P456" t="s">
        <v>421</v>
      </c>
      <c r="Q456">
        <v>0</v>
      </c>
      <c r="R456" t="s">
        <v>159</v>
      </c>
      <c r="S456">
        <v>0</v>
      </c>
      <c r="T456" t="s">
        <v>1516</v>
      </c>
      <c r="U456" t="s">
        <v>492</v>
      </c>
      <c r="V456" t="s">
        <v>1181</v>
      </c>
      <c r="W456" t="s">
        <v>399</v>
      </c>
      <c r="X456" t="s">
        <v>472</v>
      </c>
      <c r="Y456" t="s">
        <v>1980</v>
      </c>
    </row>
    <row r="457" spans="2:25">
      <c r="B457" t="s">
        <v>1968</v>
      </c>
      <c r="C457" t="s" vm="39">
        <v>701</v>
      </c>
      <c r="D457" t="s">
        <v>102</v>
      </c>
      <c r="E457" t="s">
        <v>485</v>
      </c>
      <c r="F457" t="s">
        <v>217</v>
      </c>
      <c r="G457" t="s">
        <v>487</v>
      </c>
      <c r="H457" t="s">
        <v>123</v>
      </c>
      <c r="I457" t="s">
        <v>456</v>
      </c>
      <c r="J457" t="s">
        <v>463</v>
      </c>
      <c r="K457">
        <v>2</v>
      </c>
      <c r="L457" t="s">
        <v>486</v>
      </c>
      <c r="M457" t="s">
        <v>556</v>
      </c>
      <c r="N457" t="s">
        <v>450</v>
      </c>
      <c r="O457" t="s">
        <v>453</v>
      </c>
      <c r="P457" t="s">
        <v>157</v>
      </c>
      <c r="Q457">
        <v>8</v>
      </c>
      <c r="R457" t="s">
        <v>416</v>
      </c>
      <c r="S457">
        <v>8</v>
      </c>
      <c r="T457" t="s">
        <v>1516</v>
      </c>
      <c r="U457" t="s">
        <v>492</v>
      </c>
      <c r="V457" t="s">
        <v>1181</v>
      </c>
      <c r="W457" t="s">
        <v>399</v>
      </c>
      <c r="X457" t="s">
        <v>472</v>
      </c>
      <c r="Y457" t="s">
        <v>1979</v>
      </c>
    </row>
    <row r="458" spans="2:25">
      <c r="B458" t="s">
        <v>1968</v>
      </c>
      <c r="C458" t="s" vm="39">
        <v>701</v>
      </c>
      <c r="D458" t="s">
        <v>102</v>
      </c>
      <c r="E458" t="s">
        <v>485</v>
      </c>
      <c r="F458" t="s">
        <v>217</v>
      </c>
      <c r="G458" t="s">
        <v>473</v>
      </c>
      <c r="H458">
        <v>1</v>
      </c>
      <c r="I458" t="s">
        <v>456</v>
      </c>
      <c r="J458" t="s">
        <v>463</v>
      </c>
      <c r="K458">
        <v>2</v>
      </c>
      <c r="L458" t="s">
        <v>486</v>
      </c>
      <c r="M458" t="s">
        <v>556</v>
      </c>
      <c r="N458" t="s">
        <v>450</v>
      </c>
      <c r="O458" t="s">
        <v>453</v>
      </c>
      <c r="P458" t="s">
        <v>157</v>
      </c>
      <c r="Q458">
        <v>8</v>
      </c>
      <c r="R458" t="s">
        <v>416</v>
      </c>
      <c r="S458">
        <v>8</v>
      </c>
      <c r="T458" t="s">
        <v>1516</v>
      </c>
      <c r="U458" t="s">
        <v>492</v>
      </c>
      <c r="V458" t="s">
        <v>1181</v>
      </c>
      <c r="W458" t="s">
        <v>399</v>
      </c>
      <c r="X458" t="s">
        <v>472</v>
      </c>
      <c r="Y458" t="s">
        <v>1978</v>
      </c>
    </row>
    <row r="459" spans="2:25">
      <c r="B459" t="s">
        <v>1968</v>
      </c>
      <c r="C459" t="s" vm="39">
        <v>701</v>
      </c>
      <c r="D459" t="s">
        <v>100</v>
      </c>
      <c r="E459" t="s">
        <v>485</v>
      </c>
      <c r="F459" t="s">
        <v>217</v>
      </c>
      <c r="G459" t="s">
        <v>473</v>
      </c>
      <c r="H459">
        <v>1</v>
      </c>
      <c r="I459" t="s">
        <v>456</v>
      </c>
      <c r="J459" t="s">
        <v>463</v>
      </c>
      <c r="K459">
        <v>2</v>
      </c>
      <c r="L459" t="s">
        <v>486</v>
      </c>
      <c r="M459" t="s">
        <v>556</v>
      </c>
      <c r="N459" t="s">
        <v>450</v>
      </c>
      <c r="O459" t="s">
        <v>453</v>
      </c>
      <c r="P459" t="s">
        <v>157</v>
      </c>
      <c r="Q459">
        <v>8</v>
      </c>
      <c r="R459" t="s">
        <v>416</v>
      </c>
      <c r="S459">
        <v>8</v>
      </c>
      <c r="T459" t="s">
        <v>1516</v>
      </c>
      <c r="U459" t="s">
        <v>492</v>
      </c>
      <c r="V459" t="s">
        <v>1181</v>
      </c>
      <c r="W459" t="s">
        <v>399</v>
      </c>
      <c r="X459" t="s">
        <v>472</v>
      </c>
      <c r="Y459" t="s">
        <v>1977</v>
      </c>
    </row>
    <row r="460" spans="2:25">
      <c r="B460" t="s">
        <v>1968</v>
      </c>
      <c r="C460" t="s" vm="39">
        <v>701</v>
      </c>
      <c r="D460" t="s">
        <v>100</v>
      </c>
      <c r="E460" t="s">
        <v>485</v>
      </c>
      <c r="F460" t="s">
        <v>217</v>
      </c>
      <c r="G460" t="s">
        <v>487</v>
      </c>
      <c r="H460" t="s">
        <v>123</v>
      </c>
      <c r="I460" t="s">
        <v>456</v>
      </c>
      <c r="J460" t="s">
        <v>463</v>
      </c>
      <c r="K460">
        <v>2</v>
      </c>
      <c r="L460" t="s">
        <v>486</v>
      </c>
      <c r="M460" t="s">
        <v>556</v>
      </c>
      <c r="N460" t="s">
        <v>450</v>
      </c>
      <c r="O460" t="s">
        <v>453</v>
      </c>
      <c r="P460" t="s">
        <v>157</v>
      </c>
      <c r="Q460">
        <v>8</v>
      </c>
      <c r="R460" t="s">
        <v>416</v>
      </c>
      <c r="S460">
        <v>8</v>
      </c>
      <c r="T460" t="s">
        <v>1516</v>
      </c>
      <c r="U460" t="s">
        <v>492</v>
      </c>
      <c r="V460" t="s">
        <v>1181</v>
      </c>
      <c r="W460" t="s">
        <v>399</v>
      </c>
      <c r="X460" t="s">
        <v>472</v>
      </c>
      <c r="Y460" t="s">
        <v>1976</v>
      </c>
    </row>
    <row r="461" spans="2:25">
      <c r="B461" t="s">
        <v>1968</v>
      </c>
      <c r="C461" t="s" vm="39">
        <v>701</v>
      </c>
      <c r="D461" t="s">
        <v>100</v>
      </c>
      <c r="E461" t="s">
        <v>485</v>
      </c>
      <c r="F461" t="s">
        <v>217</v>
      </c>
      <c r="G461" t="s">
        <v>487</v>
      </c>
      <c r="H461" t="s">
        <v>123</v>
      </c>
      <c r="I461" t="s">
        <v>456</v>
      </c>
      <c r="J461" t="s">
        <v>463</v>
      </c>
      <c r="K461">
        <v>2</v>
      </c>
      <c r="L461" t="s">
        <v>486</v>
      </c>
      <c r="M461" t="s">
        <v>556</v>
      </c>
      <c r="N461" t="s">
        <v>450</v>
      </c>
      <c r="O461" t="s">
        <v>453</v>
      </c>
      <c r="P461" t="s">
        <v>421</v>
      </c>
      <c r="Q461">
        <v>0</v>
      </c>
      <c r="R461" t="s">
        <v>159</v>
      </c>
      <c r="S461">
        <v>0</v>
      </c>
      <c r="T461" t="s">
        <v>1516</v>
      </c>
      <c r="U461" t="s">
        <v>492</v>
      </c>
      <c r="V461" t="s">
        <v>1181</v>
      </c>
      <c r="W461" t="s">
        <v>399</v>
      </c>
      <c r="X461" t="s">
        <v>472</v>
      </c>
      <c r="Y461" t="s">
        <v>1975</v>
      </c>
    </row>
    <row r="462" spans="2:25">
      <c r="B462" t="s">
        <v>1968</v>
      </c>
      <c r="C462" t="s" vm="39">
        <v>701</v>
      </c>
      <c r="D462" t="s">
        <v>100</v>
      </c>
      <c r="E462" t="s">
        <v>485</v>
      </c>
      <c r="F462" t="s">
        <v>217</v>
      </c>
      <c r="G462" t="s">
        <v>487</v>
      </c>
      <c r="H462" t="s">
        <v>123</v>
      </c>
      <c r="I462" t="s">
        <v>456</v>
      </c>
      <c r="J462" t="s">
        <v>463</v>
      </c>
      <c r="K462">
        <v>2</v>
      </c>
      <c r="L462" t="s">
        <v>486</v>
      </c>
      <c r="M462" t="s">
        <v>556</v>
      </c>
      <c r="N462" t="s">
        <v>450</v>
      </c>
      <c r="O462" t="s">
        <v>453</v>
      </c>
      <c r="P462" t="s">
        <v>157</v>
      </c>
      <c r="Q462">
        <v>8</v>
      </c>
      <c r="R462" t="s">
        <v>419</v>
      </c>
      <c r="S462">
        <v>8</v>
      </c>
      <c r="T462" t="s">
        <v>1516</v>
      </c>
      <c r="U462" t="s">
        <v>492</v>
      </c>
      <c r="V462" t="s">
        <v>1181</v>
      </c>
      <c r="W462" t="s">
        <v>399</v>
      </c>
      <c r="X462" t="s">
        <v>472</v>
      </c>
      <c r="Y462" t="s">
        <v>1974</v>
      </c>
    </row>
    <row r="463" spans="2:25">
      <c r="B463" t="s">
        <v>1968</v>
      </c>
      <c r="C463" t="s" vm="39">
        <v>701</v>
      </c>
      <c r="D463" t="s">
        <v>100</v>
      </c>
      <c r="E463" t="s">
        <v>485</v>
      </c>
      <c r="F463" t="s">
        <v>461</v>
      </c>
      <c r="G463" t="s">
        <v>473</v>
      </c>
      <c r="H463">
        <v>1</v>
      </c>
      <c r="I463" t="s">
        <v>456</v>
      </c>
      <c r="J463" t="s">
        <v>463</v>
      </c>
      <c r="K463">
        <v>2</v>
      </c>
      <c r="L463" t="s">
        <v>486</v>
      </c>
      <c r="M463" t="s">
        <v>556</v>
      </c>
      <c r="N463" t="s">
        <v>450</v>
      </c>
      <c r="O463" t="s">
        <v>453</v>
      </c>
      <c r="P463" t="s">
        <v>421</v>
      </c>
      <c r="Q463">
        <v>0</v>
      </c>
      <c r="R463" t="s">
        <v>159</v>
      </c>
      <c r="S463">
        <v>0</v>
      </c>
      <c r="T463" t="s">
        <v>1516</v>
      </c>
      <c r="U463" t="s">
        <v>492</v>
      </c>
      <c r="V463" t="s">
        <v>1181</v>
      </c>
      <c r="W463" t="s">
        <v>399</v>
      </c>
      <c r="X463" t="s">
        <v>472</v>
      </c>
      <c r="Y463" t="s">
        <v>1970</v>
      </c>
    </row>
    <row r="464" spans="2:25">
      <c r="B464" t="s">
        <v>1968</v>
      </c>
      <c r="C464" t="s" vm="39">
        <v>701</v>
      </c>
      <c r="D464" t="s">
        <v>100</v>
      </c>
      <c r="E464" t="s">
        <v>485</v>
      </c>
      <c r="F464" t="s">
        <v>461</v>
      </c>
      <c r="G464" t="s">
        <v>473</v>
      </c>
      <c r="H464">
        <v>1</v>
      </c>
      <c r="I464" t="s">
        <v>458</v>
      </c>
      <c r="J464" t="s">
        <v>463</v>
      </c>
      <c r="K464">
        <v>2</v>
      </c>
      <c r="L464" t="s">
        <v>486</v>
      </c>
      <c r="M464" t="s">
        <v>1022</v>
      </c>
      <c r="N464" t="s">
        <v>450</v>
      </c>
      <c r="O464" t="s">
        <v>453</v>
      </c>
      <c r="P464" t="s">
        <v>157</v>
      </c>
      <c r="Q464">
        <v>8</v>
      </c>
      <c r="R464" t="s">
        <v>419</v>
      </c>
      <c r="S464">
        <v>1</v>
      </c>
      <c r="T464" t="s">
        <v>1516</v>
      </c>
      <c r="U464" t="s">
        <v>492</v>
      </c>
      <c r="V464" t="s">
        <v>1181</v>
      </c>
      <c r="W464" t="s">
        <v>399</v>
      </c>
      <c r="X464" t="s">
        <v>472</v>
      </c>
      <c r="Y464" t="s">
        <v>1969</v>
      </c>
    </row>
    <row r="465" spans="2:25">
      <c r="B465" t="s">
        <v>1963</v>
      </c>
      <c r="C465" t="s" vm="39">
        <v>701</v>
      </c>
      <c r="D465" t="s">
        <v>100</v>
      </c>
      <c r="E465" t="s">
        <v>485</v>
      </c>
      <c r="F465" t="s">
        <v>461</v>
      </c>
      <c r="G465" t="s">
        <v>473</v>
      </c>
      <c r="H465">
        <v>1</v>
      </c>
      <c r="I465" t="s">
        <v>458</v>
      </c>
      <c r="J465" t="s">
        <v>463</v>
      </c>
      <c r="K465">
        <v>2</v>
      </c>
      <c r="L465" t="s">
        <v>486</v>
      </c>
      <c r="M465" t="s">
        <v>1022</v>
      </c>
      <c r="N465" t="s">
        <v>450</v>
      </c>
      <c r="O465" t="s">
        <v>453</v>
      </c>
      <c r="P465" t="s">
        <v>157</v>
      </c>
      <c r="Q465">
        <v>8</v>
      </c>
      <c r="R465" t="s">
        <v>416</v>
      </c>
      <c r="S465">
        <v>8</v>
      </c>
      <c r="T465" t="s">
        <v>1516</v>
      </c>
      <c r="U465" t="s">
        <v>492</v>
      </c>
      <c r="V465" t="s">
        <v>1181</v>
      </c>
      <c r="W465" t="s">
        <v>399</v>
      </c>
      <c r="X465" t="s">
        <v>472</v>
      </c>
      <c r="Y465" t="s">
        <v>1966</v>
      </c>
    </row>
    <row r="466" spans="2:25">
      <c r="B466" t="s">
        <v>1963</v>
      </c>
      <c r="C466" t="s" vm="39">
        <v>701</v>
      </c>
      <c r="D466" t="s">
        <v>100</v>
      </c>
      <c r="E466" t="s">
        <v>485</v>
      </c>
      <c r="F466" t="s">
        <v>217</v>
      </c>
      <c r="G466" t="s">
        <v>473</v>
      </c>
      <c r="H466">
        <v>1</v>
      </c>
      <c r="I466" t="s">
        <v>456</v>
      </c>
      <c r="J466" t="s">
        <v>463</v>
      </c>
      <c r="K466">
        <v>2</v>
      </c>
      <c r="L466" t="s">
        <v>486</v>
      </c>
      <c r="M466" t="s">
        <v>556</v>
      </c>
      <c r="N466" t="s">
        <v>450</v>
      </c>
      <c r="O466" t="s">
        <v>453</v>
      </c>
      <c r="P466" t="s">
        <v>157</v>
      </c>
      <c r="Q466">
        <v>8</v>
      </c>
      <c r="R466" t="s">
        <v>419</v>
      </c>
      <c r="S466">
        <v>8</v>
      </c>
      <c r="T466" t="s">
        <v>402</v>
      </c>
      <c r="U466" t="s">
        <v>492</v>
      </c>
      <c r="V466" t="s">
        <v>1181</v>
      </c>
      <c r="W466" t="s">
        <v>399</v>
      </c>
      <c r="X466" t="s">
        <v>401</v>
      </c>
      <c r="Y466" t="s">
        <v>1965</v>
      </c>
    </row>
    <row r="467" spans="2:25">
      <c r="B467" t="s">
        <v>1963</v>
      </c>
      <c r="C467" t="s" vm="39">
        <v>701</v>
      </c>
      <c r="D467" t="s">
        <v>100</v>
      </c>
      <c r="E467" t="s">
        <v>485</v>
      </c>
      <c r="F467" t="s">
        <v>461</v>
      </c>
      <c r="G467" t="s">
        <v>473</v>
      </c>
      <c r="H467">
        <v>1</v>
      </c>
      <c r="I467" t="s">
        <v>458</v>
      </c>
      <c r="J467" t="s">
        <v>463</v>
      </c>
      <c r="K467">
        <v>2</v>
      </c>
      <c r="L467" t="s">
        <v>486</v>
      </c>
      <c r="M467" t="s">
        <v>1022</v>
      </c>
      <c r="N467" t="s">
        <v>450</v>
      </c>
      <c r="O467" t="s">
        <v>453</v>
      </c>
      <c r="P467" t="s">
        <v>421</v>
      </c>
      <c r="Q467">
        <v>0</v>
      </c>
      <c r="R467" t="s">
        <v>159</v>
      </c>
      <c r="S467">
        <v>0</v>
      </c>
      <c r="T467" t="s">
        <v>402</v>
      </c>
      <c r="U467" t="s">
        <v>492</v>
      </c>
      <c r="V467" t="s">
        <v>1181</v>
      </c>
      <c r="W467" t="s">
        <v>399</v>
      </c>
      <c r="X467" t="s">
        <v>401</v>
      </c>
      <c r="Y467" t="s">
        <v>1964</v>
      </c>
    </row>
    <row r="468" spans="2:25">
      <c r="B468" t="s">
        <v>1963</v>
      </c>
      <c r="C468" t="s" vm="39">
        <v>701</v>
      </c>
      <c r="D468" t="s">
        <v>100</v>
      </c>
      <c r="E468" t="s">
        <v>485</v>
      </c>
      <c r="F468" t="s">
        <v>461</v>
      </c>
      <c r="G468" t="s">
        <v>473</v>
      </c>
      <c r="H468">
        <v>1</v>
      </c>
      <c r="I468" t="s">
        <v>458</v>
      </c>
      <c r="J468" t="s">
        <v>463</v>
      </c>
      <c r="K468">
        <v>2</v>
      </c>
      <c r="L468" t="s">
        <v>486</v>
      </c>
      <c r="M468" t="s">
        <v>1022</v>
      </c>
      <c r="N468" t="s">
        <v>450</v>
      </c>
      <c r="O468" t="s">
        <v>453</v>
      </c>
      <c r="P468" t="s">
        <v>421</v>
      </c>
      <c r="Q468">
        <v>0</v>
      </c>
      <c r="R468" t="s">
        <v>159</v>
      </c>
      <c r="S468">
        <v>0</v>
      </c>
      <c r="T468" t="s">
        <v>402</v>
      </c>
      <c r="U468" t="s">
        <v>492</v>
      </c>
      <c r="V468" t="s">
        <v>1181</v>
      </c>
      <c r="W468" t="s">
        <v>399</v>
      </c>
      <c r="X468" t="s">
        <v>401</v>
      </c>
      <c r="Y468" t="s">
        <v>1964</v>
      </c>
    </row>
    <row r="469" spans="2:25">
      <c r="B469" t="s">
        <v>1953</v>
      </c>
      <c r="C469" t="s" vm="39">
        <v>701</v>
      </c>
      <c r="D469" t="s">
        <v>1019</v>
      </c>
      <c r="E469" t="s">
        <v>485</v>
      </c>
      <c r="F469" t="s">
        <v>461</v>
      </c>
      <c r="G469" t="s">
        <v>473</v>
      </c>
      <c r="H469">
        <v>2</v>
      </c>
      <c r="I469" t="s">
        <v>456</v>
      </c>
      <c r="J469" t="s">
        <v>463</v>
      </c>
      <c r="K469">
        <v>2</v>
      </c>
      <c r="L469" t="s">
        <v>486</v>
      </c>
      <c r="M469" t="s">
        <v>556</v>
      </c>
      <c r="N469" t="s">
        <v>450</v>
      </c>
      <c r="O469" t="s">
        <v>453</v>
      </c>
      <c r="P469" t="s">
        <v>421</v>
      </c>
      <c r="Q469">
        <v>0</v>
      </c>
      <c r="R469" t="s">
        <v>159</v>
      </c>
      <c r="S469">
        <v>0</v>
      </c>
      <c r="T469" t="s">
        <v>1516</v>
      </c>
      <c r="U469" t="s">
        <v>492</v>
      </c>
      <c r="V469" t="s">
        <v>1181</v>
      </c>
      <c r="W469" t="s">
        <v>399</v>
      </c>
      <c r="X469" t="s">
        <v>401</v>
      </c>
      <c r="Y469" t="s">
        <v>1958</v>
      </c>
    </row>
    <row r="470" spans="2:25">
      <c r="B470" t="s">
        <v>1953</v>
      </c>
      <c r="C470" t="s" vm="39">
        <v>701</v>
      </c>
      <c r="D470" t="s">
        <v>1019</v>
      </c>
      <c r="E470" t="s">
        <v>485</v>
      </c>
      <c r="F470" t="s">
        <v>461</v>
      </c>
      <c r="G470" t="s">
        <v>473</v>
      </c>
      <c r="H470">
        <v>2</v>
      </c>
      <c r="I470" t="s">
        <v>456</v>
      </c>
      <c r="J470" t="s">
        <v>463</v>
      </c>
      <c r="K470">
        <v>2</v>
      </c>
      <c r="L470" t="s">
        <v>486</v>
      </c>
      <c r="M470" t="s">
        <v>556</v>
      </c>
      <c r="N470" t="s">
        <v>450</v>
      </c>
      <c r="O470" t="s">
        <v>453</v>
      </c>
      <c r="P470" t="s">
        <v>421</v>
      </c>
      <c r="Q470">
        <v>0</v>
      </c>
      <c r="R470" t="s">
        <v>159</v>
      </c>
      <c r="S470">
        <v>0</v>
      </c>
      <c r="T470" t="s">
        <v>1516</v>
      </c>
      <c r="U470" t="s">
        <v>492</v>
      </c>
      <c r="V470" t="s">
        <v>1181</v>
      </c>
      <c r="W470" t="s">
        <v>399</v>
      </c>
      <c r="X470" t="s">
        <v>401</v>
      </c>
      <c r="Y470" t="s">
        <v>1957</v>
      </c>
    </row>
    <row r="471" spans="2:25">
      <c r="B471" t="s">
        <v>1953</v>
      </c>
      <c r="C471" t="s" vm="39">
        <v>701</v>
      </c>
      <c r="D471" t="s">
        <v>1019</v>
      </c>
      <c r="E471" t="s">
        <v>485</v>
      </c>
      <c r="F471" t="s">
        <v>461</v>
      </c>
      <c r="G471" t="s">
        <v>473</v>
      </c>
      <c r="H471">
        <v>2</v>
      </c>
      <c r="I471" t="s">
        <v>456</v>
      </c>
      <c r="J471" t="s">
        <v>463</v>
      </c>
      <c r="K471">
        <v>2</v>
      </c>
      <c r="L471" t="s">
        <v>486</v>
      </c>
      <c r="M471" t="s">
        <v>556</v>
      </c>
      <c r="N471" t="s">
        <v>450</v>
      </c>
      <c r="O471" t="s">
        <v>453</v>
      </c>
      <c r="P471" t="s">
        <v>157</v>
      </c>
      <c r="Q471">
        <v>8</v>
      </c>
      <c r="R471" t="s">
        <v>1494</v>
      </c>
      <c r="S471">
        <v>8</v>
      </c>
      <c r="T471" t="s">
        <v>1516</v>
      </c>
      <c r="U471" t="s">
        <v>492</v>
      </c>
      <c r="V471" t="s">
        <v>1181</v>
      </c>
      <c r="W471" t="s">
        <v>399</v>
      </c>
      <c r="X471" t="s">
        <v>401</v>
      </c>
      <c r="Y471" t="s">
        <v>1956</v>
      </c>
    </row>
    <row r="472" spans="2:25">
      <c r="B472" t="s">
        <v>1953</v>
      </c>
      <c r="C472" t="s" vm="39">
        <v>701</v>
      </c>
      <c r="D472" t="s">
        <v>1019</v>
      </c>
      <c r="E472" t="s">
        <v>485</v>
      </c>
      <c r="F472" t="s">
        <v>461</v>
      </c>
      <c r="G472" t="s">
        <v>473</v>
      </c>
      <c r="H472">
        <v>2</v>
      </c>
      <c r="I472" t="s">
        <v>456</v>
      </c>
      <c r="J472" t="s">
        <v>463</v>
      </c>
      <c r="K472">
        <v>2</v>
      </c>
      <c r="L472" t="s">
        <v>486</v>
      </c>
      <c r="M472" t="s">
        <v>556</v>
      </c>
      <c r="N472" t="s">
        <v>450</v>
      </c>
      <c r="O472" t="s">
        <v>453</v>
      </c>
      <c r="P472" t="s">
        <v>157</v>
      </c>
      <c r="Q472">
        <v>8</v>
      </c>
      <c r="R472" t="s">
        <v>1494</v>
      </c>
      <c r="S472">
        <v>8</v>
      </c>
      <c r="T472" t="s">
        <v>1516</v>
      </c>
      <c r="U472" t="s">
        <v>492</v>
      </c>
      <c r="V472" t="s">
        <v>1181</v>
      </c>
      <c r="W472" t="s">
        <v>399</v>
      </c>
      <c r="X472" t="s">
        <v>401</v>
      </c>
      <c r="Y472" t="s">
        <v>1955</v>
      </c>
    </row>
    <row r="473" spans="2:25">
      <c r="B473" t="s">
        <v>1953</v>
      </c>
      <c r="C473" t="s" vm="39">
        <v>701</v>
      </c>
      <c r="D473" t="s">
        <v>100</v>
      </c>
      <c r="E473" t="s">
        <v>485</v>
      </c>
      <c r="F473" t="s">
        <v>461</v>
      </c>
      <c r="G473" t="s">
        <v>473</v>
      </c>
      <c r="H473">
        <v>1</v>
      </c>
      <c r="I473" t="s">
        <v>456</v>
      </c>
      <c r="J473" t="s">
        <v>462</v>
      </c>
      <c r="K473">
        <v>2</v>
      </c>
      <c r="L473" t="s">
        <v>486</v>
      </c>
      <c r="M473" t="s">
        <v>556</v>
      </c>
      <c r="N473" t="s">
        <v>450</v>
      </c>
      <c r="O473" t="s">
        <v>453</v>
      </c>
      <c r="P473" t="s">
        <v>421</v>
      </c>
      <c r="Q473">
        <v>0</v>
      </c>
      <c r="R473" t="s">
        <v>159</v>
      </c>
      <c r="S473">
        <v>0</v>
      </c>
      <c r="T473" t="s">
        <v>1485</v>
      </c>
      <c r="U473" t="s">
        <v>492</v>
      </c>
      <c r="V473" t="s">
        <v>1181</v>
      </c>
      <c r="W473" t="s">
        <v>399</v>
      </c>
      <c r="X473" t="s">
        <v>472</v>
      </c>
      <c r="Y473" t="s">
        <v>1954</v>
      </c>
    </row>
    <row r="474" spans="2:25">
      <c r="B474" t="s">
        <v>1950</v>
      </c>
      <c r="C474" t="s" vm="39">
        <v>701</v>
      </c>
      <c r="D474" t="s">
        <v>100</v>
      </c>
      <c r="E474" t="s">
        <v>485</v>
      </c>
      <c r="F474" t="s">
        <v>217</v>
      </c>
      <c r="G474" t="s">
        <v>473</v>
      </c>
      <c r="H474">
        <v>1</v>
      </c>
      <c r="I474" t="s">
        <v>456</v>
      </c>
      <c r="J474" t="s">
        <v>462</v>
      </c>
      <c r="K474">
        <v>1</v>
      </c>
      <c r="L474" t="s">
        <v>486</v>
      </c>
      <c r="M474" t="s">
        <v>556</v>
      </c>
      <c r="N474" t="s">
        <v>450</v>
      </c>
      <c r="O474" t="s">
        <v>453</v>
      </c>
      <c r="P474" t="s">
        <v>421</v>
      </c>
      <c r="Q474">
        <v>0</v>
      </c>
      <c r="R474" t="s">
        <v>159</v>
      </c>
      <c r="S474">
        <v>0</v>
      </c>
      <c r="T474" t="s">
        <v>1485</v>
      </c>
      <c r="U474" t="s">
        <v>492</v>
      </c>
      <c r="V474" t="s">
        <v>1181</v>
      </c>
      <c r="W474" t="s">
        <v>399</v>
      </c>
      <c r="X474" t="s">
        <v>470</v>
      </c>
      <c r="Y474" t="s">
        <v>1952</v>
      </c>
    </row>
    <row r="475" spans="2:25">
      <c r="B475" t="s">
        <v>1950</v>
      </c>
      <c r="C475" t="s" vm="39">
        <v>701</v>
      </c>
      <c r="D475" t="s">
        <v>100</v>
      </c>
      <c r="E475" t="s">
        <v>485</v>
      </c>
      <c r="F475" t="s">
        <v>217</v>
      </c>
      <c r="G475" t="s">
        <v>473</v>
      </c>
      <c r="H475">
        <v>1</v>
      </c>
      <c r="I475" t="s">
        <v>456</v>
      </c>
      <c r="J475" t="s">
        <v>462</v>
      </c>
      <c r="K475">
        <v>1</v>
      </c>
      <c r="L475" t="s">
        <v>486</v>
      </c>
      <c r="M475" t="s">
        <v>556</v>
      </c>
      <c r="N475" t="s">
        <v>450</v>
      </c>
      <c r="O475" t="s">
        <v>453</v>
      </c>
      <c r="P475" t="s">
        <v>421</v>
      </c>
      <c r="Q475">
        <v>0</v>
      </c>
      <c r="R475" t="s">
        <v>159</v>
      </c>
      <c r="S475">
        <v>8</v>
      </c>
      <c r="T475" t="s">
        <v>1485</v>
      </c>
      <c r="U475" t="s">
        <v>492</v>
      </c>
      <c r="V475" t="s">
        <v>1181</v>
      </c>
      <c r="W475" t="s">
        <v>399</v>
      </c>
      <c r="X475" t="s">
        <v>470</v>
      </c>
      <c r="Y475" t="s">
        <v>1951</v>
      </c>
    </row>
    <row r="476" spans="2:25">
      <c r="B476" t="s">
        <v>1938</v>
      </c>
      <c r="C476" t="s" vm="39">
        <v>701</v>
      </c>
      <c r="D476" t="s">
        <v>100</v>
      </c>
      <c r="E476" t="s">
        <v>485</v>
      </c>
      <c r="F476" t="s">
        <v>461</v>
      </c>
      <c r="G476" t="s">
        <v>487</v>
      </c>
      <c r="H476" t="s">
        <v>123</v>
      </c>
      <c r="I476" t="s">
        <v>458</v>
      </c>
      <c r="J476" t="s">
        <v>462</v>
      </c>
      <c r="K476">
        <v>1</v>
      </c>
      <c r="L476" t="s">
        <v>488</v>
      </c>
      <c r="M476" t="s">
        <v>492</v>
      </c>
      <c r="N476" t="s">
        <v>496</v>
      </c>
      <c r="O476" t="s">
        <v>453</v>
      </c>
      <c r="P476" t="s">
        <v>421</v>
      </c>
      <c r="Q476">
        <v>0</v>
      </c>
      <c r="R476" t="s">
        <v>416</v>
      </c>
      <c r="S476">
        <v>8</v>
      </c>
      <c r="T476" t="s">
        <v>402</v>
      </c>
      <c r="U476" t="s">
        <v>492</v>
      </c>
      <c r="V476" t="s">
        <v>1181</v>
      </c>
      <c r="W476" t="s">
        <v>399</v>
      </c>
      <c r="X476" t="s">
        <v>470</v>
      </c>
      <c r="Y476" t="s">
        <v>1945</v>
      </c>
    </row>
    <row r="477" spans="2:25">
      <c r="B477" t="s">
        <v>1938</v>
      </c>
      <c r="C477" t="s" vm="39">
        <v>701</v>
      </c>
      <c r="D477" t="s">
        <v>100</v>
      </c>
      <c r="E477" t="s">
        <v>485</v>
      </c>
      <c r="F477" t="s">
        <v>461</v>
      </c>
      <c r="G477" t="s">
        <v>487</v>
      </c>
      <c r="H477" t="s">
        <v>123</v>
      </c>
      <c r="I477" t="s">
        <v>456</v>
      </c>
      <c r="J477" t="s">
        <v>463</v>
      </c>
      <c r="K477">
        <v>2</v>
      </c>
      <c r="L477" t="s">
        <v>486</v>
      </c>
      <c r="M477" t="s">
        <v>556</v>
      </c>
      <c r="N477" t="s">
        <v>450</v>
      </c>
      <c r="O477" t="s">
        <v>453</v>
      </c>
      <c r="P477" t="s">
        <v>421</v>
      </c>
      <c r="Q477">
        <v>0</v>
      </c>
      <c r="R477" t="s">
        <v>416</v>
      </c>
      <c r="S477">
        <v>8</v>
      </c>
      <c r="T477" t="s">
        <v>402</v>
      </c>
      <c r="U477" t="s">
        <v>492</v>
      </c>
      <c r="V477" t="s">
        <v>1181</v>
      </c>
      <c r="W477" t="s">
        <v>399</v>
      </c>
      <c r="X477" t="s">
        <v>472</v>
      </c>
      <c r="Y477" t="s">
        <v>1944</v>
      </c>
    </row>
    <row r="478" spans="2:25">
      <c r="B478" t="s">
        <v>1938</v>
      </c>
      <c r="C478" t="s" vm="39">
        <v>701</v>
      </c>
      <c r="D478" t="s">
        <v>100</v>
      </c>
      <c r="E478" t="s">
        <v>485</v>
      </c>
      <c r="F478" t="s">
        <v>461</v>
      </c>
      <c r="G478" t="s">
        <v>487</v>
      </c>
      <c r="H478" t="s">
        <v>123</v>
      </c>
      <c r="I478" t="s">
        <v>456</v>
      </c>
      <c r="J478" t="s">
        <v>463</v>
      </c>
      <c r="K478">
        <v>2</v>
      </c>
      <c r="L478" t="s">
        <v>486</v>
      </c>
      <c r="M478" t="s">
        <v>556</v>
      </c>
      <c r="N478" t="s">
        <v>450</v>
      </c>
      <c r="O478" t="s">
        <v>453</v>
      </c>
      <c r="P478" t="s">
        <v>421</v>
      </c>
      <c r="Q478">
        <v>0</v>
      </c>
      <c r="R478" t="s">
        <v>416</v>
      </c>
      <c r="S478">
        <v>8</v>
      </c>
      <c r="T478" t="s">
        <v>402</v>
      </c>
      <c r="U478" t="s">
        <v>492</v>
      </c>
      <c r="V478" t="s">
        <v>1181</v>
      </c>
      <c r="W478" t="s">
        <v>399</v>
      </c>
      <c r="X478" t="s">
        <v>472</v>
      </c>
      <c r="Y478" t="s">
        <v>1943</v>
      </c>
    </row>
    <row r="479" spans="2:25">
      <c r="B479" t="s">
        <v>1938</v>
      </c>
      <c r="C479" t="s" vm="39">
        <v>701</v>
      </c>
      <c r="D479" t="s">
        <v>100</v>
      </c>
      <c r="E479" t="s">
        <v>485</v>
      </c>
      <c r="F479" t="s">
        <v>461</v>
      </c>
      <c r="G479" t="s">
        <v>487</v>
      </c>
      <c r="H479" t="s">
        <v>123</v>
      </c>
      <c r="I479" t="s">
        <v>456</v>
      </c>
      <c r="J479" t="s">
        <v>463</v>
      </c>
      <c r="K479">
        <v>2</v>
      </c>
      <c r="L479" t="s">
        <v>486</v>
      </c>
      <c r="M479" t="s">
        <v>556</v>
      </c>
      <c r="N479" t="s">
        <v>450</v>
      </c>
      <c r="O479" t="s">
        <v>453</v>
      </c>
      <c r="P479" t="s">
        <v>421</v>
      </c>
      <c r="Q479">
        <v>0</v>
      </c>
      <c r="R479" t="s">
        <v>416</v>
      </c>
      <c r="S479">
        <v>8</v>
      </c>
      <c r="T479" t="s">
        <v>402</v>
      </c>
      <c r="U479" t="s">
        <v>492</v>
      </c>
      <c r="V479" t="s">
        <v>1181</v>
      </c>
      <c r="W479" t="s">
        <v>399</v>
      </c>
      <c r="X479" t="s">
        <v>472</v>
      </c>
      <c r="Y479" t="s">
        <v>1942</v>
      </c>
    </row>
    <row r="480" spans="2:25">
      <c r="B480" t="s">
        <v>1938</v>
      </c>
      <c r="C480" t="s" vm="39">
        <v>701</v>
      </c>
      <c r="D480" t="s">
        <v>100</v>
      </c>
      <c r="E480" t="s">
        <v>485</v>
      </c>
      <c r="F480" t="s">
        <v>461</v>
      </c>
      <c r="G480" t="s">
        <v>487</v>
      </c>
      <c r="H480" t="s">
        <v>123</v>
      </c>
      <c r="I480" t="s">
        <v>456</v>
      </c>
      <c r="J480" t="s">
        <v>463</v>
      </c>
      <c r="K480">
        <v>2</v>
      </c>
      <c r="L480" t="s">
        <v>486</v>
      </c>
      <c r="M480" t="s">
        <v>556</v>
      </c>
      <c r="N480" t="s">
        <v>450</v>
      </c>
      <c r="O480" t="s">
        <v>453</v>
      </c>
      <c r="P480" t="s">
        <v>421</v>
      </c>
      <c r="Q480">
        <v>0</v>
      </c>
      <c r="R480" t="s">
        <v>416</v>
      </c>
      <c r="S480">
        <v>8</v>
      </c>
      <c r="T480" t="s">
        <v>402</v>
      </c>
      <c r="U480" t="s">
        <v>492</v>
      </c>
      <c r="V480" t="s">
        <v>1181</v>
      </c>
      <c r="W480" t="s">
        <v>399</v>
      </c>
      <c r="X480" t="s">
        <v>472</v>
      </c>
      <c r="Y480" t="s">
        <v>1942</v>
      </c>
    </row>
    <row r="481" spans="2:25">
      <c r="B481" t="s">
        <v>1938</v>
      </c>
      <c r="C481" t="s" vm="39">
        <v>701</v>
      </c>
      <c r="D481" t="s">
        <v>100</v>
      </c>
      <c r="E481" t="s">
        <v>485</v>
      </c>
      <c r="F481" t="s">
        <v>461</v>
      </c>
      <c r="G481" t="s">
        <v>487</v>
      </c>
      <c r="H481" t="s">
        <v>123</v>
      </c>
      <c r="I481" t="s">
        <v>456</v>
      </c>
      <c r="J481" t="s">
        <v>463</v>
      </c>
      <c r="K481">
        <v>2</v>
      </c>
      <c r="L481" t="s">
        <v>486</v>
      </c>
      <c r="M481" t="s">
        <v>556</v>
      </c>
      <c r="N481" t="s">
        <v>450</v>
      </c>
      <c r="O481" t="s">
        <v>453</v>
      </c>
      <c r="P481" t="s">
        <v>421</v>
      </c>
      <c r="Q481">
        <v>0</v>
      </c>
      <c r="R481" t="s">
        <v>416</v>
      </c>
      <c r="S481">
        <v>8</v>
      </c>
      <c r="T481" t="s">
        <v>402</v>
      </c>
      <c r="U481" t="s">
        <v>492</v>
      </c>
      <c r="V481" t="s">
        <v>1181</v>
      </c>
      <c r="W481" t="s">
        <v>399</v>
      </c>
      <c r="X481" t="s">
        <v>472</v>
      </c>
      <c r="Y481" t="s">
        <v>1939</v>
      </c>
    </row>
    <row r="482" spans="2:25">
      <c r="B482" t="s">
        <v>1936</v>
      </c>
      <c r="C482" t="s" vm="39">
        <v>701</v>
      </c>
      <c r="D482" t="s">
        <v>100</v>
      </c>
      <c r="E482" t="s">
        <v>485</v>
      </c>
      <c r="F482" t="s">
        <v>461</v>
      </c>
      <c r="G482" t="s">
        <v>473</v>
      </c>
      <c r="H482">
        <v>1</v>
      </c>
      <c r="I482" t="s">
        <v>460</v>
      </c>
      <c r="J482" t="s">
        <v>462</v>
      </c>
      <c r="K482">
        <v>2</v>
      </c>
      <c r="L482" t="s">
        <v>486</v>
      </c>
      <c r="M482" t="s">
        <v>1864</v>
      </c>
      <c r="N482" t="s">
        <v>450</v>
      </c>
      <c r="O482" t="s">
        <v>453</v>
      </c>
      <c r="P482" t="s">
        <v>421</v>
      </c>
      <c r="Q482">
        <v>0</v>
      </c>
      <c r="R482" t="s">
        <v>159</v>
      </c>
      <c r="S482">
        <v>0</v>
      </c>
      <c r="T482" t="s">
        <v>1485</v>
      </c>
      <c r="U482" t="s">
        <v>492</v>
      </c>
      <c r="V482" t="s">
        <v>1181</v>
      </c>
      <c r="W482" t="s">
        <v>399</v>
      </c>
      <c r="X482" t="s">
        <v>470</v>
      </c>
      <c r="Y482" t="s">
        <v>1937</v>
      </c>
    </row>
    <row r="483" spans="2:25">
      <c r="B483" t="s">
        <v>1929</v>
      </c>
      <c r="C483" t="s" vm="39">
        <v>701</v>
      </c>
      <c r="D483" t="s">
        <v>102</v>
      </c>
      <c r="E483" t="s">
        <v>485</v>
      </c>
      <c r="F483" t="s">
        <v>461</v>
      </c>
      <c r="G483" t="s">
        <v>487</v>
      </c>
      <c r="H483" t="s">
        <v>123</v>
      </c>
      <c r="I483" t="s">
        <v>458</v>
      </c>
      <c r="J483" t="s">
        <v>463</v>
      </c>
      <c r="K483">
        <v>2</v>
      </c>
      <c r="L483" t="s">
        <v>486</v>
      </c>
      <c r="M483" t="s">
        <v>556</v>
      </c>
      <c r="N483" t="s">
        <v>450</v>
      </c>
      <c r="O483" t="s">
        <v>453</v>
      </c>
      <c r="P483" t="s">
        <v>421</v>
      </c>
      <c r="Q483">
        <v>0</v>
      </c>
      <c r="R483" t="s">
        <v>159</v>
      </c>
      <c r="S483">
        <v>0</v>
      </c>
      <c r="T483" t="s">
        <v>402</v>
      </c>
      <c r="U483" t="s">
        <v>492</v>
      </c>
      <c r="V483" t="s">
        <v>1181</v>
      </c>
      <c r="W483" t="s">
        <v>399</v>
      </c>
      <c r="X483" t="s">
        <v>470</v>
      </c>
      <c r="Y483" t="s">
        <v>1935</v>
      </c>
    </row>
    <row r="484" spans="2:25">
      <c r="B484" t="s">
        <v>1929</v>
      </c>
      <c r="C484" t="s" vm="39">
        <v>701</v>
      </c>
      <c r="D484" t="s">
        <v>100</v>
      </c>
      <c r="E484" t="s">
        <v>485</v>
      </c>
      <c r="F484" t="s">
        <v>461</v>
      </c>
      <c r="G484" t="s">
        <v>487</v>
      </c>
      <c r="H484" t="s">
        <v>123</v>
      </c>
      <c r="I484" t="s">
        <v>458</v>
      </c>
      <c r="J484" t="s">
        <v>463</v>
      </c>
      <c r="K484">
        <v>2</v>
      </c>
      <c r="L484" t="s">
        <v>486</v>
      </c>
      <c r="M484" t="s">
        <v>556</v>
      </c>
      <c r="N484" t="s">
        <v>450</v>
      </c>
      <c r="O484" t="s">
        <v>453</v>
      </c>
      <c r="P484" t="s">
        <v>421</v>
      </c>
      <c r="Q484">
        <v>0</v>
      </c>
      <c r="R484" t="s">
        <v>159</v>
      </c>
      <c r="S484">
        <v>0</v>
      </c>
      <c r="T484" t="s">
        <v>402</v>
      </c>
      <c r="U484" t="s">
        <v>492</v>
      </c>
      <c r="V484" t="s">
        <v>1181</v>
      </c>
      <c r="W484" t="s">
        <v>399</v>
      </c>
      <c r="X484" t="s">
        <v>470</v>
      </c>
      <c r="Y484" t="s">
        <v>1934</v>
      </c>
    </row>
    <row r="485" spans="2:25">
      <c r="B485" t="s">
        <v>1929</v>
      </c>
      <c r="C485" t="s" vm="39">
        <v>701</v>
      </c>
      <c r="D485" t="s">
        <v>100</v>
      </c>
      <c r="E485" t="s">
        <v>485</v>
      </c>
      <c r="F485" t="s">
        <v>217</v>
      </c>
      <c r="G485" t="s">
        <v>473</v>
      </c>
      <c r="H485">
        <v>1</v>
      </c>
      <c r="I485" t="s">
        <v>458</v>
      </c>
      <c r="J485" t="s">
        <v>462</v>
      </c>
      <c r="K485">
        <v>2</v>
      </c>
      <c r="L485" t="s">
        <v>486</v>
      </c>
      <c r="M485" t="s">
        <v>556</v>
      </c>
      <c r="N485" t="s">
        <v>450</v>
      </c>
      <c r="O485" t="s">
        <v>453</v>
      </c>
      <c r="P485" t="s">
        <v>157</v>
      </c>
      <c r="Q485">
        <v>0</v>
      </c>
      <c r="R485" t="s">
        <v>419</v>
      </c>
      <c r="S485">
        <v>8</v>
      </c>
      <c r="T485" t="s">
        <v>402</v>
      </c>
      <c r="U485" t="s">
        <v>492</v>
      </c>
      <c r="V485" t="s">
        <v>1181</v>
      </c>
      <c r="W485" t="s">
        <v>399</v>
      </c>
      <c r="X485" t="s">
        <v>471</v>
      </c>
      <c r="Y485" t="s">
        <v>1933</v>
      </c>
    </row>
    <row r="486" spans="2:25">
      <c r="B486" t="s">
        <v>1929</v>
      </c>
      <c r="C486" t="s" vm="39">
        <v>701</v>
      </c>
      <c r="D486" t="s">
        <v>100</v>
      </c>
      <c r="E486" t="s">
        <v>485</v>
      </c>
      <c r="F486" t="s">
        <v>217</v>
      </c>
      <c r="G486" t="s">
        <v>473</v>
      </c>
      <c r="H486">
        <v>1</v>
      </c>
      <c r="I486" t="s">
        <v>458</v>
      </c>
      <c r="J486" t="s">
        <v>462</v>
      </c>
      <c r="K486">
        <v>2</v>
      </c>
      <c r="L486" t="s">
        <v>486</v>
      </c>
      <c r="M486" t="s">
        <v>556</v>
      </c>
      <c r="N486" t="s">
        <v>450</v>
      </c>
      <c r="O486" t="s">
        <v>453</v>
      </c>
      <c r="P486" t="s">
        <v>157</v>
      </c>
      <c r="Q486">
        <v>0</v>
      </c>
      <c r="R486" t="s">
        <v>419</v>
      </c>
      <c r="S486">
        <v>8</v>
      </c>
      <c r="T486" t="s">
        <v>402</v>
      </c>
      <c r="U486" t="s">
        <v>492</v>
      </c>
      <c r="V486" t="s">
        <v>1181</v>
      </c>
      <c r="W486" t="s">
        <v>399</v>
      </c>
      <c r="X486" t="s">
        <v>470</v>
      </c>
      <c r="Y486" t="s">
        <v>1932</v>
      </c>
    </row>
    <row r="487" spans="2:25">
      <c r="B487" t="s">
        <v>1929</v>
      </c>
      <c r="C487" t="s" vm="39">
        <v>701</v>
      </c>
      <c r="D487" t="s">
        <v>100</v>
      </c>
      <c r="E487" t="s">
        <v>485</v>
      </c>
      <c r="F487" t="s">
        <v>217</v>
      </c>
      <c r="G487" t="s">
        <v>473</v>
      </c>
      <c r="H487">
        <v>1</v>
      </c>
      <c r="I487" t="s">
        <v>458</v>
      </c>
      <c r="J487" t="s">
        <v>462</v>
      </c>
      <c r="K487">
        <v>2</v>
      </c>
      <c r="L487" t="s">
        <v>486</v>
      </c>
      <c r="M487" t="s">
        <v>556</v>
      </c>
      <c r="N487" t="s">
        <v>450</v>
      </c>
      <c r="O487" t="s">
        <v>453</v>
      </c>
      <c r="P487" t="s">
        <v>157</v>
      </c>
      <c r="Q487">
        <v>0</v>
      </c>
      <c r="R487" t="s">
        <v>419</v>
      </c>
      <c r="S487">
        <v>8</v>
      </c>
      <c r="T487" t="s">
        <v>402</v>
      </c>
      <c r="U487" t="s">
        <v>492</v>
      </c>
      <c r="V487" t="s">
        <v>1181</v>
      </c>
      <c r="W487" t="s">
        <v>399</v>
      </c>
      <c r="X487" t="s">
        <v>472</v>
      </c>
      <c r="Y487" t="s">
        <v>1931</v>
      </c>
    </row>
    <row r="488" spans="2:25">
      <c r="B488" t="s">
        <v>1929</v>
      </c>
      <c r="C488" t="s" vm="39">
        <v>701</v>
      </c>
      <c r="D488" t="s">
        <v>100</v>
      </c>
      <c r="E488" t="s">
        <v>485</v>
      </c>
      <c r="F488" t="s">
        <v>217</v>
      </c>
      <c r="G488" t="s">
        <v>473</v>
      </c>
      <c r="H488">
        <v>1</v>
      </c>
      <c r="I488" t="s">
        <v>458</v>
      </c>
      <c r="J488" t="s">
        <v>462</v>
      </c>
      <c r="K488">
        <v>2</v>
      </c>
      <c r="L488" t="s">
        <v>486</v>
      </c>
      <c r="M488" t="s">
        <v>556</v>
      </c>
      <c r="N488" t="s">
        <v>450</v>
      </c>
      <c r="O488" t="s">
        <v>453</v>
      </c>
      <c r="P488" t="s">
        <v>157</v>
      </c>
      <c r="Q488">
        <v>0</v>
      </c>
      <c r="R488" t="s">
        <v>419</v>
      </c>
      <c r="S488">
        <v>8</v>
      </c>
      <c r="T488" t="s">
        <v>402</v>
      </c>
      <c r="U488" t="s">
        <v>492</v>
      </c>
      <c r="V488" t="s">
        <v>1181</v>
      </c>
      <c r="W488" t="s">
        <v>399</v>
      </c>
      <c r="X488" t="s">
        <v>472</v>
      </c>
      <c r="Y488" t="s">
        <v>1930</v>
      </c>
    </row>
    <row r="489" spans="2:25">
      <c r="B489" t="s">
        <v>1925</v>
      </c>
      <c r="C489" t="s" vm="39">
        <v>701</v>
      </c>
      <c r="D489" t="s">
        <v>100</v>
      </c>
      <c r="E489" t="s">
        <v>485</v>
      </c>
      <c r="F489" t="s">
        <v>217</v>
      </c>
      <c r="G489" t="s">
        <v>473</v>
      </c>
      <c r="H489">
        <v>1</v>
      </c>
      <c r="I489" t="s">
        <v>458</v>
      </c>
      <c r="J489" t="s">
        <v>462</v>
      </c>
      <c r="K489">
        <v>2</v>
      </c>
      <c r="L489" t="s">
        <v>486</v>
      </c>
      <c r="M489" t="s">
        <v>556</v>
      </c>
      <c r="N489" t="s">
        <v>450</v>
      </c>
      <c r="O489" t="s">
        <v>453</v>
      </c>
      <c r="P489" t="s">
        <v>157</v>
      </c>
      <c r="Q489">
        <v>0</v>
      </c>
      <c r="R489" t="s">
        <v>419</v>
      </c>
      <c r="S489">
        <v>8</v>
      </c>
      <c r="T489" t="s">
        <v>402</v>
      </c>
      <c r="U489" t="s">
        <v>492</v>
      </c>
      <c r="V489" t="s">
        <v>1181</v>
      </c>
      <c r="W489" t="s">
        <v>399</v>
      </c>
      <c r="X489" t="s">
        <v>472</v>
      </c>
      <c r="Y489" t="s">
        <v>1928</v>
      </c>
    </row>
    <row r="490" spans="2:25">
      <c r="B490" t="s">
        <v>1925</v>
      </c>
      <c r="C490" t="s" vm="39">
        <v>701</v>
      </c>
      <c r="D490" t="s">
        <v>100</v>
      </c>
      <c r="E490" t="s">
        <v>485</v>
      </c>
      <c r="F490" t="s">
        <v>217</v>
      </c>
      <c r="G490" t="s">
        <v>473</v>
      </c>
      <c r="H490">
        <v>1</v>
      </c>
      <c r="I490" t="s">
        <v>458</v>
      </c>
      <c r="J490" t="s">
        <v>462</v>
      </c>
      <c r="K490">
        <v>2</v>
      </c>
      <c r="L490" t="s">
        <v>486</v>
      </c>
      <c r="M490" t="s">
        <v>556</v>
      </c>
      <c r="N490" t="s">
        <v>450</v>
      </c>
      <c r="O490" t="s">
        <v>453</v>
      </c>
      <c r="P490" t="s">
        <v>157</v>
      </c>
      <c r="Q490">
        <v>8</v>
      </c>
      <c r="R490" t="s">
        <v>419</v>
      </c>
      <c r="S490">
        <v>8</v>
      </c>
      <c r="T490" t="s">
        <v>402</v>
      </c>
      <c r="U490" t="s">
        <v>492</v>
      </c>
      <c r="V490" t="s">
        <v>1181</v>
      </c>
      <c r="W490" t="s">
        <v>399</v>
      </c>
      <c r="X490" t="s">
        <v>472</v>
      </c>
      <c r="Y490" t="s">
        <v>1926</v>
      </c>
    </row>
    <row r="491" spans="2:25">
      <c r="B491" t="s">
        <v>1922</v>
      </c>
      <c r="C491" t="s" vm="39">
        <v>701</v>
      </c>
      <c r="D491" t="s">
        <v>100</v>
      </c>
      <c r="E491" t="s">
        <v>485</v>
      </c>
      <c r="F491" t="s">
        <v>461</v>
      </c>
      <c r="G491" t="s">
        <v>473</v>
      </c>
      <c r="H491">
        <v>1</v>
      </c>
      <c r="I491" t="s">
        <v>456</v>
      </c>
      <c r="J491" t="s">
        <v>463</v>
      </c>
      <c r="K491">
        <v>2</v>
      </c>
      <c r="L491" t="s">
        <v>486</v>
      </c>
      <c r="M491" t="s">
        <v>556</v>
      </c>
      <c r="N491" t="s">
        <v>450</v>
      </c>
      <c r="O491" t="s">
        <v>453</v>
      </c>
      <c r="P491" t="s">
        <v>421</v>
      </c>
      <c r="Q491">
        <v>0</v>
      </c>
      <c r="R491" t="s">
        <v>159</v>
      </c>
      <c r="S491">
        <v>0</v>
      </c>
      <c r="T491" t="s">
        <v>1516</v>
      </c>
      <c r="U491" t="s">
        <v>492</v>
      </c>
      <c r="V491" t="s">
        <v>1181</v>
      </c>
      <c r="W491" t="s">
        <v>399</v>
      </c>
      <c r="X491" t="s">
        <v>472</v>
      </c>
      <c r="Y491" t="s">
        <v>1924</v>
      </c>
    </row>
    <row r="492" spans="2:25">
      <c r="B492" t="s">
        <v>1922</v>
      </c>
      <c r="C492" t="s" vm="39">
        <v>701</v>
      </c>
      <c r="D492" t="s">
        <v>100</v>
      </c>
      <c r="E492" t="s">
        <v>485</v>
      </c>
      <c r="F492" t="s">
        <v>461</v>
      </c>
      <c r="G492" t="s">
        <v>473</v>
      </c>
      <c r="H492">
        <v>1</v>
      </c>
      <c r="I492" t="s">
        <v>456</v>
      </c>
      <c r="J492" t="s">
        <v>463</v>
      </c>
      <c r="K492">
        <v>2</v>
      </c>
      <c r="L492" t="s">
        <v>486</v>
      </c>
      <c r="M492" t="s">
        <v>556</v>
      </c>
      <c r="N492" t="s">
        <v>450</v>
      </c>
      <c r="O492" t="s">
        <v>453</v>
      </c>
      <c r="P492" t="s">
        <v>421</v>
      </c>
      <c r="Q492">
        <v>0</v>
      </c>
      <c r="R492" t="s">
        <v>159</v>
      </c>
      <c r="S492">
        <v>0</v>
      </c>
      <c r="T492" t="s">
        <v>1516</v>
      </c>
      <c r="U492" t="s">
        <v>492</v>
      </c>
      <c r="V492" t="s">
        <v>1181</v>
      </c>
      <c r="W492" t="s">
        <v>399</v>
      </c>
      <c r="X492" t="s">
        <v>472</v>
      </c>
      <c r="Y492" t="s">
        <v>1923</v>
      </c>
    </row>
    <row r="493" spans="2:25">
      <c r="B493" t="s">
        <v>1920</v>
      </c>
      <c r="C493" t="s" vm="39">
        <v>701</v>
      </c>
      <c r="D493" t="s">
        <v>333</v>
      </c>
      <c r="E493" t="s">
        <v>485</v>
      </c>
      <c r="F493" t="s">
        <v>461</v>
      </c>
      <c r="G493" t="s">
        <v>473</v>
      </c>
      <c r="H493">
        <v>2</v>
      </c>
      <c r="I493" t="s">
        <v>458</v>
      </c>
      <c r="J493" t="s">
        <v>463</v>
      </c>
      <c r="K493">
        <v>2</v>
      </c>
      <c r="L493" t="s">
        <v>486</v>
      </c>
      <c r="M493" t="s">
        <v>1022</v>
      </c>
      <c r="N493" t="s">
        <v>450</v>
      </c>
      <c r="O493" t="s">
        <v>453</v>
      </c>
      <c r="P493" t="s">
        <v>157</v>
      </c>
      <c r="Q493">
        <v>12</v>
      </c>
      <c r="R493" t="s">
        <v>416</v>
      </c>
      <c r="S493">
        <v>12</v>
      </c>
      <c r="T493" t="s">
        <v>1516</v>
      </c>
      <c r="U493" t="s">
        <v>492</v>
      </c>
      <c r="V493" t="s">
        <v>1181</v>
      </c>
      <c r="W493" t="s">
        <v>399</v>
      </c>
      <c r="X493" t="s">
        <v>401</v>
      </c>
      <c r="Y493" t="s">
        <v>1921</v>
      </c>
    </row>
    <row r="494" spans="2:25">
      <c r="B494" t="s">
        <v>1913</v>
      </c>
      <c r="C494" t="s" vm="39">
        <v>701</v>
      </c>
      <c r="D494" t="s">
        <v>333</v>
      </c>
      <c r="E494" t="s">
        <v>485</v>
      </c>
      <c r="F494" t="s">
        <v>461</v>
      </c>
      <c r="G494" t="s">
        <v>473</v>
      </c>
      <c r="H494">
        <v>2</v>
      </c>
      <c r="I494" t="s">
        <v>456</v>
      </c>
      <c r="J494" t="s">
        <v>463</v>
      </c>
      <c r="K494">
        <v>2</v>
      </c>
      <c r="L494" t="s">
        <v>486</v>
      </c>
      <c r="M494" t="s">
        <v>1022</v>
      </c>
      <c r="N494" t="s">
        <v>450</v>
      </c>
      <c r="O494" t="s">
        <v>453</v>
      </c>
      <c r="P494" t="s">
        <v>157</v>
      </c>
      <c r="Q494">
        <v>12</v>
      </c>
      <c r="R494" t="s">
        <v>416</v>
      </c>
      <c r="S494">
        <v>12</v>
      </c>
      <c r="T494" t="s">
        <v>1516</v>
      </c>
      <c r="U494" t="s">
        <v>492</v>
      </c>
      <c r="V494" t="s">
        <v>1181</v>
      </c>
      <c r="W494" t="s">
        <v>399</v>
      </c>
      <c r="X494" t="s">
        <v>401</v>
      </c>
      <c r="Y494" t="s">
        <v>1919</v>
      </c>
    </row>
    <row r="495" spans="2:25">
      <c r="B495" t="s">
        <v>1913</v>
      </c>
      <c r="C495" t="s" vm="39">
        <v>701</v>
      </c>
      <c r="D495" t="s">
        <v>102</v>
      </c>
      <c r="E495" t="s">
        <v>485</v>
      </c>
      <c r="F495" t="s">
        <v>461</v>
      </c>
      <c r="G495" t="s">
        <v>473</v>
      </c>
      <c r="H495">
        <v>1</v>
      </c>
      <c r="I495" t="s">
        <v>456</v>
      </c>
      <c r="J495" t="s">
        <v>463</v>
      </c>
      <c r="K495">
        <v>2</v>
      </c>
      <c r="L495" t="s">
        <v>488</v>
      </c>
      <c r="M495" t="s">
        <v>492</v>
      </c>
      <c r="N495" t="s">
        <v>496</v>
      </c>
      <c r="O495" t="s">
        <v>453</v>
      </c>
      <c r="P495" t="s">
        <v>421</v>
      </c>
      <c r="Q495">
        <v>0</v>
      </c>
      <c r="R495" t="s">
        <v>159</v>
      </c>
      <c r="S495">
        <v>0</v>
      </c>
      <c r="T495" t="s">
        <v>402</v>
      </c>
      <c r="U495" t="s">
        <v>492</v>
      </c>
      <c r="V495" t="s">
        <v>1181</v>
      </c>
      <c r="W495" t="s">
        <v>399</v>
      </c>
      <c r="X495" t="s">
        <v>401</v>
      </c>
      <c r="Y495" t="s">
        <v>1918</v>
      </c>
    </row>
    <row r="496" spans="2:25">
      <c r="B496" t="s">
        <v>1913</v>
      </c>
      <c r="C496" t="s" vm="39">
        <v>701</v>
      </c>
      <c r="D496" t="s">
        <v>102</v>
      </c>
      <c r="E496" t="s">
        <v>485</v>
      </c>
      <c r="F496" t="s">
        <v>461</v>
      </c>
      <c r="G496" t="s">
        <v>473</v>
      </c>
      <c r="H496">
        <v>1</v>
      </c>
      <c r="I496" t="s">
        <v>456</v>
      </c>
      <c r="J496" t="s">
        <v>463</v>
      </c>
      <c r="K496">
        <v>2</v>
      </c>
      <c r="L496" t="s">
        <v>488</v>
      </c>
      <c r="M496" t="s">
        <v>492</v>
      </c>
      <c r="N496" t="s">
        <v>496</v>
      </c>
      <c r="O496" t="s">
        <v>453</v>
      </c>
      <c r="P496" t="s">
        <v>421</v>
      </c>
      <c r="Q496">
        <v>0</v>
      </c>
      <c r="R496" t="s">
        <v>159</v>
      </c>
      <c r="S496">
        <v>0</v>
      </c>
      <c r="T496" t="s">
        <v>402</v>
      </c>
      <c r="U496" t="s">
        <v>492</v>
      </c>
      <c r="V496" t="s">
        <v>1181</v>
      </c>
      <c r="W496" t="s">
        <v>399</v>
      </c>
      <c r="X496" t="s">
        <v>401</v>
      </c>
      <c r="Y496" t="s">
        <v>1917</v>
      </c>
    </row>
    <row r="497" spans="2:25">
      <c r="B497" t="s">
        <v>1913</v>
      </c>
      <c r="C497" t="s" vm="39">
        <v>701</v>
      </c>
      <c r="D497" t="s">
        <v>100</v>
      </c>
      <c r="E497" t="s">
        <v>485</v>
      </c>
      <c r="F497" t="s">
        <v>461</v>
      </c>
      <c r="G497" t="s">
        <v>473</v>
      </c>
      <c r="H497">
        <v>1</v>
      </c>
      <c r="I497" t="s">
        <v>458</v>
      </c>
      <c r="J497" t="s">
        <v>463</v>
      </c>
      <c r="K497">
        <v>2</v>
      </c>
      <c r="L497" t="s">
        <v>486</v>
      </c>
      <c r="M497" t="s">
        <v>556</v>
      </c>
      <c r="N497" t="s">
        <v>450</v>
      </c>
      <c r="O497" t="s">
        <v>453</v>
      </c>
      <c r="P497" t="s">
        <v>158</v>
      </c>
      <c r="Q497">
        <v>8</v>
      </c>
      <c r="R497" t="s">
        <v>1494</v>
      </c>
      <c r="S497">
        <v>8</v>
      </c>
      <c r="T497" t="s">
        <v>1516</v>
      </c>
      <c r="U497" t="s">
        <v>492</v>
      </c>
      <c r="V497" t="s">
        <v>1181</v>
      </c>
      <c r="W497" t="s">
        <v>399</v>
      </c>
      <c r="X497" t="s">
        <v>472</v>
      </c>
      <c r="Y497" t="s">
        <v>1916</v>
      </c>
    </row>
    <row r="498" spans="2:25">
      <c r="B498" t="s">
        <v>1913</v>
      </c>
      <c r="C498" t="s" vm="39">
        <v>701</v>
      </c>
      <c r="D498" t="s">
        <v>100</v>
      </c>
      <c r="E498" t="s">
        <v>485</v>
      </c>
      <c r="F498" t="s">
        <v>461</v>
      </c>
      <c r="G498" t="s">
        <v>473</v>
      </c>
      <c r="H498">
        <v>1</v>
      </c>
      <c r="I498" t="s">
        <v>456</v>
      </c>
      <c r="J498" t="s">
        <v>463</v>
      </c>
      <c r="K498">
        <v>2</v>
      </c>
      <c r="L498" t="s">
        <v>486</v>
      </c>
      <c r="M498" t="s">
        <v>556</v>
      </c>
      <c r="N498" t="s">
        <v>450</v>
      </c>
      <c r="O498" t="s">
        <v>453</v>
      </c>
      <c r="P498" t="s">
        <v>158</v>
      </c>
      <c r="Q498">
        <v>8</v>
      </c>
      <c r="R498" t="s">
        <v>1494</v>
      </c>
      <c r="S498">
        <v>8</v>
      </c>
      <c r="T498" t="s">
        <v>1516</v>
      </c>
      <c r="U498" t="s">
        <v>492</v>
      </c>
      <c r="V498" t="s">
        <v>1181</v>
      </c>
      <c r="W498" t="s">
        <v>399</v>
      </c>
      <c r="X498" t="s">
        <v>472</v>
      </c>
      <c r="Y498" t="s">
        <v>1915</v>
      </c>
    </row>
    <row r="499" spans="2:25">
      <c r="B499" t="s">
        <v>1913</v>
      </c>
      <c r="C499" t="s" vm="39">
        <v>701</v>
      </c>
      <c r="D499" t="s">
        <v>100</v>
      </c>
      <c r="E499" t="s">
        <v>485</v>
      </c>
      <c r="F499" t="s">
        <v>461</v>
      </c>
      <c r="G499" t="s">
        <v>473</v>
      </c>
      <c r="H499">
        <v>1</v>
      </c>
      <c r="I499" t="s">
        <v>456</v>
      </c>
      <c r="J499" t="s">
        <v>463</v>
      </c>
      <c r="K499">
        <v>2</v>
      </c>
      <c r="L499" t="s">
        <v>486</v>
      </c>
      <c r="M499" t="s">
        <v>556</v>
      </c>
      <c r="N499" t="s">
        <v>450</v>
      </c>
      <c r="O499" t="s">
        <v>453</v>
      </c>
      <c r="P499" t="s">
        <v>158</v>
      </c>
      <c r="Q499">
        <v>8</v>
      </c>
      <c r="R499" t="s">
        <v>1494</v>
      </c>
      <c r="S499">
        <v>8</v>
      </c>
      <c r="T499" t="s">
        <v>1516</v>
      </c>
      <c r="U499" t="s">
        <v>492</v>
      </c>
      <c r="V499" t="s">
        <v>1181</v>
      </c>
      <c r="W499" t="s">
        <v>399</v>
      </c>
      <c r="X499" t="s">
        <v>401</v>
      </c>
      <c r="Y499" t="s">
        <v>1914</v>
      </c>
    </row>
    <row r="500" spans="2:25">
      <c r="B500" t="s">
        <v>1911</v>
      </c>
      <c r="C500" t="s" vm="39">
        <v>701</v>
      </c>
      <c r="D500" t="s">
        <v>100</v>
      </c>
      <c r="E500" t="s">
        <v>485</v>
      </c>
      <c r="F500" t="s">
        <v>461</v>
      </c>
      <c r="G500" t="s">
        <v>473</v>
      </c>
      <c r="H500">
        <v>1</v>
      </c>
      <c r="I500" t="s">
        <v>458</v>
      </c>
      <c r="J500" t="s">
        <v>463</v>
      </c>
      <c r="K500">
        <v>2</v>
      </c>
      <c r="L500" t="s">
        <v>486</v>
      </c>
      <c r="M500" t="s">
        <v>556</v>
      </c>
      <c r="N500" t="s">
        <v>450</v>
      </c>
      <c r="O500" t="s">
        <v>453</v>
      </c>
      <c r="P500" t="s">
        <v>158</v>
      </c>
      <c r="Q500">
        <v>8</v>
      </c>
      <c r="R500" t="s">
        <v>416</v>
      </c>
      <c r="S500">
        <v>8</v>
      </c>
      <c r="T500" t="s">
        <v>1516</v>
      </c>
      <c r="U500" t="s">
        <v>492</v>
      </c>
      <c r="V500" t="s">
        <v>1181</v>
      </c>
      <c r="W500" t="s">
        <v>399</v>
      </c>
      <c r="X500" t="s">
        <v>401</v>
      </c>
      <c r="Y500" t="s">
        <v>1912</v>
      </c>
    </row>
    <row r="501" spans="2:25">
      <c r="B501" t="s">
        <v>1909</v>
      </c>
      <c r="C501" t="s" vm="39">
        <v>701</v>
      </c>
      <c r="D501" t="s">
        <v>102</v>
      </c>
      <c r="E501" t="s">
        <v>485</v>
      </c>
      <c r="F501" t="s">
        <v>461</v>
      </c>
      <c r="G501" t="s">
        <v>473</v>
      </c>
      <c r="H501">
        <v>2</v>
      </c>
      <c r="I501" t="s">
        <v>456</v>
      </c>
      <c r="J501" t="s">
        <v>464</v>
      </c>
      <c r="K501">
        <v>2</v>
      </c>
      <c r="L501" t="s">
        <v>486</v>
      </c>
      <c r="M501" t="s">
        <v>556</v>
      </c>
      <c r="N501" t="s">
        <v>450</v>
      </c>
      <c r="O501" t="s">
        <v>453</v>
      </c>
      <c r="P501" t="s">
        <v>157</v>
      </c>
      <c r="Q501">
        <v>6</v>
      </c>
      <c r="R501" t="s">
        <v>159</v>
      </c>
      <c r="S501">
        <v>0</v>
      </c>
      <c r="T501" t="s">
        <v>1516</v>
      </c>
      <c r="U501" t="s">
        <v>492</v>
      </c>
      <c r="V501" t="s">
        <v>1181</v>
      </c>
      <c r="W501" t="s">
        <v>399</v>
      </c>
      <c r="X501" t="s">
        <v>401</v>
      </c>
      <c r="Y501" t="s">
        <v>1910</v>
      </c>
    </row>
    <row r="502" spans="2:25">
      <c r="B502" t="s">
        <v>1905</v>
      </c>
      <c r="C502" t="s" vm="39">
        <v>701</v>
      </c>
      <c r="D502" t="s">
        <v>100</v>
      </c>
      <c r="E502" t="s">
        <v>485</v>
      </c>
      <c r="F502" t="s">
        <v>461</v>
      </c>
      <c r="G502" t="s">
        <v>473</v>
      </c>
      <c r="H502">
        <v>1</v>
      </c>
      <c r="I502" t="s">
        <v>456</v>
      </c>
      <c r="J502" t="s">
        <v>463</v>
      </c>
      <c r="K502">
        <v>2</v>
      </c>
      <c r="L502" t="s">
        <v>486</v>
      </c>
      <c r="M502" t="s">
        <v>556</v>
      </c>
      <c r="N502" t="s">
        <v>450</v>
      </c>
      <c r="O502" t="s">
        <v>453</v>
      </c>
      <c r="P502" t="s">
        <v>157</v>
      </c>
      <c r="Q502">
        <v>0</v>
      </c>
      <c r="R502" t="s">
        <v>420</v>
      </c>
      <c r="S502">
        <v>0</v>
      </c>
      <c r="T502" t="s">
        <v>1516</v>
      </c>
      <c r="U502" t="s">
        <v>492</v>
      </c>
      <c r="V502" t="s">
        <v>1181</v>
      </c>
      <c r="W502" t="s">
        <v>399</v>
      </c>
      <c r="X502" t="s">
        <v>472</v>
      </c>
      <c r="Y502" t="s">
        <v>1908</v>
      </c>
    </row>
    <row r="503" spans="2:25">
      <c r="B503" t="s">
        <v>1905</v>
      </c>
      <c r="C503" t="s" vm="39">
        <v>701</v>
      </c>
      <c r="D503" t="s">
        <v>100</v>
      </c>
      <c r="E503" t="s">
        <v>485</v>
      </c>
      <c r="F503" t="s">
        <v>461</v>
      </c>
      <c r="G503" t="s">
        <v>473</v>
      </c>
      <c r="H503">
        <v>1</v>
      </c>
      <c r="I503" t="s">
        <v>456</v>
      </c>
      <c r="J503" t="s">
        <v>463</v>
      </c>
      <c r="K503">
        <v>2</v>
      </c>
      <c r="L503" t="s">
        <v>486</v>
      </c>
      <c r="M503" t="s">
        <v>556</v>
      </c>
      <c r="N503" t="s">
        <v>450</v>
      </c>
      <c r="O503" t="s">
        <v>453</v>
      </c>
      <c r="P503" t="s">
        <v>157</v>
      </c>
      <c r="Q503">
        <v>8</v>
      </c>
      <c r="R503" t="s">
        <v>420</v>
      </c>
      <c r="S503">
        <v>8</v>
      </c>
      <c r="T503" t="s">
        <v>1516</v>
      </c>
      <c r="U503" t="s">
        <v>492</v>
      </c>
      <c r="V503" t="s">
        <v>1181</v>
      </c>
      <c r="W503" t="s">
        <v>399</v>
      </c>
      <c r="X503" t="s">
        <v>472</v>
      </c>
      <c r="Y503" t="s">
        <v>1906</v>
      </c>
    </row>
    <row r="504" spans="2:25">
      <c r="B504" t="s">
        <v>1905</v>
      </c>
      <c r="C504" t="s" vm="39">
        <v>701</v>
      </c>
      <c r="D504" t="s">
        <v>100</v>
      </c>
      <c r="E504" t="s">
        <v>485</v>
      </c>
      <c r="F504" t="s">
        <v>461</v>
      </c>
      <c r="G504" t="s">
        <v>473</v>
      </c>
      <c r="H504">
        <v>1</v>
      </c>
      <c r="I504" t="s">
        <v>456</v>
      </c>
      <c r="J504" t="s">
        <v>463</v>
      </c>
      <c r="K504">
        <v>2</v>
      </c>
      <c r="L504" t="s">
        <v>486</v>
      </c>
      <c r="M504" t="s">
        <v>556</v>
      </c>
      <c r="N504" t="s">
        <v>450</v>
      </c>
      <c r="O504" t="s">
        <v>453</v>
      </c>
      <c r="P504" t="s">
        <v>421</v>
      </c>
      <c r="Q504">
        <v>0</v>
      </c>
      <c r="R504" t="s">
        <v>159</v>
      </c>
      <c r="S504">
        <v>0</v>
      </c>
      <c r="T504" t="s">
        <v>1516</v>
      </c>
      <c r="U504" t="s">
        <v>492</v>
      </c>
      <c r="V504" t="s">
        <v>1181</v>
      </c>
      <c r="W504" t="s">
        <v>399</v>
      </c>
      <c r="X504" t="s">
        <v>472</v>
      </c>
      <c r="Y504" t="s">
        <v>1907</v>
      </c>
    </row>
    <row r="505" spans="2:25">
      <c r="B505" t="s">
        <v>1905</v>
      </c>
      <c r="C505" t="s" vm="39">
        <v>701</v>
      </c>
      <c r="D505" t="s">
        <v>100</v>
      </c>
      <c r="E505" t="s">
        <v>485</v>
      </c>
      <c r="F505" t="s">
        <v>461</v>
      </c>
      <c r="G505" t="s">
        <v>473</v>
      </c>
      <c r="H505">
        <v>1</v>
      </c>
      <c r="I505" t="s">
        <v>456</v>
      </c>
      <c r="J505" t="s">
        <v>463</v>
      </c>
      <c r="K505">
        <v>2</v>
      </c>
      <c r="L505" t="s">
        <v>486</v>
      </c>
      <c r="M505" t="s">
        <v>556</v>
      </c>
      <c r="N505" t="s">
        <v>450</v>
      </c>
      <c r="O505" t="s">
        <v>453</v>
      </c>
      <c r="P505" t="s">
        <v>157</v>
      </c>
      <c r="Q505">
        <v>8</v>
      </c>
      <c r="R505" t="s">
        <v>420</v>
      </c>
      <c r="S505">
        <v>8</v>
      </c>
      <c r="T505" t="s">
        <v>1516</v>
      </c>
      <c r="U505" t="s">
        <v>492</v>
      </c>
      <c r="V505" t="s">
        <v>1181</v>
      </c>
      <c r="W505" t="s">
        <v>399</v>
      </c>
      <c r="X505" t="s">
        <v>472</v>
      </c>
      <c r="Y505" t="s">
        <v>1906</v>
      </c>
    </row>
    <row r="506" spans="2:25">
      <c r="B506" t="s">
        <v>1902</v>
      </c>
      <c r="C506" t="s" vm="39">
        <v>701</v>
      </c>
      <c r="D506" t="s">
        <v>100</v>
      </c>
      <c r="E506" t="s">
        <v>485</v>
      </c>
      <c r="F506" t="s">
        <v>461</v>
      </c>
      <c r="G506" t="s">
        <v>473</v>
      </c>
      <c r="H506">
        <v>1</v>
      </c>
      <c r="I506" t="s">
        <v>456</v>
      </c>
      <c r="J506" t="s">
        <v>463</v>
      </c>
      <c r="K506">
        <v>2</v>
      </c>
      <c r="L506" t="s">
        <v>486</v>
      </c>
      <c r="M506" t="s">
        <v>556</v>
      </c>
      <c r="N506" t="s">
        <v>450</v>
      </c>
      <c r="O506" t="s">
        <v>453</v>
      </c>
      <c r="P506" t="s">
        <v>157</v>
      </c>
      <c r="Q506">
        <v>8</v>
      </c>
      <c r="R506" t="s">
        <v>1494</v>
      </c>
      <c r="S506">
        <v>8</v>
      </c>
      <c r="T506" t="s">
        <v>1516</v>
      </c>
      <c r="U506" t="s">
        <v>492</v>
      </c>
      <c r="V506" t="s">
        <v>1181</v>
      </c>
      <c r="W506" t="s">
        <v>399</v>
      </c>
      <c r="X506" t="s">
        <v>472</v>
      </c>
      <c r="Y506" t="s">
        <v>1904</v>
      </c>
    </row>
    <row r="507" spans="2:25">
      <c r="B507" t="s">
        <v>1902</v>
      </c>
      <c r="C507" t="s" vm="39">
        <v>701</v>
      </c>
      <c r="D507" t="s">
        <v>100</v>
      </c>
      <c r="E507" t="s">
        <v>485</v>
      </c>
      <c r="F507" t="s">
        <v>461</v>
      </c>
      <c r="G507" t="s">
        <v>473</v>
      </c>
      <c r="H507">
        <v>1</v>
      </c>
      <c r="I507" t="s">
        <v>456</v>
      </c>
      <c r="J507" t="s">
        <v>463</v>
      </c>
      <c r="K507">
        <v>2</v>
      </c>
      <c r="L507" t="s">
        <v>486</v>
      </c>
      <c r="M507" t="s">
        <v>556</v>
      </c>
      <c r="N507" t="s">
        <v>450</v>
      </c>
      <c r="O507" t="s">
        <v>453</v>
      </c>
      <c r="P507" t="s">
        <v>421</v>
      </c>
      <c r="Q507">
        <v>0</v>
      </c>
      <c r="R507" t="s">
        <v>159</v>
      </c>
      <c r="S507">
        <v>0</v>
      </c>
      <c r="T507" t="s">
        <v>1516</v>
      </c>
      <c r="U507" t="s">
        <v>492</v>
      </c>
      <c r="V507" t="s">
        <v>1181</v>
      </c>
      <c r="W507" t="s">
        <v>399</v>
      </c>
      <c r="X507" t="s">
        <v>472</v>
      </c>
      <c r="Y507" t="s">
        <v>1903</v>
      </c>
    </row>
    <row r="508" spans="2:25">
      <c r="B508" t="s">
        <v>1895</v>
      </c>
      <c r="C508" t="s" vm="39">
        <v>701</v>
      </c>
      <c r="D508" t="s">
        <v>333</v>
      </c>
      <c r="E508" t="s">
        <v>485</v>
      </c>
      <c r="F508" t="s">
        <v>461</v>
      </c>
      <c r="G508" t="s">
        <v>473</v>
      </c>
      <c r="H508">
        <v>2</v>
      </c>
      <c r="I508" t="s">
        <v>456</v>
      </c>
      <c r="J508" t="s">
        <v>463</v>
      </c>
      <c r="K508">
        <v>2</v>
      </c>
      <c r="L508" t="s">
        <v>486</v>
      </c>
      <c r="M508" t="s">
        <v>1475</v>
      </c>
      <c r="N508" t="s">
        <v>450</v>
      </c>
      <c r="O508" t="s">
        <v>453</v>
      </c>
      <c r="P508" t="s">
        <v>421</v>
      </c>
      <c r="Q508">
        <v>0</v>
      </c>
      <c r="R508" t="s">
        <v>159</v>
      </c>
      <c r="S508">
        <v>0</v>
      </c>
      <c r="T508" t="s">
        <v>1485</v>
      </c>
      <c r="U508" t="s">
        <v>492</v>
      </c>
      <c r="V508" t="s">
        <v>1181</v>
      </c>
      <c r="W508" t="s">
        <v>399</v>
      </c>
      <c r="X508" t="s">
        <v>401</v>
      </c>
      <c r="Y508" t="s">
        <v>1900</v>
      </c>
    </row>
    <row r="509" spans="2:25">
      <c r="B509" t="s">
        <v>1895</v>
      </c>
      <c r="C509" t="s" vm="39">
        <v>701</v>
      </c>
      <c r="D509" t="s">
        <v>100</v>
      </c>
      <c r="E509" t="s">
        <v>485</v>
      </c>
      <c r="F509" t="s">
        <v>461</v>
      </c>
      <c r="G509" t="s">
        <v>473</v>
      </c>
      <c r="H509">
        <v>1</v>
      </c>
      <c r="I509" t="s">
        <v>456</v>
      </c>
      <c r="J509" t="s">
        <v>463</v>
      </c>
      <c r="K509">
        <v>2</v>
      </c>
      <c r="L509" t="s">
        <v>486</v>
      </c>
      <c r="M509" t="s">
        <v>556</v>
      </c>
      <c r="N509" t="s">
        <v>450</v>
      </c>
      <c r="O509" t="s">
        <v>453</v>
      </c>
      <c r="P509" t="s">
        <v>421</v>
      </c>
      <c r="Q509">
        <v>0</v>
      </c>
      <c r="R509" t="s">
        <v>159</v>
      </c>
      <c r="S509">
        <v>0</v>
      </c>
      <c r="T509" t="s">
        <v>1516</v>
      </c>
      <c r="U509" t="s">
        <v>492</v>
      </c>
      <c r="V509" t="s">
        <v>1181</v>
      </c>
      <c r="W509" t="s">
        <v>399</v>
      </c>
      <c r="X509" t="s">
        <v>472</v>
      </c>
      <c r="Y509" t="s">
        <v>1896</v>
      </c>
    </row>
    <row r="510" spans="2:25">
      <c r="B510" t="s">
        <v>1895</v>
      </c>
      <c r="C510" t="s" vm="39">
        <v>701</v>
      </c>
      <c r="D510" t="s">
        <v>100</v>
      </c>
      <c r="E510" t="s">
        <v>485</v>
      </c>
      <c r="F510" t="s">
        <v>461</v>
      </c>
      <c r="G510" t="s">
        <v>473</v>
      </c>
      <c r="H510">
        <v>1</v>
      </c>
      <c r="I510" t="s">
        <v>458</v>
      </c>
      <c r="J510" t="s">
        <v>463</v>
      </c>
      <c r="K510">
        <v>2</v>
      </c>
      <c r="L510" t="s">
        <v>486</v>
      </c>
      <c r="M510" t="s">
        <v>556</v>
      </c>
      <c r="N510" t="s">
        <v>450</v>
      </c>
      <c r="O510" t="s">
        <v>453</v>
      </c>
      <c r="P510" t="s">
        <v>421</v>
      </c>
      <c r="Q510">
        <v>0</v>
      </c>
      <c r="R510" t="s">
        <v>159</v>
      </c>
      <c r="S510">
        <v>0</v>
      </c>
      <c r="T510" t="s">
        <v>1516</v>
      </c>
      <c r="U510" t="s">
        <v>492</v>
      </c>
      <c r="V510" t="s">
        <v>1181</v>
      </c>
      <c r="W510" t="s">
        <v>399</v>
      </c>
      <c r="X510" t="s">
        <v>470</v>
      </c>
      <c r="Y510" t="s">
        <v>1899</v>
      </c>
    </row>
    <row r="511" spans="2:25">
      <c r="B511" t="s">
        <v>1895</v>
      </c>
      <c r="C511" t="s" vm="39">
        <v>701</v>
      </c>
      <c r="D511" t="s">
        <v>100</v>
      </c>
      <c r="E511" t="s">
        <v>485</v>
      </c>
      <c r="F511" t="s">
        <v>461</v>
      </c>
      <c r="G511" t="s">
        <v>473</v>
      </c>
      <c r="H511">
        <v>1</v>
      </c>
      <c r="I511" t="s">
        <v>458</v>
      </c>
      <c r="J511" t="s">
        <v>463</v>
      </c>
      <c r="K511">
        <v>2</v>
      </c>
      <c r="L511" t="s">
        <v>486</v>
      </c>
      <c r="M511" t="s">
        <v>556</v>
      </c>
      <c r="N511" t="s">
        <v>450</v>
      </c>
      <c r="O511" t="s">
        <v>453</v>
      </c>
      <c r="P511" t="s">
        <v>421</v>
      </c>
      <c r="Q511">
        <v>0</v>
      </c>
      <c r="R511" t="s">
        <v>159</v>
      </c>
      <c r="S511">
        <v>0</v>
      </c>
      <c r="T511" t="s">
        <v>1516</v>
      </c>
      <c r="U511" t="s">
        <v>492</v>
      </c>
      <c r="V511" t="s">
        <v>1181</v>
      </c>
      <c r="W511" t="s">
        <v>399</v>
      </c>
      <c r="X511" t="s">
        <v>472</v>
      </c>
      <c r="Y511" t="s">
        <v>1898</v>
      </c>
    </row>
    <row r="512" spans="2:25">
      <c r="B512" t="s">
        <v>1895</v>
      </c>
      <c r="C512" t="s" vm="39">
        <v>701</v>
      </c>
      <c r="D512" t="s">
        <v>100</v>
      </c>
      <c r="E512" t="s">
        <v>485</v>
      </c>
      <c r="F512" t="s">
        <v>461</v>
      </c>
      <c r="G512" t="s">
        <v>473</v>
      </c>
      <c r="H512">
        <v>1</v>
      </c>
      <c r="I512" t="s">
        <v>458</v>
      </c>
      <c r="J512" t="s">
        <v>463</v>
      </c>
      <c r="K512">
        <v>2</v>
      </c>
      <c r="L512" t="s">
        <v>486</v>
      </c>
      <c r="M512" t="s">
        <v>556</v>
      </c>
      <c r="N512" t="s">
        <v>450</v>
      </c>
      <c r="O512" t="s">
        <v>453</v>
      </c>
      <c r="P512" t="s">
        <v>421</v>
      </c>
      <c r="Q512">
        <v>0</v>
      </c>
      <c r="R512" t="s">
        <v>159</v>
      </c>
      <c r="S512">
        <v>0</v>
      </c>
      <c r="T512" t="s">
        <v>1516</v>
      </c>
      <c r="U512" t="s">
        <v>492</v>
      </c>
      <c r="V512" t="s">
        <v>1181</v>
      </c>
      <c r="W512" t="s">
        <v>399</v>
      </c>
      <c r="X512" t="s">
        <v>472</v>
      </c>
      <c r="Y512" t="s">
        <v>1897</v>
      </c>
    </row>
    <row r="513" spans="2:25">
      <c r="B513" t="s">
        <v>1895</v>
      </c>
      <c r="C513" t="s" vm="39">
        <v>701</v>
      </c>
      <c r="D513" t="s">
        <v>100</v>
      </c>
      <c r="E513" t="s">
        <v>485</v>
      </c>
      <c r="F513" t="s">
        <v>461</v>
      </c>
      <c r="G513" t="s">
        <v>473</v>
      </c>
      <c r="H513">
        <v>1</v>
      </c>
      <c r="I513" t="s">
        <v>456</v>
      </c>
      <c r="J513" t="s">
        <v>463</v>
      </c>
      <c r="K513">
        <v>2</v>
      </c>
      <c r="L513" t="s">
        <v>486</v>
      </c>
      <c r="M513" t="s">
        <v>556</v>
      </c>
      <c r="N513" t="s">
        <v>450</v>
      </c>
      <c r="O513" t="s">
        <v>453</v>
      </c>
      <c r="P513" t="s">
        <v>421</v>
      </c>
      <c r="Q513">
        <v>0</v>
      </c>
      <c r="R513" t="s">
        <v>159</v>
      </c>
      <c r="S513">
        <v>0</v>
      </c>
      <c r="T513" t="s">
        <v>1516</v>
      </c>
      <c r="U513" t="s">
        <v>492</v>
      </c>
      <c r="V513" t="s">
        <v>1181</v>
      </c>
      <c r="W513" t="s">
        <v>399</v>
      </c>
      <c r="X513" t="s">
        <v>472</v>
      </c>
      <c r="Y513" t="s">
        <v>1896</v>
      </c>
    </row>
    <row r="514" spans="2:25">
      <c r="B514" t="s">
        <v>1895</v>
      </c>
      <c r="C514" t="s" vm="39">
        <v>701</v>
      </c>
      <c r="D514" t="s">
        <v>100</v>
      </c>
      <c r="E514" t="s">
        <v>485</v>
      </c>
      <c r="F514" t="s">
        <v>461</v>
      </c>
      <c r="G514" t="s">
        <v>473</v>
      </c>
      <c r="H514">
        <v>1</v>
      </c>
      <c r="I514" t="s">
        <v>456</v>
      </c>
      <c r="J514" t="s">
        <v>463</v>
      </c>
      <c r="K514">
        <v>2</v>
      </c>
      <c r="L514" t="s">
        <v>486</v>
      </c>
      <c r="M514" t="s">
        <v>556</v>
      </c>
      <c r="N514" t="s">
        <v>450</v>
      </c>
      <c r="O514" t="s">
        <v>453</v>
      </c>
      <c r="P514" t="s">
        <v>421</v>
      </c>
      <c r="Q514">
        <v>0</v>
      </c>
      <c r="R514" t="s">
        <v>159</v>
      </c>
      <c r="S514">
        <v>0</v>
      </c>
      <c r="T514" t="s">
        <v>1516</v>
      </c>
      <c r="U514" t="s">
        <v>492</v>
      </c>
      <c r="V514" t="s">
        <v>1181</v>
      </c>
      <c r="W514" t="s">
        <v>399</v>
      </c>
      <c r="X514" t="s">
        <v>472</v>
      </c>
      <c r="Y514" t="s">
        <v>1896</v>
      </c>
    </row>
    <row r="515" spans="2:25">
      <c r="B515" t="s">
        <v>1893</v>
      </c>
      <c r="C515" t="s" vm="39">
        <v>701</v>
      </c>
      <c r="D515" t="s">
        <v>100</v>
      </c>
      <c r="E515" t="s">
        <v>485</v>
      </c>
      <c r="F515" t="s">
        <v>461</v>
      </c>
      <c r="G515" t="s">
        <v>487</v>
      </c>
      <c r="H515" t="s">
        <v>123</v>
      </c>
      <c r="I515" t="s">
        <v>456</v>
      </c>
      <c r="J515" t="s">
        <v>463</v>
      </c>
      <c r="K515">
        <v>2</v>
      </c>
      <c r="L515" t="s">
        <v>486</v>
      </c>
      <c r="M515" t="s">
        <v>556</v>
      </c>
      <c r="N515" t="s">
        <v>450</v>
      </c>
      <c r="O515" t="s">
        <v>453</v>
      </c>
      <c r="P515" t="s">
        <v>157</v>
      </c>
      <c r="Q515">
        <v>8</v>
      </c>
      <c r="R515" t="s">
        <v>1494</v>
      </c>
      <c r="S515">
        <v>8</v>
      </c>
      <c r="T515" t="s">
        <v>1516</v>
      </c>
      <c r="U515" t="s">
        <v>492</v>
      </c>
      <c r="V515" t="s">
        <v>1181</v>
      </c>
      <c r="W515" t="s">
        <v>399</v>
      </c>
      <c r="X515" t="s">
        <v>472</v>
      </c>
      <c r="Y515" t="s">
        <v>1894</v>
      </c>
    </row>
    <row r="516" spans="2:25">
      <c r="B516" t="s">
        <v>1893</v>
      </c>
      <c r="C516" t="s" vm="39">
        <v>701</v>
      </c>
      <c r="D516" t="s">
        <v>100</v>
      </c>
      <c r="E516" t="s">
        <v>485</v>
      </c>
      <c r="F516" t="s">
        <v>461</v>
      </c>
      <c r="G516" t="s">
        <v>487</v>
      </c>
      <c r="H516" t="s">
        <v>123</v>
      </c>
      <c r="I516" t="s">
        <v>456</v>
      </c>
      <c r="J516" t="s">
        <v>463</v>
      </c>
      <c r="K516">
        <v>2</v>
      </c>
      <c r="L516" t="s">
        <v>486</v>
      </c>
      <c r="M516" t="s">
        <v>556</v>
      </c>
      <c r="N516" t="s">
        <v>450</v>
      </c>
      <c r="O516" t="s">
        <v>453</v>
      </c>
      <c r="P516" t="s">
        <v>157</v>
      </c>
      <c r="Q516">
        <v>8</v>
      </c>
      <c r="R516" t="s">
        <v>1494</v>
      </c>
      <c r="S516">
        <v>8</v>
      </c>
      <c r="T516" t="s">
        <v>1516</v>
      </c>
      <c r="U516" t="s">
        <v>492</v>
      </c>
      <c r="V516" t="s">
        <v>1181</v>
      </c>
      <c r="W516" t="s">
        <v>399</v>
      </c>
      <c r="X516" t="s">
        <v>472</v>
      </c>
      <c r="Y516" t="s">
        <v>1891</v>
      </c>
    </row>
    <row r="517" spans="2:25">
      <c r="B517" t="s">
        <v>1885</v>
      </c>
      <c r="C517" t="s" vm="39">
        <v>701</v>
      </c>
      <c r="D517" t="s">
        <v>100</v>
      </c>
      <c r="E517" t="s">
        <v>485</v>
      </c>
      <c r="F517" t="s">
        <v>461</v>
      </c>
      <c r="G517" t="s">
        <v>487</v>
      </c>
      <c r="H517" t="s">
        <v>123</v>
      </c>
      <c r="I517" t="s">
        <v>456</v>
      </c>
      <c r="J517" t="s">
        <v>463</v>
      </c>
      <c r="K517">
        <v>2</v>
      </c>
      <c r="L517" t="s">
        <v>486</v>
      </c>
      <c r="M517" t="s">
        <v>556</v>
      </c>
      <c r="N517" t="s">
        <v>450</v>
      </c>
      <c r="O517" t="s">
        <v>453</v>
      </c>
      <c r="P517" t="s">
        <v>157</v>
      </c>
      <c r="Q517">
        <v>8</v>
      </c>
      <c r="R517" t="s">
        <v>1494</v>
      </c>
      <c r="S517">
        <v>8</v>
      </c>
      <c r="T517" t="s">
        <v>1516</v>
      </c>
      <c r="U517" t="s">
        <v>492</v>
      </c>
      <c r="V517" t="s">
        <v>1181</v>
      </c>
      <c r="W517" t="s">
        <v>399</v>
      </c>
      <c r="X517" t="s">
        <v>472</v>
      </c>
      <c r="Y517" t="s">
        <v>1891</v>
      </c>
    </row>
    <row r="518" spans="2:25">
      <c r="B518" t="s">
        <v>1885</v>
      </c>
      <c r="C518" t="s" vm="39">
        <v>701</v>
      </c>
      <c r="D518" t="s">
        <v>100</v>
      </c>
      <c r="E518" t="s">
        <v>485</v>
      </c>
      <c r="F518" t="s">
        <v>461</v>
      </c>
      <c r="G518" t="s">
        <v>487</v>
      </c>
      <c r="H518" t="s">
        <v>123</v>
      </c>
      <c r="I518" t="s">
        <v>456</v>
      </c>
      <c r="J518" t="s">
        <v>463</v>
      </c>
      <c r="K518">
        <v>2</v>
      </c>
      <c r="L518" t="s">
        <v>486</v>
      </c>
      <c r="M518" t="s">
        <v>556</v>
      </c>
      <c r="N518" t="s">
        <v>450</v>
      </c>
      <c r="O518" t="s">
        <v>453</v>
      </c>
      <c r="P518" t="s">
        <v>157</v>
      </c>
      <c r="Q518">
        <v>8</v>
      </c>
      <c r="R518" t="s">
        <v>1494</v>
      </c>
      <c r="S518">
        <v>8</v>
      </c>
      <c r="T518" t="s">
        <v>1516</v>
      </c>
      <c r="U518" t="s">
        <v>492</v>
      </c>
      <c r="V518" t="s">
        <v>1181</v>
      </c>
      <c r="W518" t="s">
        <v>399</v>
      </c>
      <c r="X518" t="s">
        <v>472</v>
      </c>
      <c r="Y518" t="s">
        <v>1890</v>
      </c>
    </row>
    <row r="519" spans="2:25">
      <c r="B519" t="s">
        <v>1885</v>
      </c>
      <c r="C519" t="s" vm="39">
        <v>701</v>
      </c>
      <c r="D519" t="s">
        <v>100</v>
      </c>
      <c r="E519" t="s">
        <v>485</v>
      </c>
      <c r="F519" t="s">
        <v>461</v>
      </c>
      <c r="G519" t="s">
        <v>487</v>
      </c>
      <c r="H519" t="s">
        <v>123</v>
      </c>
      <c r="I519" t="s">
        <v>458</v>
      </c>
      <c r="J519" t="s">
        <v>463</v>
      </c>
      <c r="K519">
        <v>2</v>
      </c>
      <c r="L519" t="s">
        <v>486</v>
      </c>
      <c r="M519" t="s">
        <v>556</v>
      </c>
      <c r="N519" t="s">
        <v>450</v>
      </c>
      <c r="O519" t="s">
        <v>453</v>
      </c>
      <c r="P519" t="s">
        <v>158</v>
      </c>
      <c r="Q519">
        <v>8</v>
      </c>
      <c r="R519" t="s">
        <v>1494</v>
      </c>
      <c r="S519">
        <v>8</v>
      </c>
      <c r="T519" t="s">
        <v>1516</v>
      </c>
      <c r="U519" t="s">
        <v>492</v>
      </c>
      <c r="V519" t="s">
        <v>1181</v>
      </c>
      <c r="W519" t="s">
        <v>399</v>
      </c>
      <c r="X519" t="s">
        <v>472</v>
      </c>
      <c r="Y519" t="s">
        <v>1887</v>
      </c>
    </row>
    <row r="520" spans="2:25">
      <c r="B520" t="s">
        <v>1885</v>
      </c>
      <c r="C520" t="s" vm="39">
        <v>701</v>
      </c>
      <c r="D520" t="s">
        <v>1019</v>
      </c>
      <c r="E520" t="s">
        <v>485</v>
      </c>
      <c r="F520" t="s">
        <v>461</v>
      </c>
      <c r="G520" t="s">
        <v>473</v>
      </c>
      <c r="H520">
        <v>2</v>
      </c>
      <c r="I520" t="s">
        <v>458</v>
      </c>
      <c r="J520" t="s">
        <v>463</v>
      </c>
      <c r="K520">
        <v>2</v>
      </c>
      <c r="L520" t="s">
        <v>486</v>
      </c>
      <c r="M520" t="s">
        <v>1864</v>
      </c>
      <c r="N520" t="s">
        <v>450</v>
      </c>
      <c r="O520" t="s">
        <v>453</v>
      </c>
      <c r="P520" t="s">
        <v>157</v>
      </c>
      <c r="Q520">
        <v>0</v>
      </c>
      <c r="R520" t="s">
        <v>159</v>
      </c>
      <c r="S520">
        <v>0</v>
      </c>
      <c r="T520" t="s">
        <v>1485</v>
      </c>
      <c r="U520" t="s">
        <v>492</v>
      </c>
      <c r="V520" t="s">
        <v>1181</v>
      </c>
      <c r="W520" t="s">
        <v>399</v>
      </c>
      <c r="X520" t="s">
        <v>401</v>
      </c>
      <c r="Y520" t="s">
        <v>1886</v>
      </c>
    </row>
    <row r="521" spans="2:25">
      <c r="B521" t="s">
        <v>1885</v>
      </c>
      <c r="C521" t="s" vm="39">
        <v>701</v>
      </c>
      <c r="D521" t="s">
        <v>1019</v>
      </c>
      <c r="E521" t="s">
        <v>485</v>
      </c>
      <c r="F521" t="s">
        <v>461</v>
      </c>
      <c r="G521" t="s">
        <v>473</v>
      </c>
      <c r="H521">
        <v>2</v>
      </c>
      <c r="I521" t="s">
        <v>458</v>
      </c>
      <c r="J521" t="s">
        <v>463</v>
      </c>
      <c r="K521">
        <v>2</v>
      </c>
      <c r="L521" t="s">
        <v>486</v>
      </c>
      <c r="M521" t="s">
        <v>1864</v>
      </c>
      <c r="N521" t="s">
        <v>450</v>
      </c>
      <c r="O521" t="s">
        <v>453</v>
      </c>
      <c r="P521" t="s">
        <v>157</v>
      </c>
      <c r="Q521">
        <v>0</v>
      </c>
      <c r="R521" t="s">
        <v>159</v>
      </c>
      <c r="S521">
        <v>0</v>
      </c>
      <c r="T521" t="s">
        <v>1485</v>
      </c>
      <c r="U521" t="s">
        <v>492</v>
      </c>
      <c r="V521" t="s">
        <v>1181</v>
      </c>
      <c r="W521" t="s">
        <v>399</v>
      </c>
      <c r="X521" t="s">
        <v>401</v>
      </c>
      <c r="Y521" t="s">
        <v>1886</v>
      </c>
    </row>
    <row r="522" spans="2:25">
      <c r="B522" t="s">
        <v>1883</v>
      </c>
      <c r="C522" t="s" vm="39">
        <v>701</v>
      </c>
      <c r="D522" t="s">
        <v>100</v>
      </c>
      <c r="E522" t="s">
        <v>485</v>
      </c>
      <c r="F522" t="s">
        <v>461</v>
      </c>
      <c r="G522" t="s">
        <v>473</v>
      </c>
      <c r="H522">
        <v>2</v>
      </c>
      <c r="I522" t="s">
        <v>457</v>
      </c>
      <c r="J522" t="s">
        <v>463</v>
      </c>
      <c r="K522">
        <v>2</v>
      </c>
      <c r="L522" t="s">
        <v>486</v>
      </c>
      <c r="M522" t="s">
        <v>1864</v>
      </c>
      <c r="N522" t="s">
        <v>450</v>
      </c>
      <c r="O522" t="s">
        <v>453</v>
      </c>
      <c r="P522" t="s">
        <v>157</v>
      </c>
      <c r="Q522">
        <v>0</v>
      </c>
      <c r="R522" t="s">
        <v>159</v>
      </c>
      <c r="S522">
        <v>0</v>
      </c>
      <c r="T522" t="s">
        <v>1485</v>
      </c>
      <c r="U522" t="s">
        <v>492</v>
      </c>
      <c r="V522" t="s">
        <v>1181</v>
      </c>
      <c r="W522" t="s">
        <v>399</v>
      </c>
      <c r="X522" t="s">
        <v>472</v>
      </c>
      <c r="Y522" t="s">
        <v>1884</v>
      </c>
    </row>
    <row r="523" spans="2:25">
      <c r="B523" t="s">
        <v>1880</v>
      </c>
      <c r="C523" t="s" vm="39">
        <v>701</v>
      </c>
      <c r="D523" t="s">
        <v>100</v>
      </c>
      <c r="E523" t="s">
        <v>485</v>
      </c>
      <c r="F523" t="s">
        <v>461</v>
      </c>
      <c r="G523" t="s">
        <v>473</v>
      </c>
      <c r="H523">
        <v>2</v>
      </c>
      <c r="I523" t="s">
        <v>457</v>
      </c>
      <c r="J523" t="s">
        <v>463</v>
      </c>
      <c r="K523">
        <v>2</v>
      </c>
      <c r="L523" t="s">
        <v>486</v>
      </c>
      <c r="M523" t="s">
        <v>1864</v>
      </c>
      <c r="N523" t="s">
        <v>450</v>
      </c>
      <c r="O523" t="s">
        <v>453</v>
      </c>
      <c r="P523" t="s">
        <v>421</v>
      </c>
      <c r="Q523">
        <v>0</v>
      </c>
      <c r="R523" t="s">
        <v>159</v>
      </c>
      <c r="S523">
        <v>0</v>
      </c>
      <c r="T523" t="s">
        <v>1485</v>
      </c>
      <c r="U523" t="s">
        <v>492</v>
      </c>
      <c r="V523" t="s">
        <v>1181</v>
      </c>
      <c r="W523" t="s">
        <v>399</v>
      </c>
      <c r="X523" t="s">
        <v>472</v>
      </c>
      <c r="Y523" t="s">
        <v>1882</v>
      </c>
    </row>
    <row r="524" spans="2:25">
      <c r="B524" t="s">
        <v>1880</v>
      </c>
      <c r="C524" t="s" vm="39">
        <v>701</v>
      </c>
      <c r="D524" t="s">
        <v>100</v>
      </c>
      <c r="E524" t="s">
        <v>485</v>
      </c>
      <c r="F524" t="s">
        <v>461</v>
      </c>
      <c r="G524" t="s">
        <v>473</v>
      </c>
      <c r="H524">
        <v>2</v>
      </c>
      <c r="I524" t="s">
        <v>457</v>
      </c>
      <c r="J524" t="s">
        <v>463</v>
      </c>
      <c r="K524">
        <v>2</v>
      </c>
      <c r="L524" t="s">
        <v>486</v>
      </c>
      <c r="M524" t="s">
        <v>1864</v>
      </c>
      <c r="N524" t="s">
        <v>450</v>
      </c>
      <c r="O524" t="s">
        <v>453</v>
      </c>
      <c r="P524" t="s">
        <v>421</v>
      </c>
      <c r="Q524">
        <v>0</v>
      </c>
      <c r="R524" t="s">
        <v>159</v>
      </c>
      <c r="S524">
        <v>0</v>
      </c>
      <c r="T524" t="s">
        <v>1485</v>
      </c>
      <c r="U524" t="s">
        <v>492</v>
      </c>
      <c r="V524" t="s">
        <v>1181</v>
      </c>
      <c r="W524" t="s">
        <v>399</v>
      </c>
      <c r="X524" t="s">
        <v>472</v>
      </c>
      <c r="Y524" t="s">
        <v>1882</v>
      </c>
    </row>
    <row r="525" spans="2:25">
      <c r="B525" t="s">
        <v>1880</v>
      </c>
      <c r="C525" t="s" vm="39">
        <v>701</v>
      </c>
      <c r="D525" t="s">
        <v>100</v>
      </c>
      <c r="E525" t="s">
        <v>485</v>
      </c>
      <c r="F525" t="s">
        <v>461</v>
      </c>
      <c r="G525" t="s">
        <v>473</v>
      </c>
      <c r="H525">
        <v>2</v>
      </c>
      <c r="I525" t="s">
        <v>457</v>
      </c>
      <c r="J525" t="s">
        <v>463</v>
      </c>
      <c r="K525">
        <v>2</v>
      </c>
      <c r="L525" t="s">
        <v>486</v>
      </c>
      <c r="M525" t="s">
        <v>1864</v>
      </c>
      <c r="N525" t="s">
        <v>450</v>
      </c>
      <c r="O525" t="s">
        <v>453</v>
      </c>
      <c r="P525" t="s">
        <v>421</v>
      </c>
      <c r="Q525">
        <v>0</v>
      </c>
      <c r="R525" t="s">
        <v>159</v>
      </c>
      <c r="S525">
        <v>0</v>
      </c>
      <c r="T525" t="s">
        <v>1485</v>
      </c>
      <c r="U525" t="s">
        <v>492</v>
      </c>
      <c r="V525" t="s">
        <v>1181</v>
      </c>
      <c r="W525" t="s">
        <v>399</v>
      </c>
      <c r="X525" t="s">
        <v>472</v>
      </c>
      <c r="Y525" t="s">
        <v>1881</v>
      </c>
    </row>
    <row r="526" spans="2:25">
      <c r="B526" t="s">
        <v>1875</v>
      </c>
      <c r="C526" t="s" vm="39">
        <v>701</v>
      </c>
      <c r="D526" t="s">
        <v>100</v>
      </c>
      <c r="E526" t="s">
        <v>485</v>
      </c>
      <c r="F526" t="s">
        <v>461</v>
      </c>
      <c r="G526" t="s">
        <v>473</v>
      </c>
      <c r="H526">
        <v>2</v>
      </c>
      <c r="I526" t="s">
        <v>457</v>
      </c>
      <c r="J526" t="s">
        <v>463</v>
      </c>
      <c r="K526">
        <v>2</v>
      </c>
      <c r="L526" t="s">
        <v>486</v>
      </c>
      <c r="M526" t="s">
        <v>1864</v>
      </c>
      <c r="N526" t="s">
        <v>450</v>
      </c>
      <c r="O526" t="s">
        <v>453</v>
      </c>
      <c r="P526" t="s">
        <v>421</v>
      </c>
      <c r="Q526">
        <v>0</v>
      </c>
      <c r="R526" t="s">
        <v>159</v>
      </c>
      <c r="S526">
        <v>0</v>
      </c>
      <c r="T526" t="s">
        <v>1516</v>
      </c>
      <c r="U526" t="s">
        <v>492</v>
      </c>
      <c r="V526" t="s">
        <v>1181</v>
      </c>
      <c r="W526" t="s">
        <v>399</v>
      </c>
      <c r="X526" t="s">
        <v>472</v>
      </c>
      <c r="Y526" t="s">
        <v>1879</v>
      </c>
    </row>
    <row r="527" spans="2:25">
      <c r="B527" t="s">
        <v>1875</v>
      </c>
      <c r="C527" t="s" vm="39">
        <v>701</v>
      </c>
      <c r="D527" t="s">
        <v>100</v>
      </c>
      <c r="E527" t="s">
        <v>485</v>
      </c>
      <c r="F527" t="s">
        <v>461</v>
      </c>
      <c r="G527" t="s">
        <v>473</v>
      </c>
      <c r="H527">
        <v>2</v>
      </c>
      <c r="I527" t="s">
        <v>456</v>
      </c>
      <c r="J527" t="s">
        <v>463</v>
      </c>
      <c r="K527">
        <v>2</v>
      </c>
      <c r="L527" t="s">
        <v>486</v>
      </c>
      <c r="M527" t="s">
        <v>1864</v>
      </c>
      <c r="N527" t="s">
        <v>450</v>
      </c>
      <c r="O527" t="s">
        <v>453</v>
      </c>
      <c r="P527" t="s">
        <v>421</v>
      </c>
      <c r="Q527">
        <v>0</v>
      </c>
      <c r="R527" t="s">
        <v>159</v>
      </c>
      <c r="S527">
        <v>0</v>
      </c>
      <c r="T527" t="s">
        <v>1516</v>
      </c>
      <c r="U527" t="s">
        <v>492</v>
      </c>
      <c r="V527" t="s">
        <v>1181</v>
      </c>
      <c r="W527" t="s">
        <v>399</v>
      </c>
      <c r="X527" t="s">
        <v>472</v>
      </c>
      <c r="Y527" t="s">
        <v>1878</v>
      </c>
    </row>
    <row r="528" spans="2:25">
      <c r="B528" t="s">
        <v>1875</v>
      </c>
      <c r="C528" t="s" vm="39">
        <v>701</v>
      </c>
      <c r="D528" t="s">
        <v>1019</v>
      </c>
      <c r="E528" t="s">
        <v>485</v>
      </c>
      <c r="F528" t="s">
        <v>461</v>
      </c>
      <c r="G528" t="s">
        <v>473</v>
      </c>
      <c r="H528">
        <v>2</v>
      </c>
      <c r="I528" t="s">
        <v>460</v>
      </c>
      <c r="J528" t="s">
        <v>462</v>
      </c>
      <c r="K528">
        <v>2</v>
      </c>
      <c r="L528" t="s">
        <v>488</v>
      </c>
      <c r="M528" t="s">
        <v>492</v>
      </c>
      <c r="N528" t="s">
        <v>496</v>
      </c>
      <c r="O528" t="s">
        <v>453</v>
      </c>
      <c r="P528" t="s">
        <v>421</v>
      </c>
      <c r="Q528">
        <v>0</v>
      </c>
      <c r="R528" t="s">
        <v>159</v>
      </c>
      <c r="S528">
        <v>0</v>
      </c>
      <c r="T528" t="s">
        <v>402</v>
      </c>
      <c r="U528" t="s">
        <v>492</v>
      </c>
      <c r="V528" t="s">
        <v>1181</v>
      </c>
      <c r="W528" t="s">
        <v>399</v>
      </c>
      <c r="X528" t="s">
        <v>123</v>
      </c>
      <c r="Y528" t="s">
        <v>1877</v>
      </c>
    </row>
    <row r="529" spans="2:25">
      <c r="B529" t="s">
        <v>1875</v>
      </c>
      <c r="C529" t="s" vm="39">
        <v>701</v>
      </c>
      <c r="D529" t="s">
        <v>1019</v>
      </c>
      <c r="E529" t="s">
        <v>485</v>
      </c>
      <c r="F529" t="s">
        <v>461</v>
      </c>
      <c r="G529" t="s">
        <v>473</v>
      </c>
      <c r="H529">
        <v>2</v>
      </c>
      <c r="I529" t="s">
        <v>458</v>
      </c>
      <c r="J529" t="s">
        <v>463</v>
      </c>
      <c r="K529">
        <v>2</v>
      </c>
      <c r="L529" t="s">
        <v>486</v>
      </c>
      <c r="M529" t="s">
        <v>1864</v>
      </c>
      <c r="N529" t="s">
        <v>450</v>
      </c>
      <c r="O529" t="s">
        <v>453</v>
      </c>
      <c r="P529" t="s">
        <v>421</v>
      </c>
      <c r="Q529">
        <v>0</v>
      </c>
      <c r="R529" t="s">
        <v>159</v>
      </c>
      <c r="S529">
        <v>0</v>
      </c>
      <c r="T529" t="s">
        <v>1516</v>
      </c>
      <c r="U529" t="s">
        <v>492</v>
      </c>
      <c r="V529" t="s">
        <v>1181</v>
      </c>
      <c r="W529" t="s">
        <v>399</v>
      </c>
      <c r="X529" t="s">
        <v>123</v>
      </c>
      <c r="Y529" t="s">
        <v>1876</v>
      </c>
    </row>
    <row r="530" spans="2:25">
      <c r="B530" t="s">
        <v>1869</v>
      </c>
      <c r="C530" t="s" vm="39">
        <v>701</v>
      </c>
      <c r="D530" t="s">
        <v>100</v>
      </c>
      <c r="E530" t="s">
        <v>485</v>
      </c>
      <c r="F530" t="s">
        <v>461</v>
      </c>
      <c r="G530" t="s">
        <v>487</v>
      </c>
      <c r="H530" t="s">
        <v>123</v>
      </c>
      <c r="I530" t="s">
        <v>458</v>
      </c>
      <c r="J530" t="s">
        <v>462</v>
      </c>
      <c r="K530">
        <v>2</v>
      </c>
      <c r="L530" t="s">
        <v>486</v>
      </c>
      <c r="M530" t="s">
        <v>556</v>
      </c>
      <c r="N530" t="s">
        <v>450</v>
      </c>
      <c r="O530" t="s">
        <v>453</v>
      </c>
      <c r="P530" t="s">
        <v>158</v>
      </c>
      <c r="Q530">
        <v>8</v>
      </c>
      <c r="R530" t="s">
        <v>416</v>
      </c>
      <c r="S530">
        <v>8</v>
      </c>
      <c r="T530" t="s">
        <v>482</v>
      </c>
      <c r="U530" t="s">
        <v>492</v>
      </c>
      <c r="V530" t="s">
        <v>1181</v>
      </c>
      <c r="W530" t="s">
        <v>399</v>
      </c>
      <c r="X530" t="s">
        <v>470</v>
      </c>
      <c r="Y530" t="s">
        <v>1874</v>
      </c>
    </row>
    <row r="531" spans="2:25">
      <c r="B531" t="s">
        <v>1869</v>
      </c>
      <c r="C531" t="s" vm="39">
        <v>701</v>
      </c>
      <c r="D531" t="s">
        <v>100</v>
      </c>
      <c r="E531" t="s">
        <v>485</v>
      </c>
      <c r="F531" t="s">
        <v>461</v>
      </c>
      <c r="G531" t="s">
        <v>487</v>
      </c>
      <c r="H531" t="s">
        <v>123</v>
      </c>
      <c r="I531" t="s">
        <v>458</v>
      </c>
      <c r="J531" t="s">
        <v>462</v>
      </c>
      <c r="K531">
        <v>2</v>
      </c>
      <c r="L531" t="s">
        <v>486</v>
      </c>
      <c r="M531" t="s">
        <v>556</v>
      </c>
      <c r="N531" t="s">
        <v>450</v>
      </c>
      <c r="O531" t="s">
        <v>453</v>
      </c>
      <c r="P531" t="s">
        <v>158</v>
      </c>
      <c r="Q531">
        <v>8</v>
      </c>
      <c r="R531" t="s">
        <v>416</v>
      </c>
      <c r="S531">
        <v>8</v>
      </c>
      <c r="T531" t="s">
        <v>482</v>
      </c>
      <c r="U531" t="s">
        <v>492</v>
      </c>
      <c r="V531" t="s">
        <v>1181</v>
      </c>
      <c r="W531" t="s">
        <v>399</v>
      </c>
      <c r="X531" t="s">
        <v>470</v>
      </c>
      <c r="Y531" t="s">
        <v>1873</v>
      </c>
    </row>
    <row r="532" spans="2:25">
      <c r="B532" t="s">
        <v>1869</v>
      </c>
      <c r="C532" t="s" vm="39">
        <v>701</v>
      </c>
      <c r="D532" t="s">
        <v>100</v>
      </c>
      <c r="E532" t="s">
        <v>485</v>
      </c>
      <c r="F532" t="s">
        <v>461</v>
      </c>
      <c r="G532" t="s">
        <v>487</v>
      </c>
      <c r="H532" t="s">
        <v>123</v>
      </c>
      <c r="I532" t="s">
        <v>458</v>
      </c>
      <c r="J532" t="s">
        <v>462</v>
      </c>
      <c r="K532">
        <v>2</v>
      </c>
      <c r="L532" t="s">
        <v>486</v>
      </c>
      <c r="M532" t="s">
        <v>556</v>
      </c>
      <c r="N532" t="s">
        <v>450</v>
      </c>
      <c r="O532" t="s">
        <v>453</v>
      </c>
      <c r="P532" t="s">
        <v>158</v>
      </c>
      <c r="Q532">
        <v>8</v>
      </c>
      <c r="R532" t="s">
        <v>416</v>
      </c>
      <c r="S532">
        <v>8</v>
      </c>
      <c r="T532" t="s">
        <v>482</v>
      </c>
      <c r="U532" t="s">
        <v>492</v>
      </c>
      <c r="V532" t="s">
        <v>1181</v>
      </c>
      <c r="W532" t="s">
        <v>399</v>
      </c>
      <c r="X532" t="s">
        <v>470</v>
      </c>
      <c r="Y532" t="s">
        <v>1872</v>
      </c>
    </row>
    <row r="533" spans="2:25">
      <c r="B533" t="s">
        <v>1869</v>
      </c>
      <c r="C533" t="s" vm="39">
        <v>701</v>
      </c>
      <c r="D533" t="s">
        <v>100</v>
      </c>
      <c r="E533" t="s">
        <v>485</v>
      </c>
      <c r="F533" t="s">
        <v>461</v>
      </c>
      <c r="G533" t="s">
        <v>487</v>
      </c>
      <c r="H533" t="s">
        <v>123</v>
      </c>
      <c r="I533" t="s">
        <v>458</v>
      </c>
      <c r="J533" t="s">
        <v>462</v>
      </c>
      <c r="K533">
        <v>2</v>
      </c>
      <c r="L533" t="s">
        <v>486</v>
      </c>
      <c r="M533" t="s">
        <v>556</v>
      </c>
      <c r="N533" t="s">
        <v>450</v>
      </c>
      <c r="O533" t="s">
        <v>453</v>
      </c>
      <c r="P533" t="s">
        <v>158</v>
      </c>
      <c r="Q533">
        <v>8</v>
      </c>
      <c r="R533" t="s">
        <v>416</v>
      </c>
      <c r="S533">
        <v>8</v>
      </c>
      <c r="T533" t="s">
        <v>482</v>
      </c>
      <c r="U533" t="s">
        <v>492</v>
      </c>
      <c r="V533" t="s">
        <v>1181</v>
      </c>
      <c r="W533" t="s">
        <v>399</v>
      </c>
      <c r="X533" t="s">
        <v>470</v>
      </c>
      <c r="Y533" t="s">
        <v>1871</v>
      </c>
    </row>
    <row r="534" spans="2:25">
      <c r="B534" t="s">
        <v>1869</v>
      </c>
      <c r="C534" t="s" vm="39">
        <v>701</v>
      </c>
      <c r="D534" t="s">
        <v>100</v>
      </c>
      <c r="E534" t="s">
        <v>485</v>
      </c>
      <c r="F534" t="s">
        <v>461</v>
      </c>
      <c r="G534" t="s">
        <v>487</v>
      </c>
      <c r="H534" t="s">
        <v>123</v>
      </c>
      <c r="I534" t="s">
        <v>458</v>
      </c>
      <c r="J534" t="s">
        <v>462</v>
      </c>
      <c r="K534">
        <v>2</v>
      </c>
      <c r="L534" t="s">
        <v>486</v>
      </c>
      <c r="M534" t="s">
        <v>556</v>
      </c>
      <c r="N534" t="s">
        <v>450</v>
      </c>
      <c r="O534" t="s">
        <v>453</v>
      </c>
      <c r="P534" t="s">
        <v>158</v>
      </c>
      <c r="Q534">
        <v>8</v>
      </c>
      <c r="R534" t="s">
        <v>416</v>
      </c>
      <c r="S534">
        <v>8</v>
      </c>
      <c r="T534" t="s">
        <v>482</v>
      </c>
      <c r="U534" t="s">
        <v>492</v>
      </c>
      <c r="V534" t="s">
        <v>1181</v>
      </c>
      <c r="W534" t="s">
        <v>399</v>
      </c>
      <c r="X534" t="s">
        <v>470</v>
      </c>
      <c r="Y534" t="s">
        <v>1870</v>
      </c>
    </row>
    <row r="535" spans="2:25">
      <c r="B535" t="s">
        <v>1865</v>
      </c>
      <c r="C535" t="s" vm="39">
        <v>701</v>
      </c>
      <c r="D535" t="s">
        <v>100</v>
      </c>
      <c r="E535" t="s">
        <v>485</v>
      </c>
      <c r="F535" t="s">
        <v>461</v>
      </c>
      <c r="G535" t="s">
        <v>473</v>
      </c>
      <c r="H535">
        <v>1</v>
      </c>
      <c r="I535" t="s">
        <v>458</v>
      </c>
      <c r="J535" t="s">
        <v>463</v>
      </c>
      <c r="K535">
        <v>2</v>
      </c>
      <c r="L535" t="s">
        <v>486</v>
      </c>
      <c r="M535" t="s">
        <v>556</v>
      </c>
      <c r="N535" t="s">
        <v>450</v>
      </c>
      <c r="O535" t="s">
        <v>453</v>
      </c>
      <c r="P535" t="s">
        <v>421</v>
      </c>
      <c r="Q535">
        <v>0</v>
      </c>
      <c r="R535" t="s">
        <v>159</v>
      </c>
      <c r="S535">
        <v>0</v>
      </c>
      <c r="T535" t="s">
        <v>1516</v>
      </c>
      <c r="U535" t="s">
        <v>492</v>
      </c>
      <c r="V535" t="s">
        <v>1181</v>
      </c>
      <c r="W535" t="s">
        <v>399</v>
      </c>
      <c r="X535" t="s">
        <v>472</v>
      </c>
      <c r="Y535" t="s">
        <v>1867</v>
      </c>
    </row>
    <row r="536" spans="2:25">
      <c r="B536" t="s">
        <v>1865</v>
      </c>
      <c r="C536" t="s" vm="39">
        <v>701</v>
      </c>
      <c r="D536" t="s">
        <v>1019</v>
      </c>
      <c r="E536" t="s">
        <v>485</v>
      </c>
      <c r="F536" t="s">
        <v>461</v>
      </c>
      <c r="G536" t="s">
        <v>473</v>
      </c>
      <c r="H536">
        <v>2</v>
      </c>
      <c r="I536" t="s">
        <v>458</v>
      </c>
      <c r="J536" t="s">
        <v>463</v>
      </c>
      <c r="K536">
        <v>2</v>
      </c>
      <c r="L536" t="s">
        <v>486</v>
      </c>
      <c r="M536" t="s">
        <v>1864</v>
      </c>
      <c r="N536" t="s">
        <v>450</v>
      </c>
      <c r="O536" t="s">
        <v>453</v>
      </c>
      <c r="P536" t="s">
        <v>158</v>
      </c>
      <c r="Q536">
        <v>6</v>
      </c>
      <c r="R536" t="s">
        <v>416</v>
      </c>
      <c r="S536">
        <v>8</v>
      </c>
      <c r="T536" t="s">
        <v>1516</v>
      </c>
      <c r="U536" t="s">
        <v>492</v>
      </c>
      <c r="V536" t="s">
        <v>1181</v>
      </c>
      <c r="W536" t="s">
        <v>399</v>
      </c>
      <c r="X536" t="s">
        <v>401</v>
      </c>
      <c r="Y536" t="s">
        <v>1866</v>
      </c>
    </row>
    <row r="537" spans="2:25">
      <c r="B537" t="s">
        <v>1860</v>
      </c>
      <c r="C537" t="s" vm="39">
        <v>701</v>
      </c>
      <c r="D537" t="s">
        <v>100</v>
      </c>
      <c r="E537" t="s">
        <v>485</v>
      </c>
      <c r="F537" t="s">
        <v>461</v>
      </c>
      <c r="G537" t="s">
        <v>473</v>
      </c>
      <c r="H537">
        <v>1</v>
      </c>
      <c r="I537" t="s">
        <v>458</v>
      </c>
      <c r="J537" t="s">
        <v>463</v>
      </c>
      <c r="K537">
        <v>2</v>
      </c>
      <c r="L537" t="s">
        <v>486</v>
      </c>
      <c r="M537" t="s">
        <v>556</v>
      </c>
      <c r="N537" t="s">
        <v>450</v>
      </c>
      <c r="O537" t="s">
        <v>453</v>
      </c>
      <c r="P537" t="s">
        <v>158</v>
      </c>
      <c r="Q537">
        <v>8</v>
      </c>
      <c r="R537" t="s">
        <v>416</v>
      </c>
      <c r="S537">
        <v>8</v>
      </c>
      <c r="T537" t="s">
        <v>1485</v>
      </c>
      <c r="U537" t="s">
        <v>492</v>
      </c>
      <c r="V537" t="s">
        <v>1181</v>
      </c>
      <c r="W537" t="s">
        <v>399</v>
      </c>
      <c r="X537" t="s">
        <v>470</v>
      </c>
      <c r="Y537" t="s">
        <v>1863</v>
      </c>
    </row>
    <row r="538" spans="2:25">
      <c r="B538" t="s">
        <v>1860</v>
      </c>
      <c r="C538" t="s" vm="39">
        <v>701</v>
      </c>
      <c r="D538" t="s">
        <v>100</v>
      </c>
      <c r="E538" t="s">
        <v>485</v>
      </c>
      <c r="F538" t="s">
        <v>217</v>
      </c>
      <c r="G538" t="s">
        <v>487</v>
      </c>
      <c r="H538" t="s">
        <v>123</v>
      </c>
      <c r="I538" t="s">
        <v>458</v>
      </c>
      <c r="J538" t="s">
        <v>463</v>
      </c>
      <c r="K538">
        <v>2</v>
      </c>
      <c r="L538" t="s">
        <v>488</v>
      </c>
      <c r="M538" t="s">
        <v>492</v>
      </c>
      <c r="N538" t="s">
        <v>496</v>
      </c>
      <c r="O538" t="s">
        <v>453</v>
      </c>
      <c r="P538" t="s">
        <v>421</v>
      </c>
      <c r="Q538">
        <v>0</v>
      </c>
      <c r="R538" t="s">
        <v>159</v>
      </c>
      <c r="S538">
        <v>0</v>
      </c>
      <c r="T538" t="s">
        <v>1485</v>
      </c>
      <c r="U538" t="s">
        <v>492</v>
      </c>
      <c r="V538" t="s">
        <v>1181</v>
      </c>
      <c r="W538" t="s">
        <v>399</v>
      </c>
      <c r="X538" t="s">
        <v>472</v>
      </c>
      <c r="Y538" t="s">
        <v>1862</v>
      </c>
    </row>
    <row r="539" spans="2:25">
      <c r="B539" t="s">
        <v>1860</v>
      </c>
      <c r="C539" t="s" vm="39">
        <v>701</v>
      </c>
      <c r="D539" t="s">
        <v>100</v>
      </c>
      <c r="E539" t="s">
        <v>485</v>
      </c>
      <c r="F539" t="s">
        <v>217</v>
      </c>
      <c r="G539" t="s">
        <v>487</v>
      </c>
      <c r="H539" t="s">
        <v>123</v>
      </c>
      <c r="I539" t="s">
        <v>458</v>
      </c>
      <c r="J539" t="s">
        <v>463</v>
      </c>
      <c r="K539">
        <v>2</v>
      </c>
      <c r="L539" t="s">
        <v>488</v>
      </c>
      <c r="M539" t="s">
        <v>492</v>
      </c>
      <c r="N539" t="s">
        <v>496</v>
      </c>
      <c r="O539" t="s">
        <v>453</v>
      </c>
      <c r="P539" t="s">
        <v>421</v>
      </c>
      <c r="Q539">
        <v>0</v>
      </c>
      <c r="R539" t="s">
        <v>159</v>
      </c>
      <c r="S539">
        <v>0</v>
      </c>
      <c r="T539" t="s">
        <v>1485</v>
      </c>
      <c r="U539" t="s">
        <v>492</v>
      </c>
      <c r="V539" t="s">
        <v>1181</v>
      </c>
      <c r="W539" t="s">
        <v>399</v>
      </c>
      <c r="X539" t="s">
        <v>472</v>
      </c>
      <c r="Y539" t="s">
        <v>1861</v>
      </c>
    </row>
    <row r="540" spans="2:25">
      <c r="B540" t="s">
        <v>1847</v>
      </c>
      <c r="C540" t="s" vm="39">
        <v>701</v>
      </c>
      <c r="D540" t="s">
        <v>100</v>
      </c>
      <c r="E540" t="s">
        <v>485</v>
      </c>
      <c r="F540" t="s">
        <v>461</v>
      </c>
      <c r="G540" t="s">
        <v>473</v>
      </c>
      <c r="H540">
        <v>1</v>
      </c>
      <c r="I540" t="s">
        <v>456</v>
      </c>
      <c r="J540" t="s">
        <v>463</v>
      </c>
      <c r="K540">
        <v>2</v>
      </c>
      <c r="L540" t="s">
        <v>486</v>
      </c>
      <c r="M540" t="s">
        <v>556</v>
      </c>
      <c r="N540" t="s">
        <v>450</v>
      </c>
      <c r="O540" t="s">
        <v>453</v>
      </c>
      <c r="P540" t="s">
        <v>421</v>
      </c>
      <c r="Q540">
        <v>0</v>
      </c>
      <c r="R540" t="s">
        <v>159</v>
      </c>
      <c r="S540">
        <v>0</v>
      </c>
      <c r="T540" t="s">
        <v>1516</v>
      </c>
      <c r="U540" t="s">
        <v>492</v>
      </c>
      <c r="V540" t="s">
        <v>1181</v>
      </c>
      <c r="W540" t="s">
        <v>399</v>
      </c>
      <c r="X540" t="s">
        <v>472</v>
      </c>
      <c r="Y540" t="s">
        <v>1859</v>
      </c>
    </row>
    <row r="541" spans="2:25">
      <c r="B541" t="s">
        <v>1847</v>
      </c>
      <c r="C541" t="s" vm="39">
        <v>701</v>
      </c>
      <c r="D541" t="s">
        <v>100</v>
      </c>
      <c r="E541" t="s">
        <v>485</v>
      </c>
      <c r="F541" t="s">
        <v>461</v>
      </c>
      <c r="G541" t="s">
        <v>473</v>
      </c>
      <c r="H541">
        <v>1</v>
      </c>
      <c r="I541" t="s">
        <v>456</v>
      </c>
      <c r="J541" t="s">
        <v>463</v>
      </c>
      <c r="K541">
        <v>2</v>
      </c>
      <c r="L541" t="s">
        <v>486</v>
      </c>
      <c r="M541" t="s">
        <v>556</v>
      </c>
      <c r="N541" t="s">
        <v>450</v>
      </c>
      <c r="O541" t="s">
        <v>453</v>
      </c>
      <c r="P541" t="s">
        <v>421</v>
      </c>
      <c r="Q541">
        <v>0</v>
      </c>
      <c r="R541" t="s">
        <v>159</v>
      </c>
      <c r="S541">
        <v>0</v>
      </c>
      <c r="T541" t="s">
        <v>1516</v>
      </c>
      <c r="U541" t="s">
        <v>492</v>
      </c>
      <c r="V541" t="s">
        <v>1181</v>
      </c>
      <c r="W541" t="s">
        <v>399</v>
      </c>
      <c r="X541" t="s">
        <v>472</v>
      </c>
      <c r="Y541" t="s">
        <v>1859</v>
      </c>
    </row>
    <row r="542" spans="2:25">
      <c r="B542" t="s">
        <v>1847</v>
      </c>
      <c r="C542" t="s" vm="39">
        <v>701</v>
      </c>
      <c r="D542" t="s">
        <v>100</v>
      </c>
      <c r="E542" t="s">
        <v>485</v>
      </c>
      <c r="F542" t="s">
        <v>461</v>
      </c>
      <c r="G542" t="s">
        <v>473</v>
      </c>
      <c r="H542">
        <v>1</v>
      </c>
      <c r="I542" t="s">
        <v>458</v>
      </c>
      <c r="J542" t="s">
        <v>463</v>
      </c>
      <c r="K542">
        <v>2</v>
      </c>
      <c r="L542" t="s">
        <v>486</v>
      </c>
      <c r="M542" t="s">
        <v>556</v>
      </c>
      <c r="N542" t="s">
        <v>450</v>
      </c>
      <c r="O542" t="s">
        <v>453</v>
      </c>
      <c r="P542" t="s">
        <v>421</v>
      </c>
      <c r="Q542">
        <v>0</v>
      </c>
      <c r="R542" t="s">
        <v>159</v>
      </c>
      <c r="S542">
        <v>0</v>
      </c>
      <c r="T542" t="s">
        <v>402</v>
      </c>
      <c r="U542" t="s">
        <v>492</v>
      </c>
      <c r="V542" t="s">
        <v>1181</v>
      </c>
      <c r="W542" t="s">
        <v>399</v>
      </c>
      <c r="X542" t="s">
        <v>472</v>
      </c>
      <c r="Y542" t="s">
        <v>1858</v>
      </c>
    </row>
    <row r="543" spans="2:25">
      <c r="B543" t="s">
        <v>1847</v>
      </c>
      <c r="C543" t="s" vm="39">
        <v>701</v>
      </c>
      <c r="D543" t="s">
        <v>100</v>
      </c>
      <c r="E543" t="s">
        <v>485</v>
      </c>
      <c r="F543" t="s">
        <v>461</v>
      </c>
      <c r="G543" t="s">
        <v>473</v>
      </c>
      <c r="H543">
        <v>1</v>
      </c>
      <c r="I543" t="s">
        <v>460</v>
      </c>
      <c r="J543" t="s">
        <v>463</v>
      </c>
      <c r="K543">
        <v>2</v>
      </c>
      <c r="L543" t="s">
        <v>486</v>
      </c>
      <c r="M543" t="s">
        <v>556</v>
      </c>
      <c r="N543" t="s">
        <v>450</v>
      </c>
      <c r="O543" t="s">
        <v>453</v>
      </c>
      <c r="P543" t="s">
        <v>421</v>
      </c>
      <c r="Q543">
        <v>0</v>
      </c>
      <c r="R543" t="s">
        <v>159</v>
      </c>
      <c r="S543">
        <v>0</v>
      </c>
      <c r="T543" t="s">
        <v>402</v>
      </c>
      <c r="U543" t="s">
        <v>492</v>
      </c>
      <c r="V543" t="s">
        <v>1181</v>
      </c>
      <c r="W543" t="s">
        <v>399</v>
      </c>
      <c r="X543" t="s">
        <v>472</v>
      </c>
      <c r="Y543" t="s">
        <v>1857</v>
      </c>
    </row>
    <row r="544" spans="2:25">
      <c r="B544" t="s">
        <v>1847</v>
      </c>
      <c r="C544" t="s" vm="39">
        <v>701</v>
      </c>
      <c r="D544" t="s">
        <v>100</v>
      </c>
      <c r="E544" t="s">
        <v>485</v>
      </c>
      <c r="F544" t="s">
        <v>461</v>
      </c>
      <c r="G544" t="s">
        <v>473</v>
      </c>
      <c r="H544">
        <v>1</v>
      </c>
      <c r="I544" t="s">
        <v>460</v>
      </c>
      <c r="J544" t="s">
        <v>463</v>
      </c>
      <c r="K544">
        <v>2</v>
      </c>
      <c r="L544" t="s">
        <v>486</v>
      </c>
      <c r="M544" t="s">
        <v>556</v>
      </c>
      <c r="N544" t="s">
        <v>450</v>
      </c>
      <c r="O544" t="s">
        <v>453</v>
      </c>
      <c r="P544" t="s">
        <v>421</v>
      </c>
      <c r="Q544">
        <v>0</v>
      </c>
      <c r="R544" t="s">
        <v>159</v>
      </c>
      <c r="S544">
        <v>0</v>
      </c>
      <c r="T544" t="s">
        <v>402</v>
      </c>
      <c r="U544" t="s">
        <v>492</v>
      </c>
      <c r="V544" t="s">
        <v>1181</v>
      </c>
      <c r="W544" t="s">
        <v>399</v>
      </c>
      <c r="X544" t="s">
        <v>472</v>
      </c>
      <c r="Y544" t="s">
        <v>1857</v>
      </c>
    </row>
    <row r="545" spans="2:25">
      <c r="B545" t="s">
        <v>1847</v>
      </c>
      <c r="C545" t="s" vm="39">
        <v>701</v>
      </c>
      <c r="D545" t="s">
        <v>100</v>
      </c>
      <c r="E545" t="s">
        <v>485</v>
      </c>
      <c r="F545" t="s">
        <v>461</v>
      </c>
      <c r="G545" t="s">
        <v>473</v>
      </c>
      <c r="H545">
        <v>1</v>
      </c>
      <c r="I545" t="s">
        <v>460</v>
      </c>
      <c r="J545" t="s">
        <v>463</v>
      </c>
      <c r="K545">
        <v>2</v>
      </c>
      <c r="L545" t="s">
        <v>486</v>
      </c>
      <c r="M545" t="s">
        <v>556</v>
      </c>
      <c r="N545" t="s">
        <v>450</v>
      </c>
      <c r="O545" t="s">
        <v>453</v>
      </c>
      <c r="P545" t="s">
        <v>421</v>
      </c>
      <c r="Q545">
        <v>0</v>
      </c>
      <c r="R545" t="s">
        <v>159</v>
      </c>
      <c r="S545">
        <v>0</v>
      </c>
      <c r="T545" t="s">
        <v>402</v>
      </c>
      <c r="U545" t="s">
        <v>492</v>
      </c>
      <c r="V545" t="s">
        <v>1181</v>
      </c>
      <c r="W545" t="s">
        <v>399</v>
      </c>
      <c r="X545" t="s">
        <v>472</v>
      </c>
      <c r="Y545" t="s">
        <v>1857</v>
      </c>
    </row>
    <row r="546" spans="2:25">
      <c r="B546" t="s">
        <v>1847</v>
      </c>
      <c r="C546" t="s" vm="39">
        <v>701</v>
      </c>
      <c r="D546" t="s">
        <v>100</v>
      </c>
      <c r="E546" t="s">
        <v>485</v>
      </c>
      <c r="F546" t="s">
        <v>461</v>
      </c>
      <c r="G546" t="s">
        <v>473</v>
      </c>
      <c r="H546">
        <v>1</v>
      </c>
      <c r="I546" t="s">
        <v>460</v>
      </c>
      <c r="J546" t="s">
        <v>463</v>
      </c>
      <c r="K546">
        <v>2</v>
      </c>
      <c r="L546" t="s">
        <v>486</v>
      </c>
      <c r="M546" t="s">
        <v>556</v>
      </c>
      <c r="N546" t="s">
        <v>450</v>
      </c>
      <c r="O546" t="s">
        <v>453</v>
      </c>
      <c r="P546" t="s">
        <v>421</v>
      </c>
      <c r="Q546">
        <v>0</v>
      </c>
      <c r="R546" t="s">
        <v>159</v>
      </c>
      <c r="S546">
        <v>0</v>
      </c>
      <c r="T546" t="s">
        <v>402</v>
      </c>
      <c r="U546" t="s">
        <v>492</v>
      </c>
      <c r="V546" t="s">
        <v>1181</v>
      </c>
      <c r="W546" t="s">
        <v>399</v>
      </c>
      <c r="X546" t="s">
        <v>472</v>
      </c>
      <c r="Y546" t="s">
        <v>1857</v>
      </c>
    </row>
    <row r="547" spans="2:25">
      <c r="B547" t="s">
        <v>1847</v>
      </c>
      <c r="C547" t="s" vm="39">
        <v>701</v>
      </c>
      <c r="D547" t="s">
        <v>100</v>
      </c>
      <c r="E547" t="s">
        <v>485</v>
      </c>
      <c r="F547" t="s">
        <v>461</v>
      </c>
      <c r="G547" t="s">
        <v>473</v>
      </c>
      <c r="H547">
        <v>1</v>
      </c>
      <c r="I547" t="s">
        <v>460</v>
      </c>
      <c r="J547" t="s">
        <v>463</v>
      </c>
      <c r="K547">
        <v>2</v>
      </c>
      <c r="L547" t="s">
        <v>486</v>
      </c>
      <c r="M547" t="s">
        <v>556</v>
      </c>
      <c r="N547" t="s">
        <v>450</v>
      </c>
      <c r="O547" t="s">
        <v>453</v>
      </c>
      <c r="P547" t="s">
        <v>421</v>
      </c>
      <c r="Q547">
        <v>0</v>
      </c>
      <c r="R547" t="s">
        <v>159</v>
      </c>
      <c r="S547">
        <v>0</v>
      </c>
      <c r="T547" t="s">
        <v>402</v>
      </c>
      <c r="U547" t="s">
        <v>492</v>
      </c>
      <c r="V547" t="s">
        <v>1181</v>
      </c>
      <c r="W547" t="s">
        <v>399</v>
      </c>
      <c r="X547" t="s">
        <v>472</v>
      </c>
      <c r="Y547" t="s">
        <v>1855</v>
      </c>
    </row>
    <row r="548" spans="2:25">
      <c r="B548" t="s">
        <v>1847</v>
      </c>
      <c r="C548" t="s" vm="39">
        <v>701</v>
      </c>
      <c r="D548" t="s">
        <v>100</v>
      </c>
      <c r="E548" t="s">
        <v>485</v>
      </c>
      <c r="F548" t="s">
        <v>461</v>
      </c>
      <c r="G548" t="s">
        <v>473</v>
      </c>
      <c r="H548">
        <v>1</v>
      </c>
      <c r="I548" t="s">
        <v>460</v>
      </c>
      <c r="J548" t="s">
        <v>463</v>
      </c>
      <c r="K548">
        <v>2</v>
      </c>
      <c r="L548" t="s">
        <v>486</v>
      </c>
      <c r="M548" t="s">
        <v>556</v>
      </c>
      <c r="N548" t="s">
        <v>450</v>
      </c>
      <c r="O548" t="s">
        <v>453</v>
      </c>
      <c r="P548" t="s">
        <v>421</v>
      </c>
      <c r="Q548">
        <v>0</v>
      </c>
      <c r="R548" t="s">
        <v>159</v>
      </c>
      <c r="S548">
        <v>0</v>
      </c>
      <c r="T548" t="s">
        <v>402</v>
      </c>
      <c r="U548" t="s">
        <v>492</v>
      </c>
      <c r="V548" t="s">
        <v>1181</v>
      </c>
      <c r="W548" t="s">
        <v>399</v>
      </c>
      <c r="X548" t="s">
        <v>472</v>
      </c>
      <c r="Y548" t="s">
        <v>1855</v>
      </c>
    </row>
    <row r="549" spans="2:25">
      <c r="B549" t="s">
        <v>1847</v>
      </c>
      <c r="C549" t="s" vm="39">
        <v>701</v>
      </c>
      <c r="D549" t="s">
        <v>100</v>
      </c>
      <c r="E549" t="s">
        <v>485</v>
      </c>
      <c r="F549" t="s">
        <v>461</v>
      </c>
      <c r="G549" t="s">
        <v>473</v>
      </c>
      <c r="H549">
        <v>1</v>
      </c>
      <c r="I549" t="s">
        <v>460</v>
      </c>
      <c r="J549" t="s">
        <v>463</v>
      </c>
      <c r="K549">
        <v>2</v>
      </c>
      <c r="L549" t="s">
        <v>486</v>
      </c>
      <c r="M549" t="s">
        <v>556</v>
      </c>
      <c r="N549" t="s">
        <v>450</v>
      </c>
      <c r="O549" t="s">
        <v>453</v>
      </c>
      <c r="P549" t="s">
        <v>421</v>
      </c>
      <c r="Q549">
        <v>0</v>
      </c>
      <c r="R549" t="s">
        <v>159</v>
      </c>
      <c r="S549">
        <v>0</v>
      </c>
      <c r="T549" t="s">
        <v>402</v>
      </c>
      <c r="U549" t="s">
        <v>492</v>
      </c>
      <c r="V549" t="s">
        <v>1181</v>
      </c>
      <c r="W549" t="s">
        <v>399</v>
      </c>
      <c r="X549" t="s">
        <v>472</v>
      </c>
      <c r="Y549" t="s">
        <v>1856</v>
      </c>
    </row>
    <row r="550" spans="2:25">
      <c r="B550" t="s">
        <v>1847</v>
      </c>
      <c r="C550" t="s" vm="39">
        <v>701</v>
      </c>
      <c r="D550" t="s">
        <v>100</v>
      </c>
      <c r="E550" t="s">
        <v>485</v>
      </c>
      <c r="F550" t="s">
        <v>461</v>
      </c>
      <c r="G550" t="s">
        <v>473</v>
      </c>
      <c r="H550">
        <v>1</v>
      </c>
      <c r="I550" t="s">
        <v>460</v>
      </c>
      <c r="J550" t="s">
        <v>463</v>
      </c>
      <c r="K550">
        <v>2</v>
      </c>
      <c r="L550" t="s">
        <v>486</v>
      </c>
      <c r="M550" t="s">
        <v>556</v>
      </c>
      <c r="N550" t="s">
        <v>450</v>
      </c>
      <c r="O550" t="s">
        <v>453</v>
      </c>
      <c r="P550" t="s">
        <v>421</v>
      </c>
      <c r="Q550">
        <v>0</v>
      </c>
      <c r="R550" t="s">
        <v>159</v>
      </c>
      <c r="S550">
        <v>0</v>
      </c>
      <c r="T550" t="s">
        <v>402</v>
      </c>
      <c r="U550" t="s">
        <v>492</v>
      </c>
      <c r="V550" t="s">
        <v>1181</v>
      </c>
      <c r="W550" t="s">
        <v>399</v>
      </c>
      <c r="X550" t="s">
        <v>472</v>
      </c>
      <c r="Y550" t="s">
        <v>1855</v>
      </c>
    </row>
    <row r="551" spans="2:25">
      <c r="B551" t="s">
        <v>1847</v>
      </c>
      <c r="C551" t="s" vm="39">
        <v>701</v>
      </c>
      <c r="D551" t="s">
        <v>100</v>
      </c>
      <c r="E551" t="s">
        <v>485</v>
      </c>
      <c r="F551" t="s">
        <v>461</v>
      </c>
      <c r="G551" t="s">
        <v>473</v>
      </c>
      <c r="H551">
        <v>1</v>
      </c>
      <c r="I551" t="s">
        <v>460</v>
      </c>
      <c r="J551" t="s">
        <v>463</v>
      </c>
      <c r="K551">
        <v>2</v>
      </c>
      <c r="L551" t="s">
        <v>486</v>
      </c>
      <c r="M551" t="s">
        <v>556</v>
      </c>
      <c r="N551" t="s">
        <v>450</v>
      </c>
      <c r="O551" t="s">
        <v>453</v>
      </c>
      <c r="P551" t="s">
        <v>421</v>
      </c>
      <c r="Q551">
        <v>0</v>
      </c>
      <c r="R551" t="s">
        <v>159</v>
      </c>
      <c r="S551">
        <v>0</v>
      </c>
      <c r="T551" t="s">
        <v>402</v>
      </c>
      <c r="U551" t="s">
        <v>492</v>
      </c>
      <c r="V551" t="s">
        <v>1181</v>
      </c>
      <c r="W551" t="s">
        <v>399</v>
      </c>
      <c r="X551" t="s">
        <v>472</v>
      </c>
      <c r="Y551" t="s">
        <v>1854</v>
      </c>
    </row>
    <row r="552" spans="2:25">
      <c r="B552" t="s">
        <v>1847</v>
      </c>
      <c r="C552" t="s" vm="39">
        <v>701</v>
      </c>
      <c r="D552" t="s">
        <v>1019</v>
      </c>
      <c r="E552" t="s">
        <v>485</v>
      </c>
      <c r="F552" t="s">
        <v>461</v>
      </c>
      <c r="G552" t="s">
        <v>473</v>
      </c>
      <c r="H552">
        <v>2</v>
      </c>
      <c r="I552" t="s">
        <v>456</v>
      </c>
      <c r="J552" t="s">
        <v>463</v>
      </c>
      <c r="K552">
        <v>2</v>
      </c>
      <c r="L552" t="s">
        <v>486</v>
      </c>
      <c r="M552" t="s">
        <v>1022</v>
      </c>
      <c r="N552" t="s">
        <v>450</v>
      </c>
      <c r="O552" t="s">
        <v>453</v>
      </c>
      <c r="P552" t="s">
        <v>421</v>
      </c>
      <c r="Q552">
        <v>0</v>
      </c>
      <c r="R552" t="s">
        <v>159</v>
      </c>
      <c r="S552">
        <v>0</v>
      </c>
      <c r="T552" t="s">
        <v>1516</v>
      </c>
      <c r="U552" t="s">
        <v>492</v>
      </c>
      <c r="V552" t="s">
        <v>1181</v>
      </c>
      <c r="W552" t="s">
        <v>399</v>
      </c>
      <c r="X552" t="s">
        <v>401</v>
      </c>
      <c r="Y552" t="s">
        <v>1853</v>
      </c>
    </row>
    <row r="553" spans="2:25">
      <c r="B553" t="s">
        <v>1847</v>
      </c>
      <c r="C553" t="s" vm="39">
        <v>701</v>
      </c>
      <c r="D553" t="s">
        <v>1019</v>
      </c>
      <c r="E553" t="s">
        <v>485</v>
      </c>
      <c r="F553" t="s">
        <v>461</v>
      </c>
      <c r="G553" t="s">
        <v>473</v>
      </c>
      <c r="H553">
        <v>2</v>
      </c>
      <c r="I553" t="s">
        <v>456</v>
      </c>
      <c r="J553" t="s">
        <v>463</v>
      </c>
      <c r="K553">
        <v>2</v>
      </c>
      <c r="L553" t="s">
        <v>486</v>
      </c>
      <c r="M553" t="s">
        <v>1022</v>
      </c>
      <c r="N553" t="s">
        <v>450</v>
      </c>
      <c r="O553" t="s">
        <v>453</v>
      </c>
      <c r="P553" t="s">
        <v>421</v>
      </c>
      <c r="Q553">
        <v>0</v>
      </c>
      <c r="R553" t="s">
        <v>159</v>
      </c>
      <c r="S553">
        <v>0</v>
      </c>
      <c r="T553" t="s">
        <v>1516</v>
      </c>
      <c r="U553" t="s">
        <v>492</v>
      </c>
      <c r="V553" t="s">
        <v>1181</v>
      </c>
      <c r="W553" t="s">
        <v>399</v>
      </c>
      <c r="X553" t="s">
        <v>401</v>
      </c>
      <c r="Y553" t="s">
        <v>1852</v>
      </c>
    </row>
    <row r="554" spans="2:25">
      <c r="B554" t="s">
        <v>1847</v>
      </c>
      <c r="C554" t="s" vm="39">
        <v>701</v>
      </c>
      <c r="D554" t="s">
        <v>1019</v>
      </c>
      <c r="E554" t="s">
        <v>485</v>
      </c>
      <c r="F554" t="s">
        <v>461</v>
      </c>
      <c r="G554" t="s">
        <v>473</v>
      </c>
      <c r="H554">
        <v>2</v>
      </c>
      <c r="I554" t="s">
        <v>456</v>
      </c>
      <c r="J554" t="s">
        <v>463</v>
      </c>
      <c r="K554">
        <v>2</v>
      </c>
      <c r="L554" t="s">
        <v>486</v>
      </c>
      <c r="M554" t="s">
        <v>1022</v>
      </c>
      <c r="N554" t="s">
        <v>450</v>
      </c>
      <c r="O554" t="s">
        <v>453</v>
      </c>
      <c r="P554" t="s">
        <v>421</v>
      </c>
      <c r="Q554">
        <v>0</v>
      </c>
      <c r="R554" t="s">
        <v>159</v>
      </c>
      <c r="S554">
        <v>0</v>
      </c>
      <c r="T554" t="s">
        <v>1516</v>
      </c>
      <c r="U554" t="s">
        <v>492</v>
      </c>
      <c r="V554" t="s">
        <v>1181</v>
      </c>
      <c r="W554" t="s">
        <v>399</v>
      </c>
      <c r="X554" t="s">
        <v>401</v>
      </c>
      <c r="Y554" t="s">
        <v>1851</v>
      </c>
    </row>
    <row r="555" spans="2:25">
      <c r="B555" t="s">
        <v>1847</v>
      </c>
      <c r="C555" t="s" vm="39">
        <v>701</v>
      </c>
      <c r="D555" t="s">
        <v>100</v>
      </c>
      <c r="E555" t="s">
        <v>485</v>
      </c>
      <c r="F555" t="s">
        <v>461</v>
      </c>
      <c r="G555" t="s">
        <v>473</v>
      </c>
      <c r="H555">
        <v>1</v>
      </c>
      <c r="I555" t="s">
        <v>456</v>
      </c>
      <c r="J555" t="s">
        <v>463</v>
      </c>
      <c r="K555">
        <v>2</v>
      </c>
      <c r="L555" t="s">
        <v>486</v>
      </c>
      <c r="M555" t="s">
        <v>556</v>
      </c>
      <c r="N555" t="s">
        <v>450</v>
      </c>
      <c r="O555" t="s">
        <v>453</v>
      </c>
      <c r="P555" t="s">
        <v>421</v>
      </c>
      <c r="Q555">
        <v>0</v>
      </c>
      <c r="R555" t="s">
        <v>159</v>
      </c>
      <c r="S555">
        <v>0</v>
      </c>
      <c r="T555" t="s">
        <v>1516</v>
      </c>
      <c r="U555" t="s">
        <v>492</v>
      </c>
      <c r="V555" t="s">
        <v>1181</v>
      </c>
      <c r="W555" t="s">
        <v>399</v>
      </c>
      <c r="X555" t="s">
        <v>472</v>
      </c>
      <c r="Y555" t="s">
        <v>1849</v>
      </c>
    </row>
    <row r="556" spans="2:25">
      <c r="B556" t="s">
        <v>1847</v>
      </c>
      <c r="C556" t="s" vm="39">
        <v>701</v>
      </c>
      <c r="D556" t="s">
        <v>100</v>
      </c>
      <c r="E556" t="s">
        <v>485</v>
      </c>
      <c r="F556" t="s">
        <v>461</v>
      </c>
      <c r="G556" t="s">
        <v>473</v>
      </c>
      <c r="H556">
        <v>1</v>
      </c>
      <c r="I556" t="s">
        <v>456</v>
      </c>
      <c r="J556" t="s">
        <v>463</v>
      </c>
      <c r="K556">
        <v>2</v>
      </c>
      <c r="L556" t="s">
        <v>486</v>
      </c>
      <c r="M556" t="s">
        <v>556</v>
      </c>
      <c r="N556" t="s">
        <v>450</v>
      </c>
      <c r="O556" t="s">
        <v>453</v>
      </c>
      <c r="P556" t="s">
        <v>421</v>
      </c>
      <c r="Q556">
        <v>0</v>
      </c>
      <c r="R556" t="s">
        <v>159</v>
      </c>
      <c r="S556">
        <v>0</v>
      </c>
      <c r="T556" t="s">
        <v>1516</v>
      </c>
      <c r="U556" t="s">
        <v>492</v>
      </c>
      <c r="V556" t="s">
        <v>1181</v>
      </c>
      <c r="W556" t="s">
        <v>399</v>
      </c>
      <c r="X556" t="s">
        <v>471</v>
      </c>
      <c r="Y556" t="s">
        <v>1848</v>
      </c>
    </row>
    <row r="557" spans="2:25">
      <c r="B557" t="s">
        <v>1845</v>
      </c>
      <c r="C557" t="s" vm="39">
        <v>701</v>
      </c>
      <c r="D557" t="s">
        <v>100</v>
      </c>
      <c r="E557" t="s">
        <v>485</v>
      </c>
      <c r="F557" t="s">
        <v>461</v>
      </c>
      <c r="G557" t="s">
        <v>473</v>
      </c>
      <c r="H557">
        <v>1</v>
      </c>
      <c r="I557" t="s">
        <v>456</v>
      </c>
      <c r="J557" t="s">
        <v>463</v>
      </c>
      <c r="K557">
        <v>2</v>
      </c>
      <c r="L557" t="s">
        <v>486</v>
      </c>
      <c r="M557" t="s">
        <v>556</v>
      </c>
      <c r="N557" t="s">
        <v>450</v>
      </c>
      <c r="O557" t="s">
        <v>453</v>
      </c>
      <c r="P557" t="s">
        <v>421</v>
      </c>
      <c r="Q557">
        <v>0</v>
      </c>
      <c r="R557" t="s">
        <v>159</v>
      </c>
      <c r="S557">
        <v>0</v>
      </c>
      <c r="T557" t="s">
        <v>1516</v>
      </c>
      <c r="U557" t="s">
        <v>492</v>
      </c>
      <c r="V557" t="s">
        <v>1181</v>
      </c>
      <c r="W557" t="s">
        <v>399</v>
      </c>
      <c r="X557" t="s">
        <v>472</v>
      </c>
      <c r="Y557" t="s">
        <v>1846</v>
      </c>
    </row>
    <row r="558" spans="2:25">
      <c r="B558" t="s">
        <v>1838</v>
      </c>
      <c r="C558" t="s" vm="39">
        <v>701</v>
      </c>
      <c r="D558" t="s">
        <v>1019</v>
      </c>
      <c r="E558" t="s">
        <v>485</v>
      </c>
      <c r="F558" t="s">
        <v>461</v>
      </c>
      <c r="G558" t="s">
        <v>473</v>
      </c>
      <c r="H558">
        <v>2</v>
      </c>
      <c r="I558" t="s">
        <v>456</v>
      </c>
      <c r="J558" t="s">
        <v>463</v>
      </c>
      <c r="K558">
        <v>2</v>
      </c>
      <c r="L558" t="s">
        <v>486</v>
      </c>
      <c r="M558" t="s">
        <v>556</v>
      </c>
      <c r="N558" t="s">
        <v>450</v>
      </c>
      <c r="O558" t="s">
        <v>453</v>
      </c>
      <c r="P558" t="s">
        <v>421</v>
      </c>
      <c r="Q558">
        <v>0</v>
      </c>
      <c r="R558" t="s">
        <v>159</v>
      </c>
      <c r="S558">
        <v>0</v>
      </c>
      <c r="T558" t="s">
        <v>1516</v>
      </c>
      <c r="U558" t="s">
        <v>492</v>
      </c>
      <c r="V558" t="s">
        <v>1181</v>
      </c>
      <c r="W558" t="s">
        <v>399</v>
      </c>
      <c r="X558" t="s">
        <v>401</v>
      </c>
      <c r="Y558" t="s">
        <v>1844</v>
      </c>
    </row>
    <row r="559" spans="2:25">
      <c r="B559" t="s">
        <v>1838</v>
      </c>
      <c r="C559" t="s" vm="39">
        <v>701</v>
      </c>
      <c r="D559" t="s">
        <v>1019</v>
      </c>
      <c r="E559" t="s">
        <v>485</v>
      </c>
      <c r="F559" t="s">
        <v>461</v>
      </c>
      <c r="G559" t="s">
        <v>473</v>
      </c>
      <c r="H559">
        <v>2</v>
      </c>
      <c r="I559" t="s">
        <v>456</v>
      </c>
      <c r="J559" t="s">
        <v>463</v>
      </c>
      <c r="K559">
        <v>2</v>
      </c>
      <c r="L559" t="s">
        <v>486</v>
      </c>
      <c r="M559" t="s">
        <v>556</v>
      </c>
      <c r="N559" t="s">
        <v>450</v>
      </c>
      <c r="O559" t="s">
        <v>453</v>
      </c>
      <c r="P559" t="s">
        <v>421</v>
      </c>
      <c r="Q559">
        <v>0</v>
      </c>
      <c r="R559" t="s">
        <v>159</v>
      </c>
      <c r="S559">
        <v>0</v>
      </c>
      <c r="T559" t="s">
        <v>1516</v>
      </c>
      <c r="U559" t="s">
        <v>492</v>
      </c>
      <c r="V559" t="s">
        <v>1181</v>
      </c>
      <c r="W559" t="s">
        <v>399</v>
      </c>
      <c r="X559" t="s">
        <v>401</v>
      </c>
      <c r="Y559" t="s">
        <v>1843</v>
      </c>
    </row>
    <row r="560" spans="2:25">
      <c r="B560" t="s">
        <v>1838</v>
      </c>
      <c r="C560" t="s" vm="39">
        <v>701</v>
      </c>
      <c r="D560" t="s">
        <v>1019</v>
      </c>
      <c r="E560" t="s">
        <v>485</v>
      </c>
      <c r="F560" t="s">
        <v>461</v>
      </c>
      <c r="G560" t="s">
        <v>473</v>
      </c>
      <c r="H560">
        <v>2</v>
      </c>
      <c r="I560" t="s">
        <v>456</v>
      </c>
      <c r="J560" t="s">
        <v>463</v>
      </c>
      <c r="K560">
        <v>2</v>
      </c>
      <c r="L560" t="s">
        <v>486</v>
      </c>
      <c r="M560" t="s">
        <v>556</v>
      </c>
      <c r="N560" t="s">
        <v>450</v>
      </c>
      <c r="O560" t="s">
        <v>453</v>
      </c>
      <c r="P560" t="s">
        <v>421</v>
      </c>
      <c r="Q560">
        <v>0</v>
      </c>
      <c r="R560" t="s">
        <v>159</v>
      </c>
      <c r="S560">
        <v>0</v>
      </c>
      <c r="T560" t="s">
        <v>1516</v>
      </c>
      <c r="U560" t="s">
        <v>492</v>
      </c>
      <c r="V560" t="s">
        <v>1181</v>
      </c>
      <c r="W560" t="s">
        <v>399</v>
      </c>
      <c r="X560" t="s">
        <v>401</v>
      </c>
      <c r="Y560" t="s">
        <v>1843</v>
      </c>
    </row>
    <row r="561" spans="2:25">
      <c r="B561" t="s">
        <v>1838</v>
      </c>
      <c r="C561" t="s" vm="39">
        <v>701</v>
      </c>
      <c r="D561" t="s">
        <v>1019</v>
      </c>
      <c r="E561" t="s">
        <v>485</v>
      </c>
      <c r="F561" t="s">
        <v>461</v>
      </c>
      <c r="G561" t="s">
        <v>487</v>
      </c>
      <c r="H561" t="s">
        <v>123</v>
      </c>
      <c r="I561" t="s">
        <v>456</v>
      </c>
      <c r="J561" t="s">
        <v>463</v>
      </c>
      <c r="K561">
        <v>2</v>
      </c>
      <c r="L561" t="s">
        <v>486</v>
      </c>
      <c r="M561" t="s">
        <v>556</v>
      </c>
      <c r="N561" t="s">
        <v>450</v>
      </c>
      <c r="O561" t="s">
        <v>453</v>
      </c>
      <c r="P561" t="s">
        <v>421</v>
      </c>
      <c r="Q561">
        <v>0</v>
      </c>
      <c r="R561" t="s">
        <v>159</v>
      </c>
      <c r="S561">
        <v>0</v>
      </c>
      <c r="T561" t="s">
        <v>1516</v>
      </c>
      <c r="U561" t="s">
        <v>492</v>
      </c>
      <c r="V561" t="s">
        <v>1181</v>
      </c>
      <c r="W561" t="s">
        <v>399</v>
      </c>
      <c r="X561" t="s">
        <v>401</v>
      </c>
      <c r="Y561" t="s">
        <v>1842</v>
      </c>
    </row>
    <row r="562" spans="2:25">
      <c r="B562" t="s">
        <v>1838</v>
      </c>
      <c r="C562" t="s" vm="39">
        <v>701</v>
      </c>
      <c r="D562" t="s">
        <v>100</v>
      </c>
      <c r="E562" t="s">
        <v>485</v>
      </c>
      <c r="F562" t="s">
        <v>217</v>
      </c>
      <c r="G562" t="s">
        <v>473</v>
      </c>
      <c r="H562">
        <v>1</v>
      </c>
      <c r="I562" t="s">
        <v>457</v>
      </c>
      <c r="J562" t="s">
        <v>463</v>
      </c>
      <c r="K562">
        <v>2</v>
      </c>
      <c r="L562" t="s">
        <v>486</v>
      </c>
      <c r="M562" t="s">
        <v>556</v>
      </c>
      <c r="N562" t="s">
        <v>450</v>
      </c>
      <c r="O562" t="s">
        <v>453</v>
      </c>
      <c r="P562" t="s">
        <v>157</v>
      </c>
      <c r="Q562">
        <v>4</v>
      </c>
      <c r="R562" t="s">
        <v>415</v>
      </c>
      <c r="S562">
        <v>8</v>
      </c>
      <c r="T562" t="s">
        <v>1516</v>
      </c>
      <c r="U562" t="s">
        <v>492</v>
      </c>
      <c r="V562" t="s">
        <v>1181</v>
      </c>
      <c r="W562" t="s">
        <v>399</v>
      </c>
      <c r="X562" t="s">
        <v>472</v>
      </c>
      <c r="Y562" t="s">
        <v>1841</v>
      </c>
    </row>
    <row r="563" spans="2:25">
      <c r="B563" t="s">
        <v>1838</v>
      </c>
      <c r="C563" t="s" vm="39">
        <v>701</v>
      </c>
      <c r="D563" t="s">
        <v>100</v>
      </c>
      <c r="E563" t="s">
        <v>485</v>
      </c>
      <c r="F563" t="s">
        <v>217</v>
      </c>
      <c r="G563" t="s">
        <v>473</v>
      </c>
      <c r="H563">
        <v>1</v>
      </c>
      <c r="I563" t="s">
        <v>457</v>
      </c>
      <c r="J563" t="s">
        <v>463</v>
      </c>
      <c r="K563">
        <v>2</v>
      </c>
      <c r="L563" t="s">
        <v>486</v>
      </c>
      <c r="M563" t="s">
        <v>556</v>
      </c>
      <c r="N563" t="s">
        <v>450</v>
      </c>
      <c r="O563" t="s">
        <v>453</v>
      </c>
      <c r="P563" t="s">
        <v>157</v>
      </c>
      <c r="Q563">
        <v>4</v>
      </c>
      <c r="R563" t="s">
        <v>415</v>
      </c>
      <c r="S563">
        <v>8</v>
      </c>
      <c r="T563" t="s">
        <v>1516</v>
      </c>
      <c r="U563" t="s">
        <v>492</v>
      </c>
      <c r="V563" t="s">
        <v>1181</v>
      </c>
      <c r="W563" t="s">
        <v>399</v>
      </c>
      <c r="X563" t="s">
        <v>472</v>
      </c>
      <c r="Y563" t="s">
        <v>1840</v>
      </c>
    </row>
    <row r="564" spans="2:25">
      <c r="B564" t="s">
        <v>1838</v>
      </c>
      <c r="C564" t="s" vm="39">
        <v>701</v>
      </c>
      <c r="D564" t="s">
        <v>100</v>
      </c>
      <c r="E564" t="s">
        <v>485</v>
      </c>
      <c r="F564" t="s">
        <v>217</v>
      </c>
      <c r="G564" t="s">
        <v>473</v>
      </c>
      <c r="H564">
        <v>1</v>
      </c>
      <c r="I564" t="s">
        <v>457</v>
      </c>
      <c r="J564" t="s">
        <v>463</v>
      </c>
      <c r="K564">
        <v>2</v>
      </c>
      <c r="L564" t="s">
        <v>486</v>
      </c>
      <c r="M564" t="s">
        <v>556</v>
      </c>
      <c r="N564" t="s">
        <v>450</v>
      </c>
      <c r="O564" t="s">
        <v>453</v>
      </c>
      <c r="P564" t="s">
        <v>157</v>
      </c>
      <c r="Q564">
        <v>4</v>
      </c>
      <c r="R564" t="s">
        <v>415</v>
      </c>
      <c r="S564">
        <v>8</v>
      </c>
      <c r="T564" t="s">
        <v>1516</v>
      </c>
      <c r="U564" t="s">
        <v>492</v>
      </c>
      <c r="V564" t="s">
        <v>1181</v>
      </c>
      <c r="W564" t="s">
        <v>399</v>
      </c>
      <c r="X564" t="s">
        <v>472</v>
      </c>
      <c r="Y564" t="s">
        <v>1839</v>
      </c>
    </row>
    <row r="565" spans="2:25">
      <c r="B565" t="s">
        <v>1835</v>
      </c>
      <c r="C565" t="s" vm="39">
        <v>701</v>
      </c>
      <c r="D565" t="s">
        <v>1019</v>
      </c>
      <c r="E565" t="s">
        <v>485</v>
      </c>
      <c r="F565" t="s">
        <v>461</v>
      </c>
      <c r="G565" t="s">
        <v>473</v>
      </c>
      <c r="H565">
        <v>1</v>
      </c>
      <c r="I565" t="s">
        <v>460</v>
      </c>
      <c r="J565" t="s">
        <v>463</v>
      </c>
      <c r="K565">
        <v>2</v>
      </c>
      <c r="L565" t="s">
        <v>488</v>
      </c>
      <c r="M565" t="s">
        <v>492</v>
      </c>
      <c r="N565" t="s">
        <v>496</v>
      </c>
      <c r="O565" t="s">
        <v>453</v>
      </c>
      <c r="P565" t="s">
        <v>157</v>
      </c>
      <c r="Q565">
        <v>12</v>
      </c>
      <c r="R565" t="s">
        <v>1494</v>
      </c>
      <c r="S565">
        <v>12</v>
      </c>
      <c r="T565" t="s">
        <v>402</v>
      </c>
      <c r="U565" t="s">
        <v>492</v>
      </c>
      <c r="V565" t="s">
        <v>1181</v>
      </c>
      <c r="W565" t="s">
        <v>399</v>
      </c>
      <c r="X565" t="s">
        <v>401</v>
      </c>
      <c r="Y565" t="s">
        <v>1837</v>
      </c>
    </row>
    <row r="566" spans="2:25">
      <c r="B566" t="s">
        <v>1835</v>
      </c>
      <c r="C566" t="s" vm="39">
        <v>701</v>
      </c>
      <c r="D566" t="s">
        <v>1019</v>
      </c>
      <c r="E566" t="s">
        <v>485</v>
      </c>
      <c r="F566" t="s">
        <v>461</v>
      </c>
      <c r="G566" t="s">
        <v>473</v>
      </c>
      <c r="H566">
        <v>1</v>
      </c>
      <c r="I566" t="s">
        <v>460</v>
      </c>
      <c r="J566" t="s">
        <v>463</v>
      </c>
      <c r="K566">
        <v>2</v>
      </c>
      <c r="L566" t="s">
        <v>488</v>
      </c>
      <c r="M566" t="s">
        <v>492</v>
      </c>
      <c r="N566" t="s">
        <v>496</v>
      </c>
      <c r="O566" t="s">
        <v>453</v>
      </c>
      <c r="P566" t="s">
        <v>421</v>
      </c>
      <c r="Q566">
        <v>1</v>
      </c>
      <c r="R566" t="s">
        <v>159</v>
      </c>
      <c r="S566">
        <v>0</v>
      </c>
      <c r="T566" t="s">
        <v>402</v>
      </c>
      <c r="U566" t="s">
        <v>492</v>
      </c>
      <c r="V566" t="s">
        <v>1181</v>
      </c>
      <c r="W566" t="s">
        <v>399</v>
      </c>
      <c r="X566" t="s">
        <v>401</v>
      </c>
      <c r="Y566" t="s">
        <v>1836</v>
      </c>
    </row>
    <row r="567" spans="2:25">
      <c r="B567" t="s">
        <v>1828</v>
      </c>
      <c r="C567" t="s" vm="39">
        <v>701</v>
      </c>
      <c r="D567" t="s">
        <v>100</v>
      </c>
      <c r="E567" t="s">
        <v>485</v>
      </c>
      <c r="F567" t="s">
        <v>461</v>
      </c>
      <c r="G567" t="s">
        <v>473</v>
      </c>
      <c r="H567">
        <v>1</v>
      </c>
      <c r="I567" t="s">
        <v>456</v>
      </c>
      <c r="J567" t="s">
        <v>463</v>
      </c>
      <c r="K567">
        <v>2</v>
      </c>
      <c r="L567" t="s">
        <v>486</v>
      </c>
      <c r="M567" t="s">
        <v>556</v>
      </c>
      <c r="N567" t="s">
        <v>496</v>
      </c>
      <c r="O567" t="s">
        <v>453</v>
      </c>
      <c r="P567" t="s">
        <v>421</v>
      </c>
      <c r="Q567">
        <v>1</v>
      </c>
      <c r="R567" t="s">
        <v>159</v>
      </c>
      <c r="S567">
        <v>0</v>
      </c>
      <c r="T567" t="s">
        <v>1516</v>
      </c>
      <c r="U567" t="s">
        <v>492</v>
      </c>
      <c r="V567" t="s">
        <v>1181</v>
      </c>
      <c r="W567" t="s">
        <v>399</v>
      </c>
      <c r="X567" t="s">
        <v>472</v>
      </c>
      <c r="Y567" t="s">
        <v>1834</v>
      </c>
    </row>
    <row r="568" spans="2:25">
      <c r="B568" t="s">
        <v>1828</v>
      </c>
      <c r="C568" t="s" vm="39">
        <v>701</v>
      </c>
      <c r="D568" t="s">
        <v>1019</v>
      </c>
      <c r="E568" t="s">
        <v>485</v>
      </c>
      <c r="F568" t="s">
        <v>461</v>
      </c>
      <c r="G568" t="s">
        <v>473</v>
      </c>
      <c r="H568">
        <v>1</v>
      </c>
      <c r="I568" t="s">
        <v>456</v>
      </c>
      <c r="J568" t="s">
        <v>463</v>
      </c>
      <c r="K568">
        <v>1</v>
      </c>
      <c r="L568" t="s">
        <v>488</v>
      </c>
      <c r="M568" t="s">
        <v>492</v>
      </c>
      <c r="N568" t="s">
        <v>496</v>
      </c>
      <c r="O568" t="s">
        <v>453</v>
      </c>
      <c r="P568" t="s">
        <v>158</v>
      </c>
      <c r="Q568">
        <v>1</v>
      </c>
      <c r="R568" t="s">
        <v>159</v>
      </c>
      <c r="S568">
        <v>0</v>
      </c>
      <c r="T568" t="s">
        <v>402</v>
      </c>
      <c r="U568" t="s">
        <v>492</v>
      </c>
      <c r="V568" t="s">
        <v>1181</v>
      </c>
      <c r="W568" t="s">
        <v>399</v>
      </c>
      <c r="X568" t="s">
        <v>401</v>
      </c>
      <c r="Y568" t="s">
        <v>1833</v>
      </c>
    </row>
    <row r="569" spans="2:25">
      <c r="B569" t="s">
        <v>1828</v>
      </c>
      <c r="C569" t="s" vm="39">
        <v>701</v>
      </c>
      <c r="D569" t="s">
        <v>1019</v>
      </c>
      <c r="E569" t="s">
        <v>485</v>
      </c>
      <c r="F569" t="s">
        <v>461</v>
      </c>
      <c r="G569" t="s">
        <v>473</v>
      </c>
      <c r="H569">
        <v>1</v>
      </c>
      <c r="I569" t="s">
        <v>456</v>
      </c>
      <c r="J569" t="s">
        <v>463</v>
      </c>
      <c r="K569">
        <v>1</v>
      </c>
      <c r="L569" t="s">
        <v>488</v>
      </c>
      <c r="M569" t="s">
        <v>492</v>
      </c>
      <c r="N569" t="s">
        <v>496</v>
      </c>
      <c r="O569" t="s">
        <v>453</v>
      </c>
      <c r="P569" t="s">
        <v>421</v>
      </c>
      <c r="Q569">
        <v>0</v>
      </c>
      <c r="R569" t="s">
        <v>159</v>
      </c>
      <c r="S569">
        <v>0</v>
      </c>
      <c r="T569" t="s">
        <v>402</v>
      </c>
      <c r="U569" t="s">
        <v>492</v>
      </c>
      <c r="V569" t="s">
        <v>1181</v>
      </c>
      <c r="W569" t="s">
        <v>399</v>
      </c>
      <c r="X569" t="s">
        <v>401</v>
      </c>
      <c r="Y569" t="s">
        <v>1832</v>
      </c>
    </row>
    <row r="570" spans="2:25">
      <c r="B570" t="s">
        <v>1828</v>
      </c>
      <c r="C570" t="s" vm="39">
        <v>701</v>
      </c>
      <c r="D570" t="s">
        <v>1019</v>
      </c>
      <c r="E570" t="s">
        <v>485</v>
      </c>
      <c r="F570" t="s">
        <v>461</v>
      </c>
      <c r="G570" t="s">
        <v>473</v>
      </c>
      <c r="H570">
        <v>1</v>
      </c>
      <c r="I570" t="s">
        <v>456</v>
      </c>
      <c r="J570" t="s">
        <v>463</v>
      </c>
      <c r="K570">
        <v>1</v>
      </c>
      <c r="L570" t="s">
        <v>488</v>
      </c>
      <c r="M570" t="s">
        <v>492</v>
      </c>
      <c r="N570" t="s">
        <v>496</v>
      </c>
      <c r="O570" t="s">
        <v>453</v>
      </c>
      <c r="P570" t="s">
        <v>157</v>
      </c>
      <c r="Q570">
        <v>12</v>
      </c>
      <c r="R570" t="s">
        <v>1494</v>
      </c>
      <c r="S570">
        <v>12</v>
      </c>
      <c r="T570" t="s">
        <v>402</v>
      </c>
      <c r="U570" t="s">
        <v>492</v>
      </c>
      <c r="V570" t="s">
        <v>1181</v>
      </c>
      <c r="W570" t="s">
        <v>399</v>
      </c>
      <c r="X570" t="s">
        <v>401</v>
      </c>
      <c r="Y570" t="s">
        <v>1831</v>
      </c>
    </row>
    <row r="571" spans="2:25">
      <c r="B571" t="s">
        <v>1828</v>
      </c>
      <c r="C571" t="s" vm="39">
        <v>701</v>
      </c>
      <c r="D571" t="s">
        <v>1019</v>
      </c>
      <c r="E571" t="s">
        <v>485</v>
      </c>
      <c r="F571" t="s">
        <v>461</v>
      </c>
      <c r="G571" t="s">
        <v>473</v>
      </c>
      <c r="H571">
        <v>1</v>
      </c>
      <c r="I571" t="s">
        <v>456</v>
      </c>
      <c r="J571" t="s">
        <v>463</v>
      </c>
      <c r="K571">
        <v>1</v>
      </c>
      <c r="L571" t="s">
        <v>488</v>
      </c>
      <c r="M571" t="s">
        <v>492</v>
      </c>
      <c r="N571" t="s">
        <v>496</v>
      </c>
      <c r="O571" t="s">
        <v>453</v>
      </c>
      <c r="P571" t="s">
        <v>157</v>
      </c>
      <c r="Q571">
        <v>4</v>
      </c>
      <c r="R571" t="s">
        <v>1494</v>
      </c>
      <c r="S571">
        <v>8</v>
      </c>
      <c r="T571" t="s">
        <v>402</v>
      </c>
      <c r="U571" t="s">
        <v>492</v>
      </c>
      <c r="V571" t="s">
        <v>1181</v>
      </c>
      <c r="W571" t="s">
        <v>399</v>
      </c>
      <c r="X571" t="s">
        <v>401</v>
      </c>
      <c r="Y571" t="s">
        <v>1829</v>
      </c>
    </row>
    <row r="572" spans="2:25">
      <c r="B572" t="s">
        <v>1828</v>
      </c>
      <c r="C572" t="s" vm="39">
        <v>701</v>
      </c>
      <c r="D572" t="s">
        <v>1019</v>
      </c>
      <c r="E572" t="s">
        <v>485</v>
      </c>
      <c r="F572" t="s">
        <v>461</v>
      </c>
      <c r="G572" t="s">
        <v>473</v>
      </c>
      <c r="H572">
        <v>1</v>
      </c>
      <c r="I572" t="s">
        <v>456</v>
      </c>
      <c r="J572" t="s">
        <v>463</v>
      </c>
      <c r="K572">
        <v>1</v>
      </c>
      <c r="L572" t="s">
        <v>488</v>
      </c>
      <c r="M572" t="s">
        <v>492</v>
      </c>
      <c r="N572" t="s">
        <v>496</v>
      </c>
      <c r="O572" t="s">
        <v>453</v>
      </c>
      <c r="P572" t="s">
        <v>421</v>
      </c>
      <c r="Q572">
        <v>0</v>
      </c>
      <c r="R572" t="s">
        <v>159</v>
      </c>
      <c r="S572">
        <v>0</v>
      </c>
      <c r="T572" t="s">
        <v>402</v>
      </c>
      <c r="U572" t="s">
        <v>492</v>
      </c>
      <c r="V572" t="s">
        <v>1181</v>
      </c>
      <c r="W572" t="s">
        <v>399</v>
      </c>
      <c r="X572" t="s">
        <v>401</v>
      </c>
      <c r="Y572" t="s">
        <v>1827</v>
      </c>
    </row>
    <row r="573" spans="2:25">
      <c r="B573" t="s">
        <v>1823</v>
      </c>
      <c r="C573" t="s" vm="39">
        <v>701</v>
      </c>
      <c r="D573" t="s">
        <v>1019</v>
      </c>
      <c r="E573" t="s">
        <v>485</v>
      </c>
      <c r="F573" t="s">
        <v>461</v>
      </c>
      <c r="G573" t="s">
        <v>473</v>
      </c>
      <c r="H573">
        <v>1</v>
      </c>
      <c r="I573" t="s">
        <v>456</v>
      </c>
      <c r="J573" t="s">
        <v>463</v>
      </c>
      <c r="K573">
        <v>1</v>
      </c>
      <c r="L573" t="s">
        <v>488</v>
      </c>
      <c r="M573" t="s">
        <v>492</v>
      </c>
      <c r="N573" t="s">
        <v>496</v>
      </c>
      <c r="O573" t="s">
        <v>453</v>
      </c>
      <c r="P573" t="s">
        <v>421</v>
      </c>
      <c r="Q573">
        <v>0</v>
      </c>
      <c r="R573" t="s">
        <v>159</v>
      </c>
      <c r="S573">
        <v>0</v>
      </c>
      <c r="T573" t="s">
        <v>402</v>
      </c>
      <c r="U573" t="s">
        <v>492</v>
      </c>
      <c r="V573" t="s">
        <v>1181</v>
      </c>
      <c r="W573" t="s">
        <v>399</v>
      </c>
      <c r="X573" t="s">
        <v>401</v>
      </c>
      <c r="Y573" t="s">
        <v>1827</v>
      </c>
    </row>
    <row r="574" spans="2:25">
      <c r="B574" t="s">
        <v>1823</v>
      </c>
      <c r="C574" t="s" vm="39">
        <v>701</v>
      </c>
      <c r="D574" t="s">
        <v>100</v>
      </c>
      <c r="E574" t="s">
        <v>485</v>
      </c>
      <c r="F574" t="s">
        <v>461</v>
      </c>
      <c r="G574" t="s">
        <v>473</v>
      </c>
      <c r="H574">
        <v>1</v>
      </c>
      <c r="I574" t="s">
        <v>456</v>
      </c>
      <c r="J574" t="s">
        <v>463</v>
      </c>
      <c r="K574">
        <v>2</v>
      </c>
      <c r="L574" t="s">
        <v>486</v>
      </c>
      <c r="M574" t="s">
        <v>556</v>
      </c>
      <c r="N574" t="s">
        <v>450</v>
      </c>
      <c r="O574" t="s">
        <v>453</v>
      </c>
      <c r="P574" t="s">
        <v>421</v>
      </c>
      <c r="Q574">
        <v>0</v>
      </c>
      <c r="R574" t="s">
        <v>159</v>
      </c>
      <c r="S574">
        <v>0</v>
      </c>
      <c r="T574" t="s">
        <v>402</v>
      </c>
      <c r="U574" t="s">
        <v>492</v>
      </c>
      <c r="V574" t="s">
        <v>1181</v>
      </c>
      <c r="W574" t="s">
        <v>399</v>
      </c>
      <c r="X574" t="s">
        <v>472</v>
      </c>
      <c r="Y574" t="s">
        <v>1825</v>
      </c>
    </row>
    <row r="575" spans="2:25">
      <c r="B575" t="s">
        <v>1823</v>
      </c>
      <c r="C575" t="s" vm="39">
        <v>701</v>
      </c>
      <c r="D575" t="s">
        <v>100</v>
      </c>
      <c r="E575" t="s">
        <v>485</v>
      </c>
      <c r="F575" t="s">
        <v>461</v>
      </c>
      <c r="G575" t="s">
        <v>473</v>
      </c>
      <c r="H575">
        <v>1</v>
      </c>
      <c r="I575" t="s">
        <v>456</v>
      </c>
      <c r="J575" t="s">
        <v>463</v>
      </c>
      <c r="K575">
        <v>2</v>
      </c>
      <c r="L575" t="s">
        <v>486</v>
      </c>
      <c r="M575" t="s">
        <v>556</v>
      </c>
      <c r="N575" t="s">
        <v>450</v>
      </c>
      <c r="O575" t="s">
        <v>453</v>
      </c>
      <c r="P575" t="s">
        <v>421</v>
      </c>
      <c r="Q575">
        <v>0</v>
      </c>
      <c r="R575" t="s">
        <v>159</v>
      </c>
      <c r="S575">
        <v>0</v>
      </c>
      <c r="T575" t="s">
        <v>402</v>
      </c>
      <c r="U575" t="s">
        <v>492</v>
      </c>
      <c r="V575" t="s">
        <v>1181</v>
      </c>
      <c r="W575" t="s">
        <v>399</v>
      </c>
      <c r="X575" t="s">
        <v>472</v>
      </c>
      <c r="Y575" t="s">
        <v>1825</v>
      </c>
    </row>
    <row r="576" spans="2:25">
      <c r="B576" t="s">
        <v>1823</v>
      </c>
      <c r="C576" t="s" vm="39">
        <v>701</v>
      </c>
      <c r="D576" t="s">
        <v>100</v>
      </c>
      <c r="E576" t="s">
        <v>485</v>
      </c>
      <c r="F576" t="s">
        <v>461</v>
      </c>
      <c r="G576" t="s">
        <v>473</v>
      </c>
      <c r="H576">
        <v>1</v>
      </c>
      <c r="I576" t="s">
        <v>456</v>
      </c>
      <c r="J576" t="s">
        <v>463</v>
      </c>
      <c r="K576">
        <v>2</v>
      </c>
      <c r="L576" t="s">
        <v>486</v>
      </c>
      <c r="M576" t="s">
        <v>556</v>
      </c>
      <c r="N576" t="s">
        <v>450</v>
      </c>
      <c r="O576" t="s">
        <v>453</v>
      </c>
      <c r="P576" t="s">
        <v>421</v>
      </c>
      <c r="Q576">
        <v>0</v>
      </c>
      <c r="R576" t="s">
        <v>159</v>
      </c>
      <c r="S576">
        <v>0</v>
      </c>
      <c r="T576" t="s">
        <v>402</v>
      </c>
      <c r="U576" t="s">
        <v>492</v>
      </c>
      <c r="V576" t="s">
        <v>1181</v>
      </c>
      <c r="W576" t="s">
        <v>399</v>
      </c>
      <c r="X576" t="s">
        <v>472</v>
      </c>
      <c r="Y576" t="s">
        <v>1825</v>
      </c>
    </row>
    <row r="577" spans="2:25">
      <c r="B577" t="s">
        <v>1823</v>
      </c>
      <c r="C577" t="s" vm="39">
        <v>701</v>
      </c>
      <c r="D577" t="s">
        <v>100</v>
      </c>
      <c r="E577" t="s">
        <v>485</v>
      </c>
      <c r="F577" t="s">
        <v>461</v>
      </c>
      <c r="G577" t="s">
        <v>473</v>
      </c>
      <c r="H577">
        <v>1</v>
      </c>
      <c r="I577" t="s">
        <v>456</v>
      </c>
      <c r="J577" t="s">
        <v>463</v>
      </c>
      <c r="K577">
        <v>2</v>
      </c>
      <c r="L577" t="s">
        <v>486</v>
      </c>
      <c r="M577" t="s">
        <v>556</v>
      </c>
      <c r="N577" t="s">
        <v>450</v>
      </c>
      <c r="O577" t="s">
        <v>453</v>
      </c>
      <c r="P577" t="s">
        <v>421</v>
      </c>
      <c r="Q577">
        <v>0</v>
      </c>
      <c r="R577" t="s">
        <v>159</v>
      </c>
      <c r="S577">
        <v>0</v>
      </c>
      <c r="T577" t="s">
        <v>402</v>
      </c>
      <c r="U577" t="s">
        <v>492</v>
      </c>
      <c r="V577" t="s">
        <v>1181</v>
      </c>
      <c r="W577" t="s">
        <v>399</v>
      </c>
      <c r="X577" t="s">
        <v>472</v>
      </c>
      <c r="Y577" t="s">
        <v>1825</v>
      </c>
    </row>
    <row r="578" spans="2:25">
      <c r="B578" t="s">
        <v>1823</v>
      </c>
      <c r="C578" t="s" vm="39">
        <v>701</v>
      </c>
      <c r="D578" t="s">
        <v>100</v>
      </c>
      <c r="E578" t="s">
        <v>485</v>
      </c>
      <c r="F578" t="s">
        <v>461</v>
      </c>
      <c r="G578" t="s">
        <v>473</v>
      </c>
      <c r="H578">
        <v>1</v>
      </c>
      <c r="I578" t="s">
        <v>456</v>
      </c>
      <c r="J578" t="s">
        <v>463</v>
      </c>
      <c r="K578">
        <v>2</v>
      </c>
      <c r="L578" t="s">
        <v>486</v>
      </c>
      <c r="M578" t="s">
        <v>556</v>
      </c>
      <c r="N578" t="s">
        <v>450</v>
      </c>
      <c r="O578" t="s">
        <v>453</v>
      </c>
      <c r="P578" t="s">
        <v>421</v>
      </c>
      <c r="Q578">
        <v>0</v>
      </c>
      <c r="R578" t="s">
        <v>159</v>
      </c>
      <c r="S578">
        <v>0</v>
      </c>
      <c r="T578" t="s">
        <v>402</v>
      </c>
      <c r="U578" t="s">
        <v>492</v>
      </c>
      <c r="V578" t="s">
        <v>1181</v>
      </c>
      <c r="W578" t="s">
        <v>399</v>
      </c>
      <c r="X578" t="s">
        <v>472</v>
      </c>
      <c r="Y578" t="s">
        <v>1826</v>
      </c>
    </row>
    <row r="579" spans="2:25">
      <c r="B579" t="s">
        <v>1823</v>
      </c>
      <c r="C579" t="s" vm="39">
        <v>701</v>
      </c>
      <c r="D579" t="s">
        <v>100</v>
      </c>
      <c r="E579" t="s">
        <v>485</v>
      </c>
      <c r="F579" t="s">
        <v>461</v>
      </c>
      <c r="G579" t="s">
        <v>473</v>
      </c>
      <c r="H579">
        <v>1</v>
      </c>
      <c r="I579" t="s">
        <v>456</v>
      </c>
      <c r="J579" t="s">
        <v>463</v>
      </c>
      <c r="K579">
        <v>2</v>
      </c>
      <c r="L579" t="s">
        <v>486</v>
      </c>
      <c r="M579" t="s">
        <v>556</v>
      </c>
      <c r="N579" t="s">
        <v>450</v>
      </c>
      <c r="O579" t="s">
        <v>453</v>
      </c>
      <c r="P579" t="s">
        <v>421</v>
      </c>
      <c r="Q579">
        <v>0</v>
      </c>
      <c r="R579" t="s">
        <v>159</v>
      </c>
      <c r="S579">
        <v>0</v>
      </c>
      <c r="T579" t="s">
        <v>402</v>
      </c>
      <c r="U579" t="s">
        <v>492</v>
      </c>
      <c r="V579" t="s">
        <v>1181</v>
      </c>
      <c r="W579" t="s">
        <v>399</v>
      </c>
      <c r="X579" t="s">
        <v>472</v>
      </c>
      <c r="Y579" t="s">
        <v>1825</v>
      </c>
    </row>
    <row r="580" spans="2:25">
      <c r="B580" t="s">
        <v>1823</v>
      </c>
      <c r="C580" t="s" vm="39">
        <v>701</v>
      </c>
      <c r="D580" t="s">
        <v>100</v>
      </c>
      <c r="E580" t="s">
        <v>485</v>
      </c>
      <c r="F580" t="s">
        <v>461</v>
      </c>
      <c r="G580" t="s">
        <v>473</v>
      </c>
      <c r="H580">
        <v>1</v>
      </c>
      <c r="I580" t="s">
        <v>456</v>
      </c>
      <c r="J580" t="s">
        <v>463</v>
      </c>
      <c r="K580">
        <v>2</v>
      </c>
      <c r="L580" t="s">
        <v>486</v>
      </c>
      <c r="M580" t="s">
        <v>556</v>
      </c>
      <c r="N580" t="s">
        <v>450</v>
      </c>
      <c r="O580" t="s">
        <v>453</v>
      </c>
      <c r="P580" t="s">
        <v>421</v>
      </c>
      <c r="Q580">
        <v>0</v>
      </c>
      <c r="R580" t="s">
        <v>159</v>
      </c>
      <c r="S580">
        <v>0</v>
      </c>
      <c r="T580" t="s">
        <v>402</v>
      </c>
      <c r="U580" t="s">
        <v>492</v>
      </c>
      <c r="V580" t="s">
        <v>1181</v>
      </c>
      <c r="W580" t="s">
        <v>399</v>
      </c>
      <c r="X580" t="s">
        <v>472</v>
      </c>
      <c r="Y580" t="s">
        <v>1825</v>
      </c>
    </row>
    <row r="581" spans="2:25">
      <c r="B581" t="s">
        <v>1823</v>
      </c>
      <c r="C581" t="s" vm="39">
        <v>701</v>
      </c>
      <c r="D581" t="s">
        <v>100</v>
      </c>
      <c r="E581" t="s">
        <v>485</v>
      </c>
      <c r="F581" t="s">
        <v>461</v>
      </c>
      <c r="G581" t="s">
        <v>473</v>
      </c>
      <c r="H581">
        <v>1</v>
      </c>
      <c r="I581" t="s">
        <v>456</v>
      </c>
      <c r="J581" t="s">
        <v>463</v>
      </c>
      <c r="K581">
        <v>2</v>
      </c>
      <c r="L581" t="s">
        <v>486</v>
      </c>
      <c r="M581" t="s">
        <v>556</v>
      </c>
      <c r="N581" t="s">
        <v>450</v>
      </c>
      <c r="O581" t="s">
        <v>453</v>
      </c>
      <c r="P581" t="s">
        <v>421</v>
      </c>
      <c r="Q581">
        <v>0</v>
      </c>
      <c r="R581" t="s">
        <v>159</v>
      </c>
      <c r="S581">
        <v>0</v>
      </c>
      <c r="T581" t="s">
        <v>402</v>
      </c>
      <c r="U581" t="s">
        <v>492</v>
      </c>
      <c r="V581" t="s">
        <v>1181</v>
      </c>
      <c r="W581" t="s">
        <v>399</v>
      </c>
      <c r="X581" t="s">
        <v>472</v>
      </c>
      <c r="Y581" t="s">
        <v>1825</v>
      </c>
    </row>
    <row r="582" spans="2:25">
      <c r="B582" t="s">
        <v>1823</v>
      </c>
      <c r="C582" t="s" vm="39">
        <v>701</v>
      </c>
      <c r="D582" t="s">
        <v>100</v>
      </c>
      <c r="E582" t="s">
        <v>485</v>
      </c>
      <c r="F582" t="s">
        <v>461</v>
      </c>
      <c r="G582" t="s">
        <v>487</v>
      </c>
      <c r="H582">
        <v>1</v>
      </c>
      <c r="I582" t="s">
        <v>456</v>
      </c>
      <c r="J582" t="s">
        <v>463</v>
      </c>
      <c r="K582">
        <v>2</v>
      </c>
      <c r="L582" t="s">
        <v>486</v>
      </c>
      <c r="M582" t="s">
        <v>556</v>
      </c>
      <c r="N582" t="s">
        <v>450</v>
      </c>
      <c r="O582" t="s">
        <v>453</v>
      </c>
      <c r="P582" t="s">
        <v>421</v>
      </c>
      <c r="Q582">
        <v>0</v>
      </c>
      <c r="R582" t="s">
        <v>159</v>
      </c>
      <c r="S582">
        <v>0</v>
      </c>
      <c r="T582" t="s">
        <v>402</v>
      </c>
      <c r="U582" t="s">
        <v>492</v>
      </c>
      <c r="V582" t="s">
        <v>1181</v>
      </c>
      <c r="W582" t="s">
        <v>399</v>
      </c>
      <c r="X582" t="s">
        <v>472</v>
      </c>
      <c r="Y582" t="s">
        <v>1824</v>
      </c>
    </row>
    <row r="583" spans="2:25">
      <c r="B583" t="s">
        <v>1821</v>
      </c>
      <c r="C583" t="s" vm="39">
        <v>701</v>
      </c>
      <c r="D583" t="s">
        <v>100</v>
      </c>
      <c r="E583" t="s">
        <v>485</v>
      </c>
      <c r="F583" t="s">
        <v>461</v>
      </c>
      <c r="G583" t="s">
        <v>487</v>
      </c>
      <c r="H583" t="s">
        <v>123</v>
      </c>
      <c r="I583" t="s">
        <v>458</v>
      </c>
      <c r="J583" t="s">
        <v>463</v>
      </c>
      <c r="K583">
        <v>2</v>
      </c>
      <c r="L583" t="s">
        <v>486</v>
      </c>
      <c r="M583" t="s">
        <v>556</v>
      </c>
      <c r="N583" t="s">
        <v>450</v>
      </c>
      <c r="O583" t="s">
        <v>453</v>
      </c>
      <c r="P583" t="s">
        <v>421</v>
      </c>
      <c r="Q583">
        <v>0</v>
      </c>
      <c r="R583" t="s">
        <v>159</v>
      </c>
      <c r="S583">
        <v>0</v>
      </c>
      <c r="T583" t="s">
        <v>1485</v>
      </c>
      <c r="U583" t="s">
        <v>492</v>
      </c>
      <c r="V583" t="s">
        <v>1181</v>
      </c>
      <c r="W583" t="s">
        <v>399</v>
      </c>
      <c r="X583" t="s">
        <v>472</v>
      </c>
      <c r="Y583" t="s">
        <v>1822</v>
      </c>
    </row>
    <row r="584" spans="2:25">
      <c r="B584" t="s">
        <v>1818</v>
      </c>
      <c r="C584" t="s" vm="39">
        <v>701</v>
      </c>
      <c r="D584" t="s">
        <v>100</v>
      </c>
      <c r="E584" t="s">
        <v>485</v>
      </c>
      <c r="F584" t="s">
        <v>461</v>
      </c>
      <c r="G584" t="s">
        <v>473</v>
      </c>
      <c r="H584">
        <v>1</v>
      </c>
      <c r="I584" t="s">
        <v>456</v>
      </c>
      <c r="J584" t="s">
        <v>463</v>
      </c>
      <c r="K584">
        <v>2</v>
      </c>
      <c r="L584" t="s">
        <v>486</v>
      </c>
      <c r="M584" t="s">
        <v>556</v>
      </c>
      <c r="N584" t="s">
        <v>450</v>
      </c>
      <c r="O584" t="s">
        <v>453</v>
      </c>
      <c r="P584" t="s">
        <v>421</v>
      </c>
      <c r="Q584">
        <v>0</v>
      </c>
      <c r="R584" t="s">
        <v>159</v>
      </c>
      <c r="S584">
        <v>0</v>
      </c>
      <c r="T584" t="s">
        <v>1516</v>
      </c>
      <c r="U584" t="s">
        <v>492</v>
      </c>
      <c r="V584" t="s">
        <v>1181</v>
      </c>
      <c r="W584" t="s">
        <v>477</v>
      </c>
      <c r="X584" t="s">
        <v>472</v>
      </c>
      <c r="Y584" t="s">
        <v>1819</v>
      </c>
    </row>
    <row r="585" spans="2:25">
      <c r="B585" t="s">
        <v>1811</v>
      </c>
      <c r="C585" t="s" vm="39">
        <v>701</v>
      </c>
      <c r="D585" t="s">
        <v>100</v>
      </c>
      <c r="E585" t="s">
        <v>485</v>
      </c>
      <c r="F585" t="s">
        <v>461</v>
      </c>
      <c r="G585" t="s">
        <v>487</v>
      </c>
      <c r="H585" t="s">
        <v>123</v>
      </c>
      <c r="I585" t="s">
        <v>458</v>
      </c>
      <c r="J585" t="s">
        <v>463</v>
      </c>
      <c r="K585">
        <v>2</v>
      </c>
      <c r="L585" t="s">
        <v>486</v>
      </c>
      <c r="M585" t="s">
        <v>556</v>
      </c>
      <c r="N585" t="s">
        <v>450</v>
      </c>
      <c r="O585" t="s">
        <v>453</v>
      </c>
      <c r="P585" t="s">
        <v>158</v>
      </c>
      <c r="Q585">
        <v>8</v>
      </c>
      <c r="R585" t="s">
        <v>1494</v>
      </c>
      <c r="S585">
        <v>8</v>
      </c>
      <c r="T585" t="s">
        <v>1516</v>
      </c>
      <c r="U585" t="s">
        <v>492</v>
      </c>
      <c r="V585" t="s">
        <v>1181</v>
      </c>
      <c r="W585" t="s">
        <v>399</v>
      </c>
      <c r="X585" t="s">
        <v>472</v>
      </c>
      <c r="Y585" t="s">
        <v>1817</v>
      </c>
    </row>
    <row r="586" spans="2:25">
      <c r="B586" t="s">
        <v>1811</v>
      </c>
      <c r="C586" t="s" vm="39">
        <v>701</v>
      </c>
      <c r="D586" t="s">
        <v>100</v>
      </c>
      <c r="E586" t="s">
        <v>485</v>
      </c>
      <c r="F586" t="s">
        <v>461</v>
      </c>
      <c r="G586" t="s">
        <v>487</v>
      </c>
      <c r="H586" t="s">
        <v>123</v>
      </c>
      <c r="I586" t="s">
        <v>456</v>
      </c>
      <c r="J586" t="s">
        <v>463</v>
      </c>
      <c r="K586">
        <v>2</v>
      </c>
      <c r="L586" t="s">
        <v>486</v>
      </c>
      <c r="M586" t="s">
        <v>556</v>
      </c>
      <c r="N586" t="s">
        <v>450</v>
      </c>
      <c r="O586" t="s">
        <v>453</v>
      </c>
      <c r="P586" t="s">
        <v>158</v>
      </c>
      <c r="Q586">
        <v>8</v>
      </c>
      <c r="R586" t="s">
        <v>416</v>
      </c>
      <c r="S586">
        <v>8</v>
      </c>
      <c r="T586" t="s">
        <v>1516</v>
      </c>
      <c r="U586" t="s">
        <v>492</v>
      </c>
      <c r="V586" t="s">
        <v>1181</v>
      </c>
      <c r="W586" t="s">
        <v>399</v>
      </c>
      <c r="X586" t="s">
        <v>472</v>
      </c>
      <c r="Y586" t="s">
        <v>1816</v>
      </c>
    </row>
    <row r="587" spans="2:25">
      <c r="B587" t="s">
        <v>1811</v>
      </c>
      <c r="C587" t="s" vm="39">
        <v>701</v>
      </c>
      <c r="D587" t="s">
        <v>100</v>
      </c>
      <c r="E587" t="s">
        <v>485</v>
      </c>
      <c r="F587" t="s">
        <v>461</v>
      </c>
      <c r="G587" t="s">
        <v>487</v>
      </c>
      <c r="H587" t="s">
        <v>123</v>
      </c>
      <c r="I587" t="s">
        <v>458</v>
      </c>
      <c r="J587" t="s">
        <v>463</v>
      </c>
      <c r="K587">
        <v>2</v>
      </c>
      <c r="L587" t="s">
        <v>486</v>
      </c>
      <c r="M587" t="s">
        <v>556</v>
      </c>
      <c r="N587" t="s">
        <v>450</v>
      </c>
      <c r="O587" t="s">
        <v>453</v>
      </c>
      <c r="P587" t="s">
        <v>158</v>
      </c>
      <c r="Q587">
        <v>8</v>
      </c>
      <c r="R587" t="s">
        <v>416</v>
      </c>
      <c r="S587">
        <v>8</v>
      </c>
      <c r="T587" t="s">
        <v>1516</v>
      </c>
      <c r="U587" t="s">
        <v>492</v>
      </c>
      <c r="V587" t="s">
        <v>1181</v>
      </c>
      <c r="W587" t="s">
        <v>399</v>
      </c>
      <c r="X587" t="s">
        <v>472</v>
      </c>
      <c r="Y587" t="s">
        <v>1815</v>
      </c>
    </row>
    <row r="588" spans="2:25">
      <c r="B588" t="s">
        <v>1811</v>
      </c>
      <c r="C588" t="s" vm="39">
        <v>701</v>
      </c>
      <c r="D588" t="s">
        <v>100</v>
      </c>
      <c r="E588" t="s">
        <v>485</v>
      </c>
      <c r="F588" t="s">
        <v>461</v>
      </c>
      <c r="G588" t="s">
        <v>473</v>
      </c>
      <c r="H588">
        <v>1</v>
      </c>
      <c r="I588" t="s">
        <v>456</v>
      </c>
      <c r="J588" t="s">
        <v>463</v>
      </c>
      <c r="K588">
        <v>2</v>
      </c>
      <c r="L588" t="s">
        <v>486</v>
      </c>
      <c r="M588" t="s">
        <v>556</v>
      </c>
      <c r="N588" t="s">
        <v>450</v>
      </c>
      <c r="O588" t="s">
        <v>453</v>
      </c>
      <c r="P588" t="s">
        <v>421</v>
      </c>
      <c r="Q588">
        <v>0</v>
      </c>
      <c r="R588" t="s">
        <v>159</v>
      </c>
      <c r="S588">
        <v>0</v>
      </c>
      <c r="T588" t="s">
        <v>1516</v>
      </c>
      <c r="U588" t="s">
        <v>492</v>
      </c>
      <c r="V588" t="s">
        <v>1181</v>
      </c>
      <c r="W588" t="s">
        <v>399</v>
      </c>
      <c r="X588" t="s">
        <v>472</v>
      </c>
      <c r="Y588" t="s">
        <v>1812</v>
      </c>
    </row>
    <row r="589" spans="2:25">
      <c r="B589" t="s">
        <v>1806</v>
      </c>
      <c r="C589" t="s" vm="39">
        <v>701</v>
      </c>
      <c r="D589" t="s">
        <v>100</v>
      </c>
      <c r="E589" t="s">
        <v>485</v>
      </c>
      <c r="F589" t="s">
        <v>461</v>
      </c>
      <c r="G589" t="s">
        <v>473</v>
      </c>
      <c r="H589">
        <v>2</v>
      </c>
      <c r="I589" t="s">
        <v>456</v>
      </c>
      <c r="J589" t="s">
        <v>463</v>
      </c>
      <c r="K589">
        <v>2</v>
      </c>
      <c r="L589" t="s">
        <v>486</v>
      </c>
      <c r="M589" t="s">
        <v>556</v>
      </c>
      <c r="N589" t="s">
        <v>450</v>
      </c>
      <c r="O589" t="s">
        <v>453</v>
      </c>
      <c r="P589" t="s">
        <v>421</v>
      </c>
      <c r="Q589">
        <v>0</v>
      </c>
      <c r="R589" t="s">
        <v>159</v>
      </c>
      <c r="S589">
        <v>0</v>
      </c>
      <c r="T589" t="s">
        <v>402</v>
      </c>
      <c r="U589" t="s">
        <v>492</v>
      </c>
      <c r="V589" t="s">
        <v>1181</v>
      </c>
      <c r="W589" t="s">
        <v>399</v>
      </c>
      <c r="X589" t="s">
        <v>401</v>
      </c>
      <c r="Y589" t="s">
        <v>1810</v>
      </c>
    </row>
    <row r="590" spans="2:25">
      <c r="B590" t="s">
        <v>1806</v>
      </c>
      <c r="C590" t="s" vm="39">
        <v>701</v>
      </c>
      <c r="D590" t="s">
        <v>100</v>
      </c>
      <c r="E590" t="s">
        <v>485</v>
      </c>
      <c r="F590" t="s">
        <v>461</v>
      </c>
      <c r="G590" t="s">
        <v>473</v>
      </c>
      <c r="H590">
        <v>1</v>
      </c>
      <c r="I590" t="s">
        <v>458</v>
      </c>
      <c r="J590" t="s">
        <v>462</v>
      </c>
      <c r="K590">
        <v>2</v>
      </c>
      <c r="L590" t="s">
        <v>486</v>
      </c>
      <c r="M590" t="s">
        <v>556</v>
      </c>
      <c r="N590" t="s">
        <v>450</v>
      </c>
      <c r="O590" t="s">
        <v>453</v>
      </c>
      <c r="P590" t="s">
        <v>158</v>
      </c>
      <c r="Q590">
        <v>8</v>
      </c>
      <c r="R590" t="s">
        <v>416</v>
      </c>
      <c r="S590">
        <v>8</v>
      </c>
      <c r="T590" t="s">
        <v>1485</v>
      </c>
      <c r="U590" t="s">
        <v>492</v>
      </c>
      <c r="V590" t="s">
        <v>1181</v>
      </c>
      <c r="W590" t="s">
        <v>399</v>
      </c>
      <c r="X590" t="s">
        <v>470</v>
      </c>
      <c r="Y590" t="s">
        <v>1807</v>
      </c>
    </row>
    <row r="591" spans="2:25">
      <c r="B591" t="s">
        <v>1806</v>
      </c>
      <c r="C591" t="s" vm="34">
        <v>1386</v>
      </c>
      <c r="D591" t="s">
        <v>102</v>
      </c>
      <c r="E591" t="s">
        <v>485</v>
      </c>
      <c r="F591" t="s">
        <v>461</v>
      </c>
      <c r="G591" t="s">
        <v>473</v>
      </c>
      <c r="H591">
        <v>2</v>
      </c>
      <c r="I591" t="s">
        <v>456</v>
      </c>
      <c r="J591" t="s">
        <v>463</v>
      </c>
      <c r="K591">
        <v>2</v>
      </c>
      <c r="L591" t="s">
        <v>486</v>
      </c>
      <c r="M591" t="s">
        <v>556</v>
      </c>
      <c r="N591" t="s">
        <v>450</v>
      </c>
      <c r="O591" t="s">
        <v>453</v>
      </c>
      <c r="P591" t="s">
        <v>421</v>
      </c>
      <c r="Q591">
        <v>0</v>
      </c>
      <c r="R591" t="s">
        <v>159</v>
      </c>
      <c r="S591">
        <v>0</v>
      </c>
      <c r="T591" t="s">
        <v>1516</v>
      </c>
      <c r="U591" t="s">
        <v>492</v>
      </c>
      <c r="V591" t="s">
        <v>1181</v>
      </c>
      <c r="W591" t="s">
        <v>399</v>
      </c>
      <c r="X591" t="s">
        <v>472</v>
      </c>
      <c r="Y591" t="s">
        <v>1805</v>
      </c>
    </row>
    <row r="592" spans="2:25">
      <c r="B592" t="s">
        <v>1786</v>
      </c>
      <c r="C592" t="s" vm="34">
        <v>1386</v>
      </c>
      <c r="D592" t="s">
        <v>102</v>
      </c>
      <c r="E592" t="s">
        <v>485</v>
      </c>
      <c r="F592" t="s">
        <v>461</v>
      </c>
      <c r="G592" t="s">
        <v>473</v>
      </c>
      <c r="H592">
        <v>2</v>
      </c>
      <c r="I592" t="s">
        <v>456</v>
      </c>
      <c r="J592" t="s">
        <v>463</v>
      </c>
      <c r="K592">
        <v>2</v>
      </c>
      <c r="L592" t="s">
        <v>486</v>
      </c>
      <c r="M592" t="s">
        <v>556</v>
      </c>
      <c r="N592" t="s">
        <v>450</v>
      </c>
      <c r="O592" t="s">
        <v>453</v>
      </c>
      <c r="P592" t="s">
        <v>421</v>
      </c>
      <c r="Q592">
        <v>0</v>
      </c>
      <c r="R592" t="s">
        <v>159</v>
      </c>
      <c r="S592">
        <v>0</v>
      </c>
      <c r="T592" t="s">
        <v>1516</v>
      </c>
      <c r="U592" t="s">
        <v>492</v>
      </c>
      <c r="V592" t="s">
        <v>1181</v>
      </c>
      <c r="W592" t="s">
        <v>399</v>
      </c>
      <c r="X592" t="s">
        <v>472</v>
      </c>
      <c r="Y592" t="s">
        <v>1805</v>
      </c>
    </row>
    <row r="593" spans="2:25">
      <c r="B593" t="s">
        <v>1786</v>
      </c>
      <c r="C593" t="s" vm="34">
        <v>1386</v>
      </c>
      <c r="D593" t="s">
        <v>100</v>
      </c>
      <c r="E593" t="s">
        <v>485</v>
      </c>
      <c r="F593" t="s">
        <v>461</v>
      </c>
      <c r="G593" t="s">
        <v>473</v>
      </c>
      <c r="H593">
        <v>2</v>
      </c>
      <c r="I593" t="s">
        <v>456</v>
      </c>
      <c r="J593" t="s">
        <v>463</v>
      </c>
      <c r="K593">
        <v>2</v>
      </c>
      <c r="L593" t="s">
        <v>486</v>
      </c>
      <c r="M593" t="s">
        <v>556</v>
      </c>
      <c r="N593" t="s">
        <v>450</v>
      </c>
      <c r="O593" t="s">
        <v>453</v>
      </c>
      <c r="P593" t="s">
        <v>421</v>
      </c>
      <c r="Q593">
        <v>0</v>
      </c>
      <c r="R593" t="s">
        <v>159</v>
      </c>
      <c r="S593">
        <v>0</v>
      </c>
      <c r="T593" t="s">
        <v>1516</v>
      </c>
      <c r="U593" t="s">
        <v>492</v>
      </c>
      <c r="V593" t="s">
        <v>1181</v>
      </c>
      <c r="W593" t="s">
        <v>399</v>
      </c>
      <c r="X593" t="s">
        <v>472</v>
      </c>
      <c r="Y593" t="s">
        <v>1804</v>
      </c>
    </row>
    <row r="594" spans="2:25">
      <c r="B594" t="s">
        <v>1786</v>
      </c>
      <c r="C594" t="s" vm="34">
        <v>1386</v>
      </c>
      <c r="D594" t="s">
        <v>333</v>
      </c>
      <c r="E594" t="s">
        <v>485</v>
      </c>
      <c r="F594" t="s">
        <v>461</v>
      </c>
      <c r="G594" t="s">
        <v>473</v>
      </c>
      <c r="H594">
        <v>2</v>
      </c>
      <c r="I594" t="s">
        <v>456</v>
      </c>
      <c r="J594" t="s">
        <v>463</v>
      </c>
      <c r="K594">
        <v>2</v>
      </c>
      <c r="L594" t="s">
        <v>486</v>
      </c>
      <c r="M594" t="s">
        <v>556</v>
      </c>
      <c r="N594" t="s">
        <v>450</v>
      </c>
      <c r="O594" t="s">
        <v>453</v>
      </c>
      <c r="P594" t="s">
        <v>421</v>
      </c>
      <c r="Q594">
        <v>0</v>
      </c>
      <c r="R594" t="s">
        <v>159</v>
      </c>
      <c r="S594">
        <v>0</v>
      </c>
      <c r="T594" t="s">
        <v>1516</v>
      </c>
      <c r="U594" t="s">
        <v>492</v>
      </c>
      <c r="V594" t="s">
        <v>1181</v>
      </c>
      <c r="W594" t="s">
        <v>399</v>
      </c>
      <c r="X594" t="s">
        <v>472</v>
      </c>
      <c r="Y594" t="s">
        <v>1803</v>
      </c>
    </row>
    <row r="595" spans="2:25">
      <c r="B595" t="s">
        <v>1786</v>
      </c>
      <c r="C595" t="s" vm="34">
        <v>1386</v>
      </c>
      <c r="D595" t="s">
        <v>333</v>
      </c>
      <c r="E595" t="s">
        <v>485</v>
      </c>
      <c r="F595" t="s">
        <v>461</v>
      </c>
      <c r="G595" t="s">
        <v>473</v>
      </c>
      <c r="H595">
        <v>2</v>
      </c>
      <c r="I595" t="s">
        <v>456</v>
      </c>
      <c r="J595" t="s">
        <v>463</v>
      </c>
      <c r="K595">
        <v>2</v>
      </c>
      <c r="L595" t="s">
        <v>486</v>
      </c>
      <c r="M595" t="s">
        <v>556</v>
      </c>
      <c r="N595" t="s">
        <v>450</v>
      </c>
      <c r="O595" t="s">
        <v>453</v>
      </c>
      <c r="P595" t="s">
        <v>157</v>
      </c>
      <c r="Q595">
        <v>12</v>
      </c>
      <c r="R595" t="s">
        <v>419</v>
      </c>
      <c r="S595">
        <v>12</v>
      </c>
      <c r="T595" t="s">
        <v>1516</v>
      </c>
      <c r="U595" t="s">
        <v>492</v>
      </c>
      <c r="V595" t="s">
        <v>1181</v>
      </c>
      <c r="W595" t="s">
        <v>399</v>
      </c>
      <c r="X595" t="s">
        <v>472</v>
      </c>
      <c r="Y595" t="s">
        <v>1802</v>
      </c>
    </row>
    <row r="596" spans="2:25">
      <c r="B596" t="s">
        <v>1786</v>
      </c>
      <c r="C596" t="s" vm="34">
        <v>1386</v>
      </c>
      <c r="D596" t="s">
        <v>333</v>
      </c>
      <c r="E596" t="s">
        <v>485</v>
      </c>
      <c r="F596" t="s">
        <v>461</v>
      </c>
      <c r="G596" t="s">
        <v>473</v>
      </c>
      <c r="H596">
        <v>2</v>
      </c>
      <c r="I596" t="s">
        <v>458</v>
      </c>
      <c r="J596" t="s">
        <v>463</v>
      </c>
      <c r="K596">
        <v>2</v>
      </c>
      <c r="L596" t="s">
        <v>486</v>
      </c>
      <c r="M596" t="s">
        <v>1776</v>
      </c>
      <c r="N596" t="s">
        <v>450</v>
      </c>
      <c r="O596" t="s">
        <v>453</v>
      </c>
      <c r="P596" t="s">
        <v>157</v>
      </c>
      <c r="Q596">
        <v>12</v>
      </c>
      <c r="R596" t="s">
        <v>419</v>
      </c>
      <c r="S596">
        <v>12</v>
      </c>
      <c r="T596" t="s">
        <v>1516</v>
      </c>
      <c r="U596" t="s">
        <v>492</v>
      </c>
      <c r="V596" t="s">
        <v>1181</v>
      </c>
      <c r="W596" t="s">
        <v>399</v>
      </c>
      <c r="X596" t="s">
        <v>471</v>
      </c>
      <c r="Y596" t="s">
        <v>1801</v>
      </c>
    </row>
    <row r="597" spans="2:25">
      <c r="B597" t="s">
        <v>1786</v>
      </c>
      <c r="C597" t="s" vm="34">
        <v>1386</v>
      </c>
      <c r="D597" t="s">
        <v>333</v>
      </c>
      <c r="E597" t="s">
        <v>485</v>
      </c>
      <c r="F597" t="s">
        <v>461</v>
      </c>
      <c r="G597" t="s">
        <v>473</v>
      </c>
      <c r="H597">
        <v>2</v>
      </c>
      <c r="I597" t="s">
        <v>458</v>
      </c>
      <c r="J597" t="s">
        <v>463</v>
      </c>
      <c r="K597">
        <v>2</v>
      </c>
      <c r="L597" t="s">
        <v>486</v>
      </c>
      <c r="M597" t="s">
        <v>1776</v>
      </c>
      <c r="N597" t="s">
        <v>450</v>
      </c>
      <c r="O597" t="s">
        <v>453</v>
      </c>
      <c r="P597" t="s">
        <v>157</v>
      </c>
      <c r="Q597">
        <v>12</v>
      </c>
      <c r="R597" t="s">
        <v>419</v>
      </c>
      <c r="S597">
        <v>12</v>
      </c>
      <c r="T597" t="s">
        <v>1516</v>
      </c>
      <c r="U597" t="s">
        <v>492</v>
      </c>
      <c r="V597" t="s">
        <v>1181</v>
      </c>
      <c r="W597" t="s">
        <v>399</v>
      </c>
      <c r="X597" t="s">
        <v>471</v>
      </c>
      <c r="Y597" t="s">
        <v>1800</v>
      </c>
    </row>
    <row r="598" spans="2:25">
      <c r="B598" t="s">
        <v>1786</v>
      </c>
      <c r="C598" t="s" vm="34">
        <v>1386</v>
      </c>
      <c r="D598" t="s">
        <v>333</v>
      </c>
      <c r="E598" t="s">
        <v>485</v>
      </c>
      <c r="F598" t="s">
        <v>461</v>
      </c>
      <c r="G598" t="s">
        <v>473</v>
      </c>
      <c r="H598">
        <v>2</v>
      </c>
      <c r="I598" t="s">
        <v>458</v>
      </c>
      <c r="J598" t="s">
        <v>463</v>
      </c>
      <c r="K598">
        <v>2</v>
      </c>
      <c r="L598" t="s">
        <v>486</v>
      </c>
      <c r="M598" t="s">
        <v>1776</v>
      </c>
      <c r="N598" t="s">
        <v>450</v>
      </c>
      <c r="O598" t="s">
        <v>453</v>
      </c>
      <c r="P598" t="s">
        <v>157</v>
      </c>
      <c r="Q598">
        <v>12</v>
      </c>
      <c r="R598" t="s">
        <v>419</v>
      </c>
      <c r="S598">
        <v>12</v>
      </c>
      <c r="T598" t="s">
        <v>1516</v>
      </c>
      <c r="U598" t="s">
        <v>492</v>
      </c>
      <c r="V598" t="s">
        <v>1181</v>
      </c>
      <c r="W598" t="s">
        <v>399</v>
      </c>
      <c r="X598" t="s">
        <v>470</v>
      </c>
      <c r="Y598" t="s">
        <v>1799</v>
      </c>
    </row>
    <row r="599" spans="2:25">
      <c r="B599" t="s">
        <v>1786</v>
      </c>
      <c r="C599" t="s" vm="34">
        <v>1386</v>
      </c>
      <c r="D599" t="s">
        <v>333</v>
      </c>
      <c r="E599" t="s">
        <v>485</v>
      </c>
      <c r="F599" t="s">
        <v>461</v>
      </c>
      <c r="G599" t="s">
        <v>473</v>
      </c>
      <c r="H599">
        <v>2</v>
      </c>
      <c r="I599" t="s">
        <v>458</v>
      </c>
      <c r="J599" t="s">
        <v>463</v>
      </c>
      <c r="K599">
        <v>2</v>
      </c>
      <c r="L599" t="s">
        <v>486</v>
      </c>
      <c r="M599" t="s">
        <v>1776</v>
      </c>
      <c r="N599" t="s">
        <v>450</v>
      </c>
      <c r="O599" t="s">
        <v>453</v>
      </c>
      <c r="P599" t="s">
        <v>157</v>
      </c>
      <c r="Q599">
        <v>12</v>
      </c>
      <c r="R599" t="s">
        <v>419</v>
      </c>
      <c r="S599">
        <v>12</v>
      </c>
      <c r="T599" t="s">
        <v>1516</v>
      </c>
      <c r="U599" t="s">
        <v>492</v>
      </c>
      <c r="V599" t="s">
        <v>1181</v>
      </c>
      <c r="W599" t="s">
        <v>399</v>
      </c>
      <c r="X599" t="s">
        <v>401</v>
      </c>
      <c r="Y599" t="s">
        <v>1798</v>
      </c>
    </row>
    <row r="600" spans="2:25">
      <c r="B600" t="s">
        <v>1786</v>
      </c>
      <c r="C600" t="s" vm="34">
        <v>1386</v>
      </c>
      <c r="D600" t="s">
        <v>333</v>
      </c>
      <c r="E600" t="s">
        <v>485</v>
      </c>
      <c r="F600" t="s">
        <v>461</v>
      </c>
      <c r="G600" t="s">
        <v>473</v>
      </c>
      <c r="H600">
        <v>2</v>
      </c>
      <c r="I600" t="s">
        <v>458</v>
      </c>
      <c r="J600" t="s">
        <v>463</v>
      </c>
      <c r="K600">
        <v>2</v>
      </c>
      <c r="L600" t="s">
        <v>486</v>
      </c>
      <c r="M600" t="s">
        <v>1776</v>
      </c>
      <c r="N600" t="s">
        <v>450</v>
      </c>
      <c r="O600" t="s">
        <v>453</v>
      </c>
      <c r="P600" t="s">
        <v>157</v>
      </c>
      <c r="Q600">
        <v>12</v>
      </c>
      <c r="R600" t="s">
        <v>419</v>
      </c>
      <c r="S600">
        <v>0</v>
      </c>
      <c r="T600" t="s">
        <v>1516</v>
      </c>
      <c r="U600" t="s">
        <v>492</v>
      </c>
      <c r="V600" t="s">
        <v>1181</v>
      </c>
      <c r="W600" t="s">
        <v>399</v>
      </c>
      <c r="X600" t="s">
        <v>401</v>
      </c>
      <c r="Y600" t="s">
        <v>1797</v>
      </c>
    </row>
    <row r="601" spans="2:25">
      <c r="B601" t="s">
        <v>1786</v>
      </c>
      <c r="C601" t="s" vm="34">
        <v>1386</v>
      </c>
      <c r="D601" t="s">
        <v>333</v>
      </c>
      <c r="E601" t="s">
        <v>485</v>
      </c>
      <c r="F601" t="s">
        <v>461</v>
      </c>
      <c r="G601" t="s">
        <v>473</v>
      </c>
      <c r="H601">
        <v>2</v>
      </c>
      <c r="I601" t="s">
        <v>458</v>
      </c>
      <c r="J601" t="s">
        <v>463</v>
      </c>
      <c r="K601">
        <v>2</v>
      </c>
      <c r="L601" t="s">
        <v>486</v>
      </c>
      <c r="M601" t="s">
        <v>1776</v>
      </c>
      <c r="N601" t="s">
        <v>450</v>
      </c>
      <c r="O601" t="s">
        <v>453</v>
      </c>
      <c r="P601" t="s">
        <v>421</v>
      </c>
      <c r="Q601">
        <v>0</v>
      </c>
      <c r="R601" t="s">
        <v>159</v>
      </c>
      <c r="S601">
        <v>0</v>
      </c>
      <c r="T601" t="s">
        <v>1516</v>
      </c>
      <c r="U601" t="s">
        <v>492</v>
      </c>
      <c r="V601" t="s">
        <v>1181</v>
      </c>
      <c r="W601" t="s">
        <v>399</v>
      </c>
      <c r="X601" t="s">
        <v>401</v>
      </c>
      <c r="Y601" t="s">
        <v>1796</v>
      </c>
    </row>
    <row r="602" spans="2:25">
      <c r="B602" t="s">
        <v>1786</v>
      </c>
      <c r="C602" t="s" vm="34">
        <v>1386</v>
      </c>
      <c r="D602" t="s">
        <v>333</v>
      </c>
      <c r="E602" t="s">
        <v>485</v>
      </c>
      <c r="F602" t="s">
        <v>461</v>
      </c>
      <c r="G602" t="s">
        <v>473</v>
      </c>
      <c r="H602">
        <v>2</v>
      </c>
      <c r="I602" t="s">
        <v>458</v>
      </c>
      <c r="J602" t="s">
        <v>463</v>
      </c>
      <c r="K602">
        <v>2</v>
      </c>
      <c r="L602" t="s">
        <v>486</v>
      </c>
      <c r="M602" t="s">
        <v>1776</v>
      </c>
      <c r="N602" t="s">
        <v>450</v>
      </c>
      <c r="O602" t="s">
        <v>453</v>
      </c>
      <c r="P602" t="s">
        <v>421</v>
      </c>
      <c r="Q602">
        <v>0</v>
      </c>
      <c r="R602" t="s">
        <v>159</v>
      </c>
      <c r="S602">
        <v>0</v>
      </c>
      <c r="T602" t="s">
        <v>1516</v>
      </c>
      <c r="U602" t="s">
        <v>492</v>
      </c>
      <c r="V602" t="s">
        <v>1181</v>
      </c>
      <c r="W602" t="s">
        <v>399</v>
      </c>
      <c r="X602" t="s">
        <v>401</v>
      </c>
      <c r="Y602" t="s">
        <v>1796</v>
      </c>
    </row>
    <row r="603" spans="2:25">
      <c r="B603" t="s">
        <v>1786</v>
      </c>
      <c r="C603" t="s" vm="34">
        <v>1386</v>
      </c>
      <c r="D603" t="s">
        <v>333</v>
      </c>
      <c r="E603" t="s">
        <v>485</v>
      </c>
      <c r="F603" t="s">
        <v>461</v>
      </c>
      <c r="G603" t="s">
        <v>473</v>
      </c>
      <c r="H603">
        <v>2</v>
      </c>
      <c r="I603" t="s">
        <v>458</v>
      </c>
      <c r="J603" t="s">
        <v>463</v>
      </c>
      <c r="K603">
        <v>2</v>
      </c>
      <c r="L603" t="s">
        <v>486</v>
      </c>
      <c r="M603" t="s">
        <v>1776</v>
      </c>
      <c r="N603" t="s">
        <v>450</v>
      </c>
      <c r="O603" t="s">
        <v>453</v>
      </c>
      <c r="P603" t="s">
        <v>421</v>
      </c>
      <c r="Q603">
        <v>0</v>
      </c>
      <c r="R603" t="s">
        <v>159</v>
      </c>
      <c r="S603">
        <v>0</v>
      </c>
      <c r="T603" t="s">
        <v>1516</v>
      </c>
      <c r="U603" t="s">
        <v>492</v>
      </c>
      <c r="V603" t="s">
        <v>1181</v>
      </c>
      <c r="W603" t="s">
        <v>399</v>
      </c>
      <c r="X603" t="s">
        <v>401</v>
      </c>
      <c r="Y603" t="s">
        <v>1795</v>
      </c>
    </row>
    <row r="604" spans="2:25">
      <c r="B604" t="s">
        <v>1786</v>
      </c>
      <c r="C604" t="s" vm="34">
        <v>1386</v>
      </c>
      <c r="D604" t="s">
        <v>333</v>
      </c>
      <c r="E604" t="s">
        <v>485</v>
      </c>
      <c r="F604" t="s">
        <v>461</v>
      </c>
      <c r="G604" t="s">
        <v>473</v>
      </c>
      <c r="H604">
        <v>2</v>
      </c>
      <c r="I604" t="s">
        <v>458</v>
      </c>
      <c r="J604" t="s">
        <v>463</v>
      </c>
      <c r="K604">
        <v>2</v>
      </c>
      <c r="L604" t="s">
        <v>486</v>
      </c>
      <c r="M604" t="s">
        <v>1776</v>
      </c>
      <c r="N604" t="s">
        <v>450</v>
      </c>
      <c r="O604" t="s">
        <v>453</v>
      </c>
      <c r="P604" t="s">
        <v>421</v>
      </c>
      <c r="Q604">
        <v>0</v>
      </c>
      <c r="R604" t="s">
        <v>159</v>
      </c>
      <c r="S604">
        <v>0</v>
      </c>
      <c r="T604" t="s">
        <v>1516</v>
      </c>
      <c r="U604" t="s">
        <v>492</v>
      </c>
      <c r="V604" t="s">
        <v>1181</v>
      </c>
      <c r="W604" t="s">
        <v>399</v>
      </c>
      <c r="X604" t="s">
        <v>401</v>
      </c>
      <c r="Y604" t="s">
        <v>1794</v>
      </c>
    </row>
    <row r="605" spans="2:25">
      <c r="B605" t="s">
        <v>1786</v>
      </c>
      <c r="C605" t="s" vm="34">
        <v>1386</v>
      </c>
      <c r="D605" t="s">
        <v>100</v>
      </c>
      <c r="E605" t="s">
        <v>485</v>
      </c>
      <c r="F605" t="s">
        <v>461</v>
      </c>
      <c r="G605" t="s">
        <v>473</v>
      </c>
      <c r="H605">
        <v>1</v>
      </c>
      <c r="I605" t="s">
        <v>458</v>
      </c>
      <c r="J605" t="s">
        <v>463</v>
      </c>
      <c r="K605">
        <v>2</v>
      </c>
      <c r="L605" t="s">
        <v>486</v>
      </c>
      <c r="M605" t="s">
        <v>556</v>
      </c>
      <c r="N605" t="s">
        <v>450</v>
      </c>
      <c r="O605" t="s">
        <v>453</v>
      </c>
      <c r="P605" t="s">
        <v>421</v>
      </c>
      <c r="Q605">
        <v>0</v>
      </c>
      <c r="R605" t="s">
        <v>159</v>
      </c>
      <c r="S605">
        <v>0</v>
      </c>
      <c r="T605" t="s">
        <v>1516</v>
      </c>
      <c r="U605" t="s">
        <v>492</v>
      </c>
      <c r="V605" t="s">
        <v>1181</v>
      </c>
      <c r="W605" t="s">
        <v>399</v>
      </c>
      <c r="X605" t="s">
        <v>472</v>
      </c>
      <c r="Y605" t="s">
        <v>1792</v>
      </c>
    </row>
    <row r="606" spans="2:25">
      <c r="B606" t="s">
        <v>1786</v>
      </c>
      <c r="C606" t="s" vm="34">
        <v>1386</v>
      </c>
      <c r="D606" t="s">
        <v>100</v>
      </c>
      <c r="E606" t="s">
        <v>485</v>
      </c>
      <c r="F606" t="s">
        <v>217</v>
      </c>
      <c r="G606" t="s">
        <v>473</v>
      </c>
      <c r="H606">
        <v>1</v>
      </c>
      <c r="I606" t="s">
        <v>458</v>
      </c>
      <c r="J606" t="s">
        <v>463</v>
      </c>
      <c r="K606">
        <v>2</v>
      </c>
      <c r="L606" t="s">
        <v>486</v>
      </c>
      <c r="M606" t="s">
        <v>556</v>
      </c>
      <c r="N606" t="s">
        <v>450</v>
      </c>
      <c r="O606" t="s">
        <v>453</v>
      </c>
      <c r="P606" t="s">
        <v>421</v>
      </c>
      <c r="Q606">
        <v>0</v>
      </c>
      <c r="R606" t="s">
        <v>159</v>
      </c>
      <c r="S606">
        <v>0</v>
      </c>
      <c r="T606" t="s">
        <v>1516</v>
      </c>
      <c r="U606" t="s">
        <v>492</v>
      </c>
      <c r="V606" t="s">
        <v>1181</v>
      </c>
      <c r="W606" t="s">
        <v>399</v>
      </c>
      <c r="X606" t="s">
        <v>472</v>
      </c>
      <c r="Y606" t="s">
        <v>1793</v>
      </c>
    </row>
    <row r="607" spans="2:25">
      <c r="B607" t="s">
        <v>1786</v>
      </c>
      <c r="C607" t="s" vm="34">
        <v>1386</v>
      </c>
      <c r="D607" t="s">
        <v>100</v>
      </c>
      <c r="E607" t="s">
        <v>485</v>
      </c>
      <c r="F607" t="s">
        <v>461</v>
      </c>
      <c r="G607" t="s">
        <v>473</v>
      </c>
      <c r="H607">
        <v>1</v>
      </c>
      <c r="I607" t="s">
        <v>458</v>
      </c>
      <c r="J607" t="s">
        <v>463</v>
      </c>
      <c r="K607">
        <v>2</v>
      </c>
      <c r="L607" t="s">
        <v>486</v>
      </c>
      <c r="M607" t="s">
        <v>556</v>
      </c>
      <c r="N607" t="s">
        <v>450</v>
      </c>
      <c r="O607" t="s">
        <v>453</v>
      </c>
      <c r="P607" t="s">
        <v>421</v>
      </c>
      <c r="Q607">
        <v>0</v>
      </c>
      <c r="R607" t="s">
        <v>159</v>
      </c>
      <c r="S607">
        <v>0</v>
      </c>
      <c r="T607" t="s">
        <v>1516</v>
      </c>
      <c r="U607" t="s">
        <v>492</v>
      </c>
      <c r="V607" t="s">
        <v>1181</v>
      </c>
      <c r="W607" t="s">
        <v>399</v>
      </c>
      <c r="X607" t="s">
        <v>472</v>
      </c>
      <c r="Y607" t="s">
        <v>1792</v>
      </c>
    </row>
    <row r="608" spans="2:25">
      <c r="B608" t="s">
        <v>1786</v>
      </c>
      <c r="C608" t="s" vm="34">
        <v>1386</v>
      </c>
      <c r="D608" t="s">
        <v>100</v>
      </c>
      <c r="E608" t="s">
        <v>485</v>
      </c>
      <c r="F608" t="s">
        <v>217</v>
      </c>
      <c r="G608" t="s">
        <v>473</v>
      </c>
      <c r="H608">
        <v>1</v>
      </c>
      <c r="I608" t="s">
        <v>458</v>
      </c>
      <c r="J608" t="s">
        <v>463</v>
      </c>
      <c r="K608">
        <v>2</v>
      </c>
      <c r="L608" t="s">
        <v>486</v>
      </c>
      <c r="M608" t="s">
        <v>556</v>
      </c>
      <c r="N608" t="s">
        <v>450</v>
      </c>
      <c r="O608" t="s">
        <v>453</v>
      </c>
      <c r="P608" t="s">
        <v>421</v>
      </c>
      <c r="Q608">
        <v>0</v>
      </c>
      <c r="R608" t="s">
        <v>159</v>
      </c>
      <c r="S608">
        <v>0</v>
      </c>
      <c r="T608" t="s">
        <v>1516</v>
      </c>
      <c r="U608" t="s">
        <v>492</v>
      </c>
      <c r="V608" t="s">
        <v>1181</v>
      </c>
      <c r="W608" t="s">
        <v>399</v>
      </c>
      <c r="X608" t="s">
        <v>472</v>
      </c>
      <c r="Y608" t="s">
        <v>1793</v>
      </c>
    </row>
    <row r="609" spans="2:25">
      <c r="B609" t="s">
        <v>1786</v>
      </c>
      <c r="C609" t="s" vm="34">
        <v>1386</v>
      </c>
      <c r="D609" t="s">
        <v>100</v>
      </c>
      <c r="E609" t="s">
        <v>485</v>
      </c>
      <c r="F609" t="s">
        <v>461</v>
      </c>
      <c r="G609" t="s">
        <v>473</v>
      </c>
      <c r="H609">
        <v>1</v>
      </c>
      <c r="I609" t="s">
        <v>458</v>
      </c>
      <c r="J609" t="s">
        <v>463</v>
      </c>
      <c r="K609">
        <v>2</v>
      </c>
      <c r="L609" t="s">
        <v>486</v>
      </c>
      <c r="M609" t="s">
        <v>556</v>
      </c>
      <c r="N609" t="s">
        <v>450</v>
      </c>
      <c r="O609" t="s">
        <v>453</v>
      </c>
      <c r="P609" t="s">
        <v>421</v>
      </c>
      <c r="Q609">
        <v>0</v>
      </c>
      <c r="R609" t="s">
        <v>159</v>
      </c>
      <c r="S609">
        <v>0</v>
      </c>
      <c r="T609" t="s">
        <v>1516</v>
      </c>
      <c r="U609" t="s">
        <v>492</v>
      </c>
      <c r="V609" t="s">
        <v>1181</v>
      </c>
      <c r="W609" t="s">
        <v>399</v>
      </c>
      <c r="X609" t="s">
        <v>472</v>
      </c>
      <c r="Y609" t="s">
        <v>1792</v>
      </c>
    </row>
    <row r="610" spans="2:25">
      <c r="B610" t="s">
        <v>1786</v>
      </c>
      <c r="C610" t="s" vm="34">
        <v>1386</v>
      </c>
      <c r="D610" t="s">
        <v>333</v>
      </c>
      <c r="E610" t="s">
        <v>485</v>
      </c>
      <c r="F610" t="s">
        <v>461</v>
      </c>
      <c r="G610" t="s">
        <v>473</v>
      </c>
      <c r="H610">
        <v>2</v>
      </c>
      <c r="I610" t="s">
        <v>456</v>
      </c>
      <c r="J610" t="s">
        <v>463</v>
      </c>
      <c r="K610">
        <v>2</v>
      </c>
      <c r="L610" t="s">
        <v>486</v>
      </c>
      <c r="M610" t="s">
        <v>1022</v>
      </c>
      <c r="N610" t="s">
        <v>450</v>
      </c>
      <c r="O610" t="s">
        <v>453</v>
      </c>
      <c r="P610" t="s">
        <v>421</v>
      </c>
      <c r="Q610">
        <v>0</v>
      </c>
      <c r="R610" t="s">
        <v>159</v>
      </c>
      <c r="S610">
        <v>0</v>
      </c>
      <c r="T610" t="s">
        <v>1516</v>
      </c>
      <c r="U610" t="s">
        <v>492</v>
      </c>
      <c r="V610" t="s">
        <v>1181</v>
      </c>
      <c r="W610" t="s">
        <v>399</v>
      </c>
      <c r="X610" t="s">
        <v>401</v>
      </c>
      <c r="Y610" t="s">
        <v>1788</v>
      </c>
    </row>
    <row r="611" spans="2:25">
      <c r="B611" t="s">
        <v>1786</v>
      </c>
      <c r="C611" t="s" vm="34">
        <v>1386</v>
      </c>
      <c r="D611" t="s">
        <v>100</v>
      </c>
      <c r="E611" t="s">
        <v>485</v>
      </c>
      <c r="F611" t="s">
        <v>461</v>
      </c>
      <c r="G611" t="s">
        <v>473</v>
      </c>
      <c r="H611">
        <v>1</v>
      </c>
      <c r="I611" t="s">
        <v>456</v>
      </c>
      <c r="J611" t="s">
        <v>463</v>
      </c>
      <c r="K611">
        <v>2</v>
      </c>
      <c r="L611" t="s">
        <v>486</v>
      </c>
      <c r="M611" t="s">
        <v>556</v>
      </c>
      <c r="N611" t="s">
        <v>450</v>
      </c>
      <c r="O611" t="s">
        <v>453</v>
      </c>
      <c r="P611" t="s">
        <v>421</v>
      </c>
      <c r="Q611">
        <v>0</v>
      </c>
      <c r="R611" t="s">
        <v>159</v>
      </c>
      <c r="S611">
        <v>0</v>
      </c>
      <c r="T611" t="s">
        <v>1516</v>
      </c>
      <c r="U611" t="s">
        <v>492</v>
      </c>
      <c r="V611" t="s">
        <v>1181</v>
      </c>
      <c r="W611" t="s">
        <v>399</v>
      </c>
      <c r="X611" t="s">
        <v>472</v>
      </c>
      <c r="Y611" t="s">
        <v>1787</v>
      </c>
    </row>
    <row r="612" spans="2:25">
      <c r="B612" t="s">
        <v>1770</v>
      </c>
      <c r="C612" t="s" vm="34">
        <v>1386</v>
      </c>
      <c r="D612" t="s">
        <v>333</v>
      </c>
      <c r="E612" t="s">
        <v>485</v>
      </c>
      <c r="F612" t="s">
        <v>461</v>
      </c>
      <c r="G612" t="s">
        <v>473</v>
      </c>
      <c r="H612">
        <v>2</v>
      </c>
      <c r="I612" t="s">
        <v>456</v>
      </c>
      <c r="J612" t="s">
        <v>463</v>
      </c>
      <c r="K612">
        <v>2</v>
      </c>
      <c r="L612" t="s">
        <v>486</v>
      </c>
      <c r="M612" t="s">
        <v>1022</v>
      </c>
      <c r="N612" t="s">
        <v>450</v>
      </c>
      <c r="O612" t="s">
        <v>453</v>
      </c>
      <c r="P612" t="s">
        <v>421</v>
      </c>
      <c r="Q612">
        <v>0</v>
      </c>
      <c r="R612" t="s">
        <v>159</v>
      </c>
      <c r="S612">
        <v>0</v>
      </c>
      <c r="T612" t="s">
        <v>1516</v>
      </c>
      <c r="U612" t="s">
        <v>492</v>
      </c>
      <c r="V612" t="s">
        <v>1181</v>
      </c>
      <c r="W612" t="s">
        <v>399</v>
      </c>
      <c r="X612" t="s">
        <v>401</v>
      </c>
      <c r="Y612" t="s">
        <v>1785</v>
      </c>
    </row>
    <row r="613" spans="2:25">
      <c r="B613" t="s">
        <v>1770</v>
      </c>
      <c r="C613" t="s" vm="34">
        <v>1386</v>
      </c>
      <c r="D613" t="s">
        <v>333</v>
      </c>
      <c r="E613" t="s">
        <v>485</v>
      </c>
      <c r="F613" t="s">
        <v>461</v>
      </c>
      <c r="G613" t="s">
        <v>473</v>
      </c>
      <c r="H613">
        <v>2</v>
      </c>
      <c r="I613" t="s">
        <v>456</v>
      </c>
      <c r="J613" t="s">
        <v>463</v>
      </c>
      <c r="K613">
        <v>2</v>
      </c>
      <c r="L613" t="s">
        <v>486</v>
      </c>
      <c r="M613" t="s">
        <v>1022</v>
      </c>
      <c r="N613" t="s">
        <v>450</v>
      </c>
      <c r="O613" t="s">
        <v>453</v>
      </c>
      <c r="P613" t="s">
        <v>421</v>
      </c>
      <c r="Q613">
        <v>0</v>
      </c>
      <c r="R613" t="s">
        <v>159</v>
      </c>
      <c r="S613">
        <v>0</v>
      </c>
      <c r="T613" t="s">
        <v>1516</v>
      </c>
      <c r="U613" t="s">
        <v>492</v>
      </c>
      <c r="V613" t="s">
        <v>1181</v>
      </c>
      <c r="W613" t="s">
        <v>399</v>
      </c>
      <c r="X613" t="s">
        <v>401</v>
      </c>
      <c r="Y613" t="s">
        <v>1784</v>
      </c>
    </row>
    <row r="614" spans="2:25">
      <c r="B614" t="s">
        <v>1770</v>
      </c>
      <c r="C614" t="s" vm="34">
        <v>1386</v>
      </c>
      <c r="D614" t="s">
        <v>100</v>
      </c>
      <c r="E614" t="s">
        <v>485</v>
      </c>
      <c r="F614" t="s">
        <v>461</v>
      </c>
      <c r="G614" t="s">
        <v>473</v>
      </c>
      <c r="H614">
        <v>1</v>
      </c>
      <c r="I614" t="s">
        <v>460</v>
      </c>
      <c r="J614" t="s">
        <v>463</v>
      </c>
      <c r="K614">
        <v>2</v>
      </c>
      <c r="L614" t="s">
        <v>486</v>
      </c>
      <c r="M614" t="s">
        <v>1776</v>
      </c>
      <c r="N614" t="s">
        <v>450</v>
      </c>
      <c r="O614" t="s">
        <v>453</v>
      </c>
      <c r="P614" t="s">
        <v>158</v>
      </c>
      <c r="Q614">
        <v>8</v>
      </c>
      <c r="R614" t="s">
        <v>416</v>
      </c>
      <c r="S614">
        <v>8</v>
      </c>
      <c r="T614" t="s">
        <v>1516</v>
      </c>
      <c r="U614" t="s">
        <v>492</v>
      </c>
      <c r="V614" t="s">
        <v>1181</v>
      </c>
      <c r="W614" t="s">
        <v>399</v>
      </c>
      <c r="X614" t="s">
        <v>471</v>
      </c>
      <c r="Y614" t="s">
        <v>1783</v>
      </c>
    </row>
    <row r="615" spans="2:25">
      <c r="B615" t="s">
        <v>1770</v>
      </c>
      <c r="C615" t="s" vm="34">
        <v>1386</v>
      </c>
      <c r="D615" t="s">
        <v>100</v>
      </c>
      <c r="E615" t="s">
        <v>485</v>
      </c>
      <c r="F615" t="s">
        <v>461</v>
      </c>
      <c r="G615" t="s">
        <v>473</v>
      </c>
      <c r="H615">
        <v>1</v>
      </c>
      <c r="I615" t="s">
        <v>460</v>
      </c>
      <c r="J615" t="s">
        <v>463</v>
      </c>
      <c r="K615">
        <v>2</v>
      </c>
      <c r="L615" t="s">
        <v>486</v>
      </c>
      <c r="M615" t="s">
        <v>1776</v>
      </c>
      <c r="N615" t="s">
        <v>450</v>
      </c>
      <c r="O615" t="s">
        <v>453</v>
      </c>
      <c r="P615" t="s">
        <v>157</v>
      </c>
      <c r="Q615">
        <v>8</v>
      </c>
      <c r="R615" t="s">
        <v>1494</v>
      </c>
      <c r="S615">
        <v>8</v>
      </c>
      <c r="T615" t="s">
        <v>1516</v>
      </c>
      <c r="U615" t="s">
        <v>492</v>
      </c>
      <c r="V615" t="s">
        <v>1181</v>
      </c>
      <c r="W615" t="s">
        <v>399</v>
      </c>
      <c r="X615" t="s">
        <v>471</v>
      </c>
      <c r="Y615" t="s">
        <v>1782</v>
      </c>
    </row>
    <row r="616" spans="2:25">
      <c r="B616" t="s">
        <v>1770</v>
      </c>
      <c r="C616" t="s" vm="34">
        <v>1386</v>
      </c>
      <c r="D616" t="s">
        <v>100</v>
      </c>
      <c r="E616" t="s">
        <v>485</v>
      </c>
      <c r="F616" t="s">
        <v>461</v>
      </c>
      <c r="G616" t="s">
        <v>473</v>
      </c>
      <c r="H616">
        <v>1</v>
      </c>
      <c r="I616" t="s">
        <v>460</v>
      </c>
      <c r="J616" t="s">
        <v>463</v>
      </c>
      <c r="K616">
        <v>2</v>
      </c>
      <c r="L616" t="s">
        <v>486</v>
      </c>
      <c r="M616" t="s">
        <v>1776</v>
      </c>
      <c r="N616" t="s">
        <v>450</v>
      </c>
      <c r="O616" t="s">
        <v>453</v>
      </c>
      <c r="P616" t="s">
        <v>421</v>
      </c>
      <c r="Q616">
        <v>0</v>
      </c>
      <c r="R616" t="s">
        <v>159</v>
      </c>
      <c r="S616">
        <v>0</v>
      </c>
      <c r="T616" t="s">
        <v>1516</v>
      </c>
      <c r="U616" t="s">
        <v>492</v>
      </c>
      <c r="V616" t="s">
        <v>1181</v>
      </c>
      <c r="W616" t="s">
        <v>399</v>
      </c>
      <c r="X616" t="s">
        <v>471</v>
      </c>
      <c r="Y616" t="s">
        <v>1781</v>
      </c>
    </row>
    <row r="617" spans="2:25">
      <c r="B617" t="s">
        <v>1770</v>
      </c>
      <c r="C617" t="s" vm="34">
        <v>1386</v>
      </c>
      <c r="D617" t="s">
        <v>100</v>
      </c>
      <c r="E617" t="s">
        <v>485</v>
      </c>
      <c r="F617" t="s">
        <v>461</v>
      </c>
      <c r="G617" t="s">
        <v>473</v>
      </c>
      <c r="H617">
        <v>1</v>
      </c>
      <c r="I617" t="s">
        <v>458</v>
      </c>
      <c r="J617" t="s">
        <v>463</v>
      </c>
      <c r="K617">
        <v>2</v>
      </c>
      <c r="L617" t="s">
        <v>486</v>
      </c>
      <c r="M617" t="s">
        <v>1776</v>
      </c>
      <c r="N617" t="s">
        <v>450</v>
      </c>
      <c r="O617" t="s">
        <v>453</v>
      </c>
      <c r="P617" t="s">
        <v>421</v>
      </c>
      <c r="Q617">
        <v>0</v>
      </c>
      <c r="R617" t="s">
        <v>159</v>
      </c>
      <c r="S617">
        <v>0</v>
      </c>
      <c r="T617" t="s">
        <v>1516</v>
      </c>
      <c r="U617" t="s">
        <v>492</v>
      </c>
      <c r="V617" t="s">
        <v>1181</v>
      </c>
      <c r="W617" t="s">
        <v>399</v>
      </c>
      <c r="X617" t="s">
        <v>471</v>
      </c>
      <c r="Y617" t="s">
        <v>1780</v>
      </c>
    </row>
    <row r="618" spans="2:25">
      <c r="B618" t="s">
        <v>1770</v>
      </c>
      <c r="C618" t="s" vm="34">
        <v>1386</v>
      </c>
      <c r="D618" t="s">
        <v>100</v>
      </c>
      <c r="E618" t="s">
        <v>485</v>
      </c>
      <c r="F618" t="s">
        <v>461</v>
      </c>
      <c r="G618" t="s">
        <v>473</v>
      </c>
      <c r="H618">
        <v>1</v>
      </c>
      <c r="I618" t="s">
        <v>458</v>
      </c>
      <c r="J618" t="s">
        <v>463</v>
      </c>
      <c r="K618">
        <v>2</v>
      </c>
      <c r="L618" t="s">
        <v>486</v>
      </c>
      <c r="M618" t="s">
        <v>1776</v>
      </c>
      <c r="N618" t="s">
        <v>450</v>
      </c>
      <c r="O618" t="s">
        <v>453</v>
      </c>
      <c r="P618" t="s">
        <v>421</v>
      </c>
      <c r="Q618">
        <v>0</v>
      </c>
      <c r="R618" t="s">
        <v>159</v>
      </c>
      <c r="S618">
        <v>0</v>
      </c>
      <c r="T618" t="s">
        <v>1516</v>
      </c>
      <c r="U618" t="s">
        <v>492</v>
      </c>
      <c r="V618" t="s">
        <v>1181</v>
      </c>
      <c r="W618" t="s">
        <v>399</v>
      </c>
      <c r="X618" t="s">
        <v>471</v>
      </c>
      <c r="Y618" t="s">
        <v>1777</v>
      </c>
    </row>
    <row r="619" spans="2:25">
      <c r="B619" t="s">
        <v>1770</v>
      </c>
      <c r="C619" t="s" vm="34">
        <v>1386</v>
      </c>
      <c r="D619" t="s">
        <v>102</v>
      </c>
      <c r="E619" t="s">
        <v>485</v>
      </c>
      <c r="F619" t="s">
        <v>461</v>
      </c>
      <c r="G619" t="s">
        <v>473</v>
      </c>
      <c r="H619">
        <v>2</v>
      </c>
      <c r="I619" t="s">
        <v>460</v>
      </c>
      <c r="J619" t="s">
        <v>462</v>
      </c>
      <c r="K619">
        <v>2</v>
      </c>
      <c r="L619" t="s">
        <v>486</v>
      </c>
      <c r="M619" t="s">
        <v>556</v>
      </c>
      <c r="N619" t="s">
        <v>450</v>
      </c>
      <c r="O619" t="s">
        <v>453</v>
      </c>
      <c r="P619" t="s">
        <v>157</v>
      </c>
      <c r="Q619">
        <v>12</v>
      </c>
      <c r="R619" t="s">
        <v>159</v>
      </c>
      <c r="S619">
        <v>0</v>
      </c>
      <c r="T619" t="s">
        <v>402</v>
      </c>
      <c r="U619" t="s">
        <v>492</v>
      </c>
      <c r="V619" t="s">
        <v>1181</v>
      </c>
      <c r="W619" t="s">
        <v>399</v>
      </c>
      <c r="X619" t="s">
        <v>401</v>
      </c>
      <c r="Y619" t="s">
        <v>1775</v>
      </c>
    </row>
    <row r="620" spans="2:25">
      <c r="B620" t="s">
        <v>1770</v>
      </c>
      <c r="C620" t="s" vm="34">
        <v>1386</v>
      </c>
      <c r="D620" t="s">
        <v>102</v>
      </c>
      <c r="E620" t="s">
        <v>485</v>
      </c>
      <c r="F620" t="s">
        <v>461</v>
      </c>
      <c r="G620" t="s">
        <v>473</v>
      </c>
      <c r="H620">
        <v>2</v>
      </c>
      <c r="I620" t="s">
        <v>460</v>
      </c>
      <c r="J620" t="s">
        <v>462</v>
      </c>
      <c r="K620">
        <v>2</v>
      </c>
      <c r="L620" t="s">
        <v>486</v>
      </c>
      <c r="M620" t="s">
        <v>556</v>
      </c>
      <c r="N620" t="s">
        <v>450</v>
      </c>
      <c r="O620" t="s">
        <v>453</v>
      </c>
      <c r="P620" t="s">
        <v>157</v>
      </c>
      <c r="Q620">
        <v>12</v>
      </c>
      <c r="R620" t="s">
        <v>159</v>
      </c>
      <c r="S620">
        <v>0</v>
      </c>
      <c r="T620" t="s">
        <v>402</v>
      </c>
      <c r="U620" t="s">
        <v>492</v>
      </c>
      <c r="V620" t="s">
        <v>1181</v>
      </c>
      <c r="W620" t="s">
        <v>399</v>
      </c>
      <c r="X620" t="s">
        <v>401</v>
      </c>
      <c r="Y620" t="s">
        <v>1774</v>
      </c>
    </row>
    <row r="621" spans="2:25">
      <c r="B621" t="s">
        <v>1770</v>
      </c>
      <c r="C621" t="s" vm="34">
        <v>1386</v>
      </c>
      <c r="D621" t="s">
        <v>102</v>
      </c>
      <c r="E621" t="s">
        <v>485</v>
      </c>
      <c r="F621" t="s">
        <v>461</v>
      </c>
      <c r="G621" t="s">
        <v>473</v>
      </c>
      <c r="H621">
        <v>2</v>
      </c>
      <c r="I621" t="s">
        <v>460</v>
      </c>
      <c r="J621" t="s">
        <v>462</v>
      </c>
      <c r="K621">
        <v>2</v>
      </c>
      <c r="L621" t="s">
        <v>486</v>
      </c>
      <c r="M621" t="s">
        <v>556</v>
      </c>
      <c r="N621" t="s">
        <v>450</v>
      </c>
      <c r="O621" t="s">
        <v>453</v>
      </c>
      <c r="P621" t="s">
        <v>157</v>
      </c>
      <c r="Q621">
        <v>12</v>
      </c>
      <c r="R621" t="s">
        <v>159</v>
      </c>
      <c r="S621">
        <v>0</v>
      </c>
      <c r="T621" t="s">
        <v>402</v>
      </c>
      <c r="U621" t="s">
        <v>492</v>
      </c>
      <c r="V621" t="s">
        <v>1181</v>
      </c>
      <c r="W621" t="s">
        <v>399</v>
      </c>
      <c r="X621" t="s">
        <v>401</v>
      </c>
      <c r="Y621" t="s">
        <v>1773</v>
      </c>
    </row>
    <row r="622" spans="2:25">
      <c r="B622" t="s">
        <v>1770</v>
      </c>
      <c r="C622" t="s" vm="34">
        <v>1386</v>
      </c>
      <c r="D622" t="s">
        <v>102</v>
      </c>
      <c r="E622" t="s">
        <v>485</v>
      </c>
      <c r="F622" t="s">
        <v>461</v>
      </c>
      <c r="G622" t="s">
        <v>473</v>
      </c>
      <c r="H622">
        <v>2</v>
      </c>
      <c r="I622" t="s">
        <v>460</v>
      </c>
      <c r="J622" t="s">
        <v>462</v>
      </c>
      <c r="K622">
        <v>2</v>
      </c>
      <c r="L622" t="s">
        <v>486</v>
      </c>
      <c r="M622" t="s">
        <v>556</v>
      </c>
      <c r="N622" t="s">
        <v>450</v>
      </c>
      <c r="O622" t="s">
        <v>453</v>
      </c>
      <c r="P622" t="s">
        <v>157</v>
      </c>
      <c r="Q622">
        <v>12</v>
      </c>
      <c r="R622" t="s">
        <v>159</v>
      </c>
      <c r="S622">
        <v>0</v>
      </c>
      <c r="T622" t="s">
        <v>402</v>
      </c>
      <c r="U622" t="s">
        <v>492</v>
      </c>
      <c r="V622" t="s">
        <v>1181</v>
      </c>
      <c r="W622" t="s">
        <v>399</v>
      </c>
      <c r="X622" t="s">
        <v>401</v>
      </c>
      <c r="Y622" t="s">
        <v>1772</v>
      </c>
    </row>
    <row r="623" spans="2:25">
      <c r="B623" t="s">
        <v>1770</v>
      </c>
      <c r="C623" t="s" vm="34">
        <v>1386</v>
      </c>
      <c r="D623" t="s">
        <v>102</v>
      </c>
      <c r="E623" t="s">
        <v>485</v>
      </c>
      <c r="F623" t="s">
        <v>461</v>
      </c>
      <c r="G623" t="s">
        <v>473</v>
      </c>
      <c r="H623">
        <v>2</v>
      </c>
      <c r="I623" t="s">
        <v>460</v>
      </c>
      <c r="J623" t="s">
        <v>462</v>
      </c>
      <c r="K623">
        <v>2</v>
      </c>
      <c r="L623" t="s">
        <v>486</v>
      </c>
      <c r="M623" t="s">
        <v>556</v>
      </c>
      <c r="N623" t="s">
        <v>450</v>
      </c>
      <c r="O623" t="s">
        <v>453</v>
      </c>
      <c r="P623" t="s">
        <v>157</v>
      </c>
      <c r="Q623">
        <v>12</v>
      </c>
      <c r="R623" t="s">
        <v>159</v>
      </c>
      <c r="S623">
        <v>0</v>
      </c>
      <c r="T623" t="s">
        <v>402</v>
      </c>
      <c r="U623" t="s">
        <v>492</v>
      </c>
      <c r="V623" t="s">
        <v>1181</v>
      </c>
      <c r="W623" t="s">
        <v>399</v>
      </c>
      <c r="X623" t="s">
        <v>401</v>
      </c>
      <c r="Y623" t="s">
        <v>1772</v>
      </c>
    </row>
    <row r="624" spans="2:25">
      <c r="B624" t="s">
        <v>1770</v>
      </c>
      <c r="C624" t="s" vm="34">
        <v>1386</v>
      </c>
      <c r="D624" t="s">
        <v>102</v>
      </c>
      <c r="E624" t="s">
        <v>485</v>
      </c>
      <c r="F624" t="s">
        <v>461</v>
      </c>
      <c r="G624" t="s">
        <v>473</v>
      </c>
      <c r="H624">
        <v>2</v>
      </c>
      <c r="I624" t="s">
        <v>460</v>
      </c>
      <c r="J624" t="s">
        <v>462</v>
      </c>
      <c r="K624">
        <v>2</v>
      </c>
      <c r="L624" t="s">
        <v>486</v>
      </c>
      <c r="M624" t="s">
        <v>556</v>
      </c>
      <c r="N624" t="s">
        <v>450</v>
      </c>
      <c r="O624" t="s">
        <v>453</v>
      </c>
      <c r="P624" t="s">
        <v>157</v>
      </c>
      <c r="Q624">
        <v>12</v>
      </c>
      <c r="R624" t="s">
        <v>159</v>
      </c>
      <c r="S624">
        <v>0</v>
      </c>
      <c r="T624" t="s">
        <v>402</v>
      </c>
      <c r="U624" t="s">
        <v>492</v>
      </c>
      <c r="V624" t="s">
        <v>1181</v>
      </c>
      <c r="W624" t="s">
        <v>399</v>
      </c>
      <c r="X624" t="s">
        <v>401</v>
      </c>
      <c r="Y624" t="s">
        <v>1771</v>
      </c>
    </row>
    <row r="625" spans="2:25">
      <c r="B625" t="s">
        <v>1765</v>
      </c>
      <c r="C625" t="s" vm="34">
        <v>1386</v>
      </c>
      <c r="D625" t="s">
        <v>102</v>
      </c>
      <c r="E625" t="s">
        <v>485</v>
      </c>
      <c r="F625" t="s">
        <v>461</v>
      </c>
      <c r="G625" t="s">
        <v>473</v>
      </c>
      <c r="H625">
        <v>2</v>
      </c>
      <c r="I625" t="s">
        <v>460</v>
      </c>
      <c r="J625" t="s">
        <v>462</v>
      </c>
      <c r="K625">
        <v>2</v>
      </c>
      <c r="L625" t="s">
        <v>486</v>
      </c>
      <c r="M625" t="s">
        <v>556</v>
      </c>
      <c r="N625" t="s">
        <v>450</v>
      </c>
      <c r="O625" t="s">
        <v>453</v>
      </c>
      <c r="P625" t="s">
        <v>157</v>
      </c>
      <c r="Q625">
        <v>12</v>
      </c>
      <c r="R625" t="s">
        <v>159</v>
      </c>
      <c r="S625">
        <v>0</v>
      </c>
      <c r="T625" t="s">
        <v>402</v>
      </c>
      <c r="U625" t="s">
        <v>492</v>
      </c>
      <c r="V625" t="s">
        <v>1181</v>
      </c>
      <c r="W625" t="s">
        <v>399</v>
      </c>
      <c r="X625" t="s">
        <v>401</v>
      </c>
      <c r="Y625" t="s">
        <v>1769</v>
      </c>
    </row>
    <row r="626" spans="2:25">
      <c r="B626" t="s">
        <v>1765</v>
      </c>
      <c r="C626" t="s" vm="34">
        <v>1386</v>
      </c>
      <c r="D626" t="s">
        <v>102</v>
      </c>
      <c r="E626" t="s">
        <v>485</v>
      </c>
      <c r="F626" t="s">
        <v>461</v>
      </c>
      <c r="G626" t="s">
        <v>473</v>
      </c>
      <c r="H626">
        <v>2</v>
      </c>
      <c r="I626" t="s">
        <v>460</v>
      </c>
      <c r="J626" t="s">
        <v>462</v>
      </c>
      <c r="K626">
        <v>2</v>
      </c>
      <c r="L626" t="s">
        <v>486</v>
      </c>
      <c r="M626" t="s">
        <v>556</v>
      </c>
      <c r="N626" t="s">
        <v>450</v>
      </c>
      <c r="O626" t="s">
        <v>453</v>
      </c>
      <c r="P626" t="s">
        <v>421</v>
      </c>
      <c r="Q626">
        <v>0</v>
      </c>
      <c r="R626" t="s">
        <v>159</v>
      </c>
      <c r="S626">
        <v>0</v>
      </c>
      <c r="T626" t="s">
        <v>402</v>
      </c>
      <c r="U626" t="s">
        <v>492</v>
      </c>
      <c r="V626" t="s">
        <v>1181</v>
      </c>
      <c r="W626" t="s">
        <v>399</v>
      </c>
      <c r="X626" t="s">
        <v>401</v>
      </c>
      <c r="Y626" t="s">
        <v>1768</v>
      </c>
    </row>
    <row r="627" spans="2:25">
      <c r="B627" t="s">
        <v>1765</v>
      </c>
      <c r="C627" t="s" vm="34">
        <v>1386</v>
      </c>
      <c r="D627" t="s">
        <v>100</v>
      </c>
      <c r="E627" t="s">
        <v>485</v>
      </c>
      <c r="F627" t="s">
        <v>461</v>
      </c>
      <c r="G627" t="s">
        <v>473</v>
      </c>
      <c r="H627">
        <v>1</v>
      </c>
      <c r="I627" t="s">
        <v>458</v>
      </c>
      <c r="J627" t="s">
        <v>462</v>
      </c>
      <c r="K627">
        <v>1</v>
      </c>
      <c r="L627" t="s">
        <v>486</v>
      </c>
      <c r="M627" t="s">
        <v>556</v>
      </c>
      <c r="N627" t="s">
        <v>450</v>
      </c>
      <c r="O627" t="s">
        <v>453</v>
      </c>
      <c r="P627" t="s">
        <v>421</v>
      </c>
      <c r="Q627">
        <v>0</v>
      </c>
      <c r="R627" t="s">
        <v>159</v>
      </c>
      <c r="S627">
        <v>0</v>
      </c>
      <c r="T627" t="s">
        <v>402</v>
      </c>
      <c r="U627" t="s">
        <v>492</v>
      </c>
      <c r="V627" t="s">
        <v>1181</v>
      </c>
      <c r="W627" t="s">
        <v>399</v>
      </c>
      <c r="X627" t="s">
        <v>472</v>
      </c>
      <c r="Y627" t="s">
        <v>1767</v>
      </c>
    </row>
    <row r="628" spans="2:25">
      <c r="B628" t="s">
        <v>1765</v>
      </c>
      <c r="C628" t="s" vm="34">
        <v>1386</v>
      </c>
      <c r="D628" t="s">
        <v>100</v>
      </c>
      <c r="E628" t="s">
        <v>485</v>
      </c>
      <c r="F628" t="s">
        <v>461</v>
      </c>
      <c r="G628" t="s">
        <v>473</v>
      </c>
      <c r="H628">
        <v>1</v>
      </c>
      <c r="I628" t="s">
        <v>458</v>
      </c>
      <c r="J628" t="s">
        <v>462</v>
      </c>
      <c r="K628">
        <v>1</v>
      </c>
      <c r="L628" t="s">
        <v>486</v>
      </c>
      <c r="M628" t="s">
        <v>556</v>
      </c>
      <c r="N628" t="s">
        <v>450</v>
      </c>
      <c r="O628" t="s">
        <v>453</v>
      </c>
      <c r="P628" t="s">
        <v>421</v>
      </c>
      <c r="Q628">
        <v>0</v>
      </c>
      <c r="R628" t="s">
        <v>159</v>
      </c>
      <c r="S628">
        <v>0</v>
      </c>
      <c r="T628" t="s">
        <v>402</v>
      </c>
      <c r="U628" t="s">
        <v>492</v>
      </c>
      <c r="V628" t="s">
        <v>1181</v>
      </c>
      <c r="W628" t="s">
        <v>399</v>
      </c>
      <c r="X628" t="s">
        <v>472</v>
      </c>
      <c r="Y628" t="s">
        <v>1767</v>
      </c>
    </row>
    <row r="629" spans="2:25">
      <c r="B629" t="s">
        <v>1765</v>
      </c>
      <c r="C629" t="s" vm="34">
        <v>1386</v>
      </c>
      <c r="D629" t="s">
        <v>100</v>
      </c>
      <c r="E629" t="s">
        <v>485</v>
      </c>
      <c r="F629" t="s">
        <v>461</v>
      </c>
      <c r="G629" t="s">
        <v>473</v>
      </c>
      <c r="H629">
        <v>1</v>
      </c>
      <c r="I629" t="s">
        <v>458</v>
      </c>
      <c r="J629" t="s">
        <v>463</v>
      </c>
      <c r="K629">
        <v>2</v>
      </c>
      <c r="L629" t="s">
        <v>486</v>
      </c>
      <c r="M629" t="s">
        <v>1762</v>
      </c>
      <c r="N629" t="s">
        <v>450</v>
      </c>
      <c r="O629" t="s">
        <v>453</v>
      </c>
      <c r="P629" t="s">
        <v>421</v>
      </c>
      <c r="Q629">
        <v>0</v>
      </c>
      <c r="R629" t="s">
        <v>159</v>
      </c>
      <c r="S629">
        <v>0</v>
      </c>
      <c r="T629" t="s">
        <v>1516</v>
      </c>
      <c r="U629" t="s">
        <v>492</v>
      </c>
      <c r="V629" t="s">
        <v>1181</v>
      </c>
      <c r="W629" t="s">
        <v>399</v>
      </c>
      <c r="X629" t="s">
        <v>470</v>
      </c>
      <c r="Y629" t="s">
        <v>1766</v>
      </c>
    </row>
    <row r="630" spans="2:25">
      <c r="B630" t="s">
        <v>1751</v>
      </c>
      <c r="C630" t="s" vm="34">
        <v>1386</v>
      </c>
      <c r="D630" t="s">
        <v>100</v>
      </c>
      <c r="E630" t="s">
        <v>485</v>
      </c>
      <c r="F630" t="s">
        <v>461</v>
      </c>
      <c r="G630" t="s">
        <v>473</v>
      </c>
      <c r="H630">
        <v>1</v>
      </c>
      <c r="I630" t="s">
        <v>458</v>
      </c>
      <c r="J630" t="s">
        <v>463</v>
      </c>
      <c r="K630">
        <v>2</v>
      </c>
      <c r="L630" t="s">
        <v>486</v>
      </c>
      <c r="M630" t="s">
        <v>1762</v>
      </c>
      <c r="N630" t="s">
        <v>450</v>
      </c>
      <c r="O630" t="s">
        <v>453</v>
      </c>
      <c r="P630" t="s">
        <v>421</v>
      </c>
      <c r="Q630">
        <v>0</v>
      </c>
      <c r="R630" t="s">
        <v>159</v>
      </c>
      <c r="S630">
        <v>0</v>
      </c>
      <c r="T630" t="s">
        <v>1516</v>
      </c>
      <c r="U630" t="s">
        <v>492</v>
      </c>
      <c r="V630" t="s">
        <v>1181</v>
      </c>
      <c r="W630" t="s">
        <v>399</v>
      </c>
      <c r="X630" t="s">
        <v>470</v>
      </c>
      <c r="Y630" t="s">
        <v>1764</v>
      </c>
    </row>
    <row r="631" spans="2:25">
      <c r="B631" t="s">
        <v>1751</v>
      </c>
      <c r="C631" t="s" vm="34">
        <v>1386</v>
      </c>
      <c r="D631" t="s">
        <v>100</v>
      </c>
      <c r="E631" t="s">
        <v>485</v>
      </c>
      <c r="F631" t="s">
        <v>461</v>
      </c>
      <c r="G631" t="s">
        <v>473</v>
      </c>
      <c r="H631">
        <v>1</v>
      </c>
      <c r="I631" t="s">
        <v>456</v>
      </c>
      <c r="J631" t="s">
        <v>463</v>
      </c>
      <c r="K631">
        <v>2</v>
      </c>
      <c r="L631" t="s">
        <v>486</v>
      </c>
      <c r="M631" t="s">
        <v>1762</v>
      </c>
      <c r="N631" t="s">
        <v>450</v>
      </c>
      <c r="O631" t="s">
        <v>453</v>
      </c>
      <c r="P631" t="s">
        <v>421</v>
      </c>
      <c r="Q631">
        <v>0</v>
      </c>
      <c r="R631" t="s">
        <v>159</v>
      </c>
      <c r="S631">
        <v>0</v>
      </c>
      <c r="T631" t="s">
        <v>1516</v>
      </c>
      <c r="U631" t="s">
        <v>492</v>
      </c>
      <c r="V631" t="s">
        <v>1181</v>
      </c>
      <c r="W631" t="s">
        <v>399</v>
      </c>
      <c r="X631" t="s">
        <v>470</v>
      </c>
      <c r="Y631" t="s">
        <v>1763</v>
      </c>
    </row>
    <row r="632" spans="2:25">
      <c r="B632" t="s">
        <v>1751</v>
      </c>
      <c r="C632" t="s" vm="34">
        <v>1386</v>
      </c>
      <c r="D632" t="s">
        <v>100</v>
      </c>
      <c r="E632" t="s">
        <v>485</v>
      </c>
      <c r="F632" t="s">
        <v>461</v>
      </c>
      <c r="G632" t="s">
        <v>473</v>
      </c>
      <c r="H632">
        <v>1</v>
      </c>
      <c r="I632" t="s">
        <v>456</v>
      </c>
      <c r="J632" t="s">
        <v>464</v>
      </c>
      <c r="K632">
        <v>2</v>
      </c>
      <c r="L632" t="s">
        <v>486</v>
      </c>
      <c r="M632" t="s">
        <v>556</v>
      </c>
      <c r="N632" t="s">
        <v>450</v>
      </c>
      <c r="O632" t="s">
        <v>453</v>
      </c>
      <c r="P632" t="s">
        <v>157</v>
      </c>
      <c r="Q632">
        <v>8</v>
      </c>
      <c r="R632" t="s">
        <v>416</v>
      </c>
      <c r="S632">
        <v>8</v>
      </c>
      <c r="T632" t="s">
        <v>402</v>
      </c>
      <c r="U632" t="s">
        <v>492</v>
      </c>
      <c r="V632" t="s">
        <v>1181</v>
      </c>
      <c r="W632" t="s">
        <v>399</v>
      </c>
      <c r="X632" t="s">
        <v>472</v>
      </c>
      <c r="Y632" t="s">
        <v>1760</v>
      </c>
    </row>
    <row r="633" spans="2:25">
      <c r="B633" t="s">
        <v>1751</v>
      </c>
      <c r="C633" t="s" vm="34">
        <v>1386</v>
      </c>
      <c r="D633" t="s">
        <v>100</v>
      </c>
      <c r="E633" t="s">
        <v>485</v>
      </c>
      <c r="F633" t="s">
        <v>461</v>
      </c>
      <c r="G633" t="s">
        <v>473</v>
      </c>
      <c r="H633">
        <v>1</v>
      </c>
      <c r="I633" t="s">
        <v>456</v>
      </c>
      <c r="J633" t="s">
        <v>464</v>
      </c>
      <c r="K633">
        <v>2</v>
      </c>
      <c r="L633" t="s">
        <v>486</v>
      </c>
      <c r="M633" t="s">
        <v>556</v>
      </c>
      <c r="N633" t="s">
        <v>450</v>
      </c>
      <c r="O633" t="s">
        <v>453</v>
      </c>
      <c r="P633" t="s">
        <v>157</v>
      </c>
      <c r="Q633">
        <v>8</v>
      </c>
      <c r="R633" t="s">
        <v>416</v>
      </c>
      <c r="S633">
        <v>8</v>
      </c>
      <c r="T633" t="s">
        <v>402</v>
      </c>
      <c r="U633" t="s">
        <v>492</v>
      </c>
      <c r="V633" t="s">
        <v>1181</v>
      </c>
      <c r="W633" t="s">
        <v>399</v>
      </c>
      <c r="X633" t="s">
        <v>472</v>
      </c>
      <c r="Y633" t="s">
        <v>1760</v>
      </c>
    </row>
    <row r="634" spans="2:25">
      <c r="B634" t="s">
        <v>1751</v>
      </c>
      <c r="C634" t="s" vm="34">
        <v>1386</v>
      </c>
      <c r="D634" t="s">
        <v>100</v>
      </c>
      <c r="E634" t="s">
        <v>485</v>
      </c>
      <c r="F634" t="s">
        <v>461</v>
      </c>
      <c r="G634" t="s">
        <v>473</v>
      </c>
      <c r="H634">
        <v>1</v>
      </c>
      <c r="I634" t="s">
        <v>456</v>
      </c>
      <c r="J634" t="s">
        <v>464</v>
      </c>
      <c r="K634">
        <v>2</v>
      </c>
      <c r="L634" t="s">
        <v>486</v>
      </c>
      <c r="M634" t="s">
        <v>556</v>
      </c>
      <c r="N634" t="s">
        <v>450</v>
      </c>
      <c r="O634" t="s">
        <v>453</v>
      </c>
      <c r="P634" t="s">
        <v>157</v>
      </c>
      <c r="Q634">
        <v>8</v>
      </c>
      <c r="R634" t="s">
        <v>416</v>
      </c>
      <c r="S634">
        <v>8</v>
      </c>
      <c r="T634" t="s">
        <v>402</v>
      </c>
      <c r="U634" t="s">
        <v>492</v>
      </c>
      <c r="V634" t="s">
        <v>1181</v>
      </c>
      <c r="W634" t="s">
        <v>399</v>
      </c>
      <c r="X634" t="s">
        <v>472</v>
      </c>
      <c r="Y634" t="s">
        <v>1759</v>
      </c>
    </row>
    <row r="635" spans="2:25">
      <c r="B635" t="s">
        <v>1751</v>
      </c>
      <c r="C635" t="s" vm="34">
        <v>1386</v>
      </c>
      <c r="D635" t="s">
        <v>100</v>
      </c>
      <c r="E635" t="s">
        <v>485</v>
      </c>
      <c r="F635" t="s">
        <v>217</v>
      </c>
      <c r="G635" t="s">
        <v>473</v>
      </c>
      <c r="H635">
        <v>1</v>
      </c>
      <c r="I635" t="s">
        <v>458</v>
      </c>
      <c r="J635" t="s">
        <v>462</v>
      </c>
      <c r="K635">
        <v>2</v>
      </c>
      <c r="L635" t="s">
        <v>486</v>
      </c>
      <c r="M635" t="s">
        <v>556</v>
      </c>
      <c r="N635" t="s">
        <v>450</v>
      </c>
      <c r="O635" t="s">
        <v>453</v>
      </c>
      <c r="P635" t="s">
        <v>157</v>
      </c>
      <c r="Q635">
        <v>8</v>
      </c>
      <c r="R635" t="s">
        <v>416</v>
      </c>
      <c r="S635">
        <v>8</v>
      </c>
      <c r="T635" t="s">
        <v>402</v>
      </c>
      <c r="U635" t="s">
        <v>492</v>
      </c>
      <c r="V635" t="s">
        <v>1181</v>
      </c>
      <c r="W635" t="s">
        <v>399</v>
      </c>
      <c r="X635" t="s">
        <v>472</v>
      </c>
      <c r="Y635" t="s">
        <v>1756</v>
      </c>
    </row>
    <row r="636" spans="2:25">
      <c r="B636" t="s">
        <v>1751</v>
      </c>
      <c r="C636" t="s" vm="34">
        <v>1386</v>
      </c>
      <c r="D636" t="s">
        <v>333</v>
      </c>
      <c r="E636" t="s">
        <v>485</v>
      </c>
      <c r="F636" t="s">
        <v>217</v>
      </c>
      <c r="G636" t="s">
        <v>473</v>
      </c>
      <c r="H636">
        <v>2</v>
      </c>
      <c r="I636" t="s">
        <v>458</v>
      </c>
      <c r="J636" t="s">
        <v>462</v>
      </c>
      <c r="K636">
        <v>2</v>
      </c>
      <c r="L636" t="s">
        <v>486</v>
      </c>
      <c r="M636" t="s">
        <v>1022</v>
      </c>
      <c r="N636" t="s">
        <v>450</v>
      </c>
      <c r="O636" t="s">
        <v>453</v>
      </c>
      <c r="P636" t="s">
        <v>157</v>
      </c>
      <c r="Q636">
        <v>12</v>
      </c>
      <c r="R636" t="s">
        <v>416</v>
      </c>
      <c r="S636">
        <v>12</v>
      </c>
      <c r="T636" t="s">
        <v>1516</v>
      </c>
      <c r="U636" t="s">
        <v>492</v>
      </c>
      <c r="V636" t="s">
        <v>1181</v>
      </c>
      <c r="W636" t="s">
        <v>399</v>
      </c>
      <c r="X636" t="s">
        <v>401</v>
      </c>
      <c r="Y636" t="s">
        <v>1755</v>
      </c>
    </row>
    <row r="637" spans="2:25">
      <c r="B637" t="s">
        <v>1751</v>
      </c>
      <c r="C637" t="s" vm="34">
        <v>1386</v>
      </c>
      <c r="D637" t="s">
        <v>1019</v>
      </c>
      <c r="E637" t="s">
        <v>485</v>
      </c>
      <c r="F637" t="s">
        <v>461</v>
      </c>
      <c r="G637" t="s">
        <v>473</v>
      </c>
      <c r="H637">
        <v>2</v>
      </c>
      <c r="I637" t="s">
        <v>458</v>
      </c>
      <c r="J637" t="s">
        <v>463</v>
      </c>
      <c r="K637">
        <v>2</v>
      </c>
      <c r="L637" t="s">
        <v>486</v>
      </c>
      <c r="M637" t="s">
        <v>556</v>
      </c>
      <c r="N637" t="s">
        <v>450</v>
      </c>
      <c r="O637" t="s">
        <v>453</v>
      </c>
      <c r="P637" t="s">
        <v>421</v>
      </c>
      <c r="Q637">
        <v>0</v>
      </c>
      <c r="R637" t="s">
        <v>159</v>
      </c>
      <c r="S637">
        <v>0</v>
      </c>
      <c r="T637" t="s">
        <v>1516</v>
      </c>
      <c r="U637" t="s">
        <v>492</v>
      </c>
      <c r="V637" t="s">
        <v>1181</v>
      </c>
      <c r="W637" t="s">
        <v>399</v>
      </c>
      <c r="X637" t="s">
        <v>401</v>
      </c>
      <c r="Y637" t="s">
        <v>1754</v>
      </c>
    </row>
    <row r="638" spans="2:25">
      <c r="B638" t="s">
        <v>1751</v>
      </c>
      <c r="C638" t="s" vm="34">
        <v>1386</v>
      </c>
      <c r="D638" t="s">
        <v>333</v>
      </c>
      <c r="E638" t="s">
        <v>485</v>
      </c>
      <c r="F638" t="s">
        <v>461</v>
      </c>
      <c r="G638" t="s">
        <v>473</v>
      </c>
      <c r="H638">
        <v>2</v>
      </c>
      <c r="I638" t="s">
        <v>456</v>
      </c>
      <c r="J638" t="s">
        <v>463</v>
      </c>
      <c r="K638">
        <v>2</v>
      </c>
      <c r="L638" t="s">
        <v>486</v>
      </c>
      <c r="M638" t="s">
        <v>556</v>
      </c>
      <c r="N638" t="s">
        <v>450</v>
      </c>
      <c r="O638" t="s">
        <v>453</v>
      </c>
      <c r="P638" t="s">
        <v>421</v>
      </c>
      <c r="Q638">
        <v>0</v>
      </c>
      <c r="R638" t="s">
        <v>159</v>
      </c>
      <c r="S638">
        <v>0</v>
      </c>
      <c r="T638" t="s">
        <v>1516</v>
      </c>
      <c r="U638" t="s">
        <v>492</v>
      </c>
      <c r="V638" t="s">
        <v>1181</v>
      </c>
      <c r="W638" t="s">
        <v>399</v>
      </c>
      <c r="X638" t="s">
        <v>401</v>
      </c>
      <c r="Y638" t="s">
        <v>1753</v>
      </c>
    </row>
    <row r="639" spans="2:25">
      <c r="B639" t="s">
        <v>1751</v>
      </c>
      <c r="C639" t="s" vm="34">
        <v>1386</v>
      </c>
      <c r="D639" t="s">
        <v>333</v>
      </c>
      <c r="E639" t="s">
        <v>485</v>
      </c>
      <c r="F639" t="s">
        <v>461</v>
      </c>
      <c r="G639" t="s">
        <v>473</v>
      </c>
      <c r="H639">
        <v>2</v>
      </c>
      <c r="I639" t="s">
        <v>456</v>
      </c>
      <c r="J639" t="s">
        <v>463</v>
      </c>
      <c r="K639">
        <v>2</v>
      </c>
      <c r="L639" t="s">
        <v>486</v>
      </c>
      <c r="M639" t="s">
        <v>556</v>
      </c>
      <c r="N639" t="s">
        <v>450</v>
      </c>
      <c r="O639" t="s">
        <v>453</v>
      </c>
      <c r="P639" t="s">
        <v>421</v>
      </c>
      <c r="Q639">
        <v>0</v>
      </c>
      <c r="R639" t="s">
        <v>159</v>
      </c>
      <c r="S639">
        <v>0</v>
      </c>
      <c r="T639" t="s">
        <v>1516</v>
      </c>
      <c r="U639" t="s">
        <v>492</v>
      </c>
      <c r="V639" t="s">
        <v>1181</v>
      </c>
      <c r="W639" t="s">
        <v>399</v>
      </c>
      <c r="X639" t="s">
        <v>401</v>
      </c>
      <c r="Y639" t="s">
        <v>1752</v>
      </c>
    </row>
    <row r="640" spans="2:25">
      <c r="B640" t="s">
        <v>1743</v>
      </c>
      <c r="C640" t="s" vm="34">
        <v>1386</v>
      </c>
      <c r="D640" t="s">
        <v>333</v>
      </c>
      <c r="E640" t="s">
        <v>485</v>
      </c>
      <c r="F640" t="s">
        <v>461</v>
      </c>
      <c r="G640" t="s">
        <v>473</v>
      </c>
      <c r="H640">
        <v>1</v>
      </c>
      <c r="I640" t="s">
        <v>458</v>
      </c>
      <c r="J640" t="s">
        <v>462</v>
      </c>
      <c r="K640">
        <v>2</v>
      </c>
      <c r="L640" t="s">
        <v>486</v>
      </c>
      <c r="M640" t="s">
        <v>1475</v>
      </c>
      <c r="N640" t="s">
        <v>450</v>
      </c>
      <c r="O640" t="s">
        <v>453</v>
      </c>
      <c r="P640" t="s">
        <v>157</v>
      </c>
      <c r="Q640">
        <v>12</v>
      </c>
      <c r="R640" t="s">
        <v>1494</v>
      </c>
      <c r="S640">
        <v>12</v>
      </c>
      <c r="T640" t="s">
        <v>482</v>
      </c>
      <c r="U640" t="s">
        <v>492</v>
      </c>
      <c r="V640" t="s">
        <v>1181</v>
      </c>
      <c r="W640" t="s">
        <v>399</v>
      </c>
      <c r="X640" t="s">
        <v>401</v>
      </c>
      <c r="Y640" t="s">
        <v>1750</v>
      </c>
    </row>
    <row r="641" spans="2:25">
      <c r="B641" t="s">
        <v>1743</v>
      </c>
      <c r="C641" t="s" vm="34">
        <v>1386</v>
      </c>
      <c r="D641" t="s">
        <v>333</v>
      </c>
      <c r="E641" t="s">
        <v>485</v>
      </c>
      <c r="F641" t="s">
        <v>461</v>
      </c>
      <c r="G641" t="s">
        <v>473</v>
      </c>
      <c r="H641">
        <v>2</v>
      </c>
      <c r="I641" t="s">
        <v>456</v>
      </c>
      <c r="J641" t="s">
        <v>464</v>
      </c>
      <c r="K641">
        <v>1</v>
      </c>
      <c r="L641" t="s">
        <v>486</v>
      </c>
      <c r="M641" t="s">
        <v>556</v>
      </c>
      <c r="N641" t="s">
        <v>450</v>
      </c>
      <c r="O641" t="s">
        <v>453</v>
      </c>
      <c r="P641" t="s">
        <v>157</v>
      </c>
      <c r="Q641">
        <v>12</v>
      </c>
      <c r="R641" t="s">
        <v>1494</v>
      </c>
      <c r="S641">
        <v>12</v>
      </c>
      <c r="T641" t="s">
        <v>1198</v>
      </c>
      <c r="U641" t="s">
        <v>492</v>
      </c>
      <c r="V641" t="s">
        <v>1181</v>
      </c>
      <c r="W641" t="s">
        <v>476</v>
      </c>
      <c r="X641" t="s">
        <v>401</v>
      </c>
      <c r="Y641" t="s">
        <v>1749</v>
      </c>
    </row>
    <row r="642" spans="2:25">
      <c r="B642" t="s">
        <v>1743</v>
      </c>
      <c r="C642" t="s" vm="34">
        <v>1386</v>
      </c>
      <c r="D642" t="s">
        <v>333</v>
      </c>
      <c r="E642" t="s">
        <v>485</v>
      </c>
      <c r="F642" t="s">
        <v>461</v>
      </c>
      <c r="G642" t="s">
        <v>473</v>
      </c>
      <c r="H642">
        <v>2</v>
      </c>
      <c r="I642" t="s">
        <v>458</v>
      </c>
      <c r="J642" t="s">
        <v>462</v>
      </c>
      <c r="K642">
        <v>1</v>
      </c>
      <c r="L642" t="s">
        <v>486</v>
      </c>
      <c r="M642" t="s">
        <v>556</v>
      </c>
      <c r="N642" t="s">
        <v>450</v>
      </c>
      <c r="O642" t="s">
        <v>453</v>
      </c>
      <c r="P642" t="s">
        <v>157</v>
      </c>
      <c r="Q642">
        <v>12</v>
      </c>
      <c r="R642" t="s">
        <v>1494</v>
      </c>
      <c r="S642">
        <v>12</v>
      </c>
      <c r="T642" t="s">
        <v>1198</v>
      </c>
      <c r="U642" t="s">
        <v>492</v>
      </c>
      <c r="V642" t="s">
        <v>1181</v>
      </c>
      <c r="W642" t="s">
        <v>476</v>
      </c>
      <c r="X642" t="s">
        <v>401</v>
      </c>
      <c r="Y642" t="s">
        <v>1748</v>
      </c>
    </row>
    <row r="643" spans="2:25">
      <c r="B643" t="s">
        <v>1743</v>
      </c>
      <c r="C643" t="s" vm="34">
        <v>1386</v>
      </c>
      <c r="D643" t="s">
        <v>333</v>
      </c>
      <c r="E643" t="s">
        <v>485</v>
      </c>
      <c r="F643" t="s">
        <v>461</v>
      </c>
      <c r="G643" t="s">
        <v>473</v>
      </c>
      <c r="H643">
        <v>2</v>
      </c>
      <c r="I643" t="s">
        <v>458</v>
      </c>
      <c r="J643" t="s">
        <v>462</v>
      </c>
      <c r="K643">
        <v>1</v>
      </c>
      <c r="L643" t="s">
        <v>486</v>
      </c>
      <c r="M643" t="s">
        <v>556</v>
      </c>
      <c r="N643" t="s">
        <v>450</v>
      </c>
      <c r="O643" t="s">
        <v>453</v>
      </c>
      <c r="P643" t="s">
        <v>157</v>
      </c>
      <c r="Q643">
        <v>12</v>
      </c>
      <c r="R643" t="s">
        <v>419</v>
      </c>
      <c r="S643">
        <v>12</v>
      </c>
      <c r="T643" t="s">
        <v>1198</v>
      </c>
      <c r="U643" t="s">
        <v>492</v>
      </c>
      <c r="V643" t="s">
        <v>1181</v>
      </c>
      <c r="W643" t="s">
        <v>476</v>
      </c>
      <c r="X643" t="s">
        <v>401</v>
      </c>
      <c r="Y643" t="s">
        <v>1747</v>
      </c>
    </row>
    <row r="644" spans="2:25">
      <c r="B644" t="s">
        <v>1743</v>
      </c>
      <c r="C644" t="s" vm="34">
        <v>1386</v>
      </c>
      <c r="D644" t="s">
        <v>333</v>
      </c>
      <c r="E644" t="s">
        <v>485</v>
      </c>
      <c r="F644" t="s">
        <v>461</v>
      </c>
      <c r="G644" t="s">
        <v>473</v>
      </c>
      <c r="H644">
        <v>2</v>
      </c>
      <c r="I644" t="s">
        <v>458</v>
      </c>
      <c r="J644" t="s">
        <v>462</v>
      </c>
      <c r="K644">
        <v>1</v>
      </c>
      <c r="L644" t="s">
        <v>486</v>
      </c>
      <c r="M644" t="s">
        <v>556</v>
      </c>
      <c r="N644" t="s">
        <v>450</v>
      </c>
      <c r="O644" t="s">
        <v>453</v>
      </c>
      <c r="P644" t="s">
        <v>157</v>
      </c>
      <c r="Q644">
        <v>12</v>
      </c>
      <c r="R644" t="s">
        <v>159</v>
      </c>
      <c r="S644">
        <v>0</v>
      </c>
      <c r="T644" t="s">
        <v>1198</v>
      </c>
      <c r="U644" t="s">
        <v>492</v>
      </c>
      <c r="V644" t="s">
        <v>1181</v>
      </c>
      <c r="W644" t="s">
        <v>476</v>
      </c>
      <c r="X644" t="s">
        <v>401</v>
      </c>
      <c r="Y644" t="s">
        <v>1746</v>
      </c>
    </row>
    <row r="645" spans="2:25">
      <c r="B645" t="s">
        <v>1743</v>
      </c>
      <c r="C645" t="s" vm="34">
        <v>1386</v>
      </c>
      <c r="D645" t="s">
        <v>333</v>
      </c>
      <c r="E645" t="s">
        <v>485</v>
      </c>
      <c r="F645" t="s">
        <v>461</v>
      </c>
      <c r="G645" t="s">
        <v>473</v>
      </c>
      <c r="H645">
        <v>2</v>
      </c>
      <c r="I645" t="s">
        <v>458</v>
      </c>
      <c r="J645" t="s">
        <v>462</v>
      </c>
      <c r="K645">
        <v>1</v>
      </c>
      <c r="L645" t="s">
        <v>486</v>
      </c>
      <c r="M645" t="s">
        <v>556</v>
      </c>
      <c r="N645" t="s">
        <v>450</v>
      </c>
      <c r="O645" t="s">
        <v>453</v>
      </c>
      <c r="P645" t="s">
        <v>421</v>
      </c>
      <c r="Q645">
        <v>0</v>
      </c>
      <c r="R645" t="s">
        <v>159</v>
      </c>
      <c r="S645">
        <v>0</v>
      </c>
      <c r="T645" t="s">
        <v>1198</v>
      </c>
      <c r="U645" t="s">
        <v>492</v>
      </c>
      <c r="V645" t="s">
        <v>1181</v>
      </c>
      <c r="W645" t="s">
        <v>476</v>
      </c>
      <c r="X645" t="s">
        <v>401</v>
      </c>
      <c r="Y645" t="s">
        <v>1745</v>
      </c>
    </row>
    <row r="646" spans="2:25">
      <c r="B646" t="s">
        <v>1743</v>
      </c>
      <c r="C646" t="s" vm="34">
        <v>1386</v>
      </c>
      <c r="D646" t="s">
        <v>333</v>
      </c>
      <c r="E646" t="s">
        <v>485</v>
      </c>
      <c r="F646" t="s">
        <v>461</v>
      </c>
      <c r="G646" t="s">
        <v>473</v>
      </c>
      <c r="H646">
        <v>2</v>
      </c>
      <c r="I646" t="s">
        <v>458</v>
      </c>
      <c r="J646" t="s">
        <v>462</v>
      </c>
      <c r="K646">
        <v>1</v>
      </c>
      <c r="L646" t="s">
        <v>486</v>
      </c>
      <c r="M646" t="s">
        <v>556</v>
      </c>
      <c r="N646" t="s">
        <v>450</v>
      </c>
      <c r="O646" t="s">
        <v>453</v>
      </c>
      <c r="P646" t="s">
        <v>421</v>
      </c>
      <c r="Q646">
        <v>0</v>
      </c>
      <c r="R646" t="s">
        <v>159</v>
      </c>
      <c r="S646">
        <v>0</v>
      </c>
      <c r="T646" t="s">
        <v>1577</v>
      </c>
      <c r="U646" t="s">
        <v>492</v>
      </c>
      <c r="V646" t="s">
        <v>1181</v>
      </c>
      <c r="W646" t="s">
        <v>476</v>
      </c>
      <c r="X646" t="s">
        <v>401</v>
      </c>
      <c r="Y646" t="s">
        <v>1744</v>
      </c>
    </row>
    <row r="647" spans="2:25">
      <c r="B647" t="s">
        <v>1741</v>
      </c>
      <c r="C647" t="s" vm="34">
        <v>1386</v>
      </c>
      <c r="D647" t="s">
        <v>100</v>
      </c>
      <c r="E647" t="s">
        <v>485</v>
      </c>
      <c r="F647" t="s">
        <v>217</v>
      </c>
      <c r="G647" t="s">
        <v>473</v>
      </c>
      <c r="H647">
        <v>2</v>
      </c>
      <c r="I647" t="s">
        <v>458</v>
      </c>
      <c r="J647" t="s">
        <v>462</v>
      </c>
      <c r="K647">
        <v>2</v>
      </c>
      <c r="L647" t="s">
        <v>486</v>
      </c>
      <c r="M647" t="s">
        <v>556</v>
      </c>
      <c r="N647" t="s">
        <v>450</v>
      </c>
      <c r="O647" t="s">
        <v>453</v>
      </c>
      <c r="P647" t="s">
        <v>157</v>
      </c>
      <c r="Q647">
        <v>8</v>
      </c>
      <c r="R647" t="s">
        <v>420</v>
      </c>
      <c r="S647">
        <v>8</v>
      </c>
      <c r="T647" t="s">
        <v>1577</v>
      </c>
      <c r="U647" t="s">
        <v>492</v>
      </c>
      <c r="V647" t="s">
        <v>1181</v>
      </c>
      <c r="W647" t="s">
        <v>399</v>
      </c>
      <c r="X647" t="s">
        <v>401</v>
      </c>
      <c r="Y647" t="s">
        <v>1742</v>
      </c>
    </row>
    <row r="648" spans="2:25">
      <c r="B648" t="s">
        <v>1730</v>
      </c>
      <c r="C648" t="s" vm="39">
        <v>701</v>
      </c>
      <c r="D648" t="s">
        <v>333</v>
      </c>
      <c r="E648" t="s">
        <v>485</v>
      </c>
      <c r="F648" t="s">
        <v>461</v>
      </c>
      <c r="G648" t="s">
        <v>487</v>
      </c>
      <c r="H648">
        <v>2</v>
      </c>
      <c r="I648" t="s">
        <v>456</v>
      </c>
      <c r="J648" t="s">
        <v>463</v>
      </c>
      <c r="K648">
        <v>2</v>
      </c>
      <c r="L648" t="s">
        <v>486</v>
      </c>
      <c r="M648" t="s">
        <v>556</v>
      </c>
      <c r="N648" t="s">
        <v>450</v>
      </c>
      <c r="O648" t="s">
        <v>453</v>
      </c>
      <c r="P648" t="s">
        <v>158</v>
      </c>
      <c r="Q648">
        <v>0</v>
      </c>
      <c r="R648" t="s">
        <v>1494</v>
      </c>
      <c r="S648">
        <v>0</v>
      </c>
      <c r="T648" t="s">
        <v>402</v>
      </c>
      <c r="U648" t="s">
        <v>492</v>
      </c>
      <c r="V648" t="s">
        <v>1181</v>
      </c>
      <c r="W648" t="s">
        <v>399</v>
      </c>
      <c r="X648" t="s">
        <v>471</v>
      </c>
      <c r="Y648" t="s">
        <v>1740</v>
      </c>
    </row>
    <row r="649" spans="2:25">
      <c r="B649" t="s">
        <v>1730</v>
      </c>
      <c r="C649" t="s" vm="39">
        <v>701</v>
      </c>
      <c r="D649" t="s">
        <v>100</v>
      </c>
      <c r="E649" t="s">
        <v>485</v>
      </c>
      <c r="F649" t="s">
        <v>461</v>
      </c>
      <c r="G649" t="s">
        <v>487</v>
      </c>
      <c r="H649" t="s">
        <v>123</v>
      </c>
      <c r="I649" t="s">
        <v>460</v>
      </c>
      <c r="J649" t="s">
        <v>462</v>
      </c>
      <c r="K649">
        <v>2</v>
      </c>
      <c r="L649" t="s">
        <v>486</v>
      </c>
      <c r="M649" t="s">
        <v>556</v>
      </c>
      <c r="N649" t="s">
        <v>450</v>
      </c>
      <c r="O649" t="s">
        <v>453</v>
      </c>
      <c r="P649" t="s">
        <v>158</v>
      </c>
      <c r="Q649">
        <v>8</v>
      </c>
      <c r="R649" t="s">
        <v>1494</v>
      </c>
      <c r="S649">
        <v>8</v>
      </c>
      <c r="T649" t="s">
        <v>1485</v>
      </c>
      <c r="U649" t="s">
        <v>492</v>
      </c>
      <c r="V649" t="s">
        <v>1181</v>
      </c>
      <c r="W649" t="s">
        <v>399</v>
      </c>
      <c r="X649" t="s">
        <v>471</v>
      </c>
      <c r="Y649" t="s">
        <v>1732</v>
      </c>
    </row>
    <row r="650" spans="2:25">
      <c r="B650" t="s">
        <v>1730</v>
      </c>
      <c r="C650" t="s" vm="39">
        <v>701</v>
      </c>
      <c r="D650" t="s">
        <v>100</v>
      </c>
      <c r="E650" t="s">
        <v>485</v>
      </c>
      <c r="F650" t="s">
        <v>461</v>
      </c>
      <c r="G650" t="s">
        <v>487</v>
      </c>
      <c r="H650" t="s">
        <v>123</v>
      </c>
      <c r="I650" t="s">
        <v>460</v>
      </c>
      <c r="J650" t="s">
        <v>462</v>
      </c>
      <c r="K650">
        <v>2</v>
      </c>
      <c r="L650" t="s">
        <v>486</v>
      </c>
      <c r="M650" t="s">
        <v>556</v>
      </c>
      <c r="N650" t="s">
        <v>450</v>
      </c>
      <c r="O650" t="s">
        <v>453</v>
      </c>
      <c r="P650" t="s">
        <v>158</v>
      </c>
      <c r="Q650">
        <v>8</v>
      </c>
      <c r="R650" t="s">
        <v>418</v>
      </c>
      <c r="S650">
        <v>8</v>
      </c>
      <c r="T650" t="s">
        <v>1485</v>
      </c>
      <c r="U650" t="s">
        <v>492</v>
      </c>
      <c r="V650" t="s">
        <v>1181</v>
      </c>
      <c r="W650" t="s">
        <v>399</v>
      </c>
      <c r="X650" t="s">
        <v>471</v>
      </c>
      <c r="Y650" t="s">
        <v>1737</v>
      </c>
    </row>
    <row r="651" spans="2:25">
      <c r="B651" t="s">
        <v>1730</v>
      </c>
      <c r="C651" t="s" vm="39">
        <v>701</v>
      </c>
      <c r="D651" t="s">
        <v>100</v>
      </c>
      <c r="E651" t="s">
        <v>485</v>
      </c>
      <c r="F651" t="s">
        <v>461</v>
      </c>
      <c r="G651" t="s">
        <v>487</v>
      </c>
      <c r="H651" t="s">
        <v>123</v>
      </c>
      <c r="I651" t="s">
        <v>460</v>
      </c>
      <c r="J651" t="s">
        <v>462</v>
      </c>
      <c r="K651">
        <v>2</v>
      </c>
      <c r="L651" t="s">
        <v>486</v>
      </c>
      <c r="M651" t="s">
        <v>556</v>
      </c>
      <c r="N651" t="s">
        <v>450</v>
      </c>
      <c r="O651" t="s">
        <v>453</v>
      </c>
      <c r="P651" t="s">
        <v>158</v>
      </c>
      <c r="Q651">
        <v>8</v>
      </c>
      <c r="R651" t="s">
        <v>417</v>
      </c>
      <c r="S651">
        <v>8</v>
      </c>
      <c r="T651" t="s">
        <v>1485</v>
      </c>
      <c r="U651" t="s">
        <v>492</v>
      </c>
      <c r="V651" t="s">
        <v>1181</v>
      </c>
      <c r="W651" t="s">
        <v>399</v>
      </c>
      <c r="X651" t="s">
        <v>471</v>
      </c>
      <c r="Y651" t="s">
        <v>1736</v>
      </c>
    </row>
    <row r="652" spans="2:25">
      <c r="B652" t="s">
        <v>1730</v>
      </c>
      <c r="C652" t="s" vm="39">
        <v>701</v>
      </c>
      <c r="D652" t="s">
        <v>100</v>
      </c>
      <c r="E652" t="s">
        <v>485</v>
      </c>
      <c r="F652" t="s">
        <v>461</v>
      </c>
      <c r="G652" t="s">
        <v>487</v>
      </c>
      <c r="H652" t="s">
        <v>123</v>
      </c>
      <c r="I652" t="s">
        <v>460</v>
      </c>
      <c r="J652" t="s">
        <v>462</v>
      </c>
      <c r="K652">
        <v>2</v>
      </c>
      <c r="L652" t="s">
        <v>486</v>
      </c>
      <c r="M652" t="s">
        <v>556</v>
      </c>
      <c r="N652" t="s">
        <v>450</v>
      </c>
      <c r="O652" t="s">
        <v>453</v>
      </c>
      <c r="P652" t="s">
        <v>158</v>
      </c>
      <c r="Q652">
        <v>8</v>
      </c>
      <c r="R652" t="s">
        <v>416</v>
      </c>
      <c r="S652">
        <v>8</v>
      </c>
      <c r="T652" t="s">
        <v>1485</v>
      </c>
      <c r="U652" t="s">
        <v>492</v>
      </c>
      <c r="V652" t="s">
        <v>1181</v>
      </c>
      <c r="W652" t="s">
        <v>399</v>
      </c>
      <c r="X652" t="s">
        <v>471</v>
      </c>
      <c r="Y652" t="s">
        <v>1735</v>
      </c>
    </row>
    <row r="653" spans="2:25">
      <c r="B653" t="s">
        <v>1730</v>
      </c>
      <c r="C653" t="s" vm="39">
        <v>701</v>
      </c>
      <c r="D653" t="s">
        <v>100</v>
      </c>
      <c r="E653" t="s">
        <v>485</v>
      </c>
      <c r="F653" t="s">
        <v>461</v>
      </c>
      <c r="G653" t="s">
        <v>487</v>
      </c>
      <c r="H653" t="s">
        <v>123</v>
      </c>
      <c r="I653" t="s">
        <v>460</v>
      </c>
      <c r="J653" t="s">
        <v>462</v>
      </c>
      <c r="K653">
        <v>2</v>
      </c>
      <c r="L653" t="s">
        <v>486</v>
      </c>
      <c r="M653" t="s">
        <v>556</v>
      </c>
      <c r="N653" t="s">
        <v>450</v>
      </c>
      <c r="O653" t="s">
        <v>453</v>
      </c>
      <c r="P653" t="s">
        <v>158</v>
      </c>
      <c r="Q653">
        <v>8</v>
      </c>
      <c r="R653" t="s">
        <v>419</v>
      </c>
      <c r="S653">
        <v>8</v>
      </c>
      <c r="T653" t="s">
        <v>1485</v>
      </c>
      <c r="U653" t="s">
        <v>492</v>
      </c>
      <c r="V653" t="s">
        <v>1181</v>
      </c>
      <c r="W653" t="s">
        <v>399</v>
      </c>
      <c r="X653" t="s">
        <v>471</v>
      </c>
      <c r="Y653" t="s">
        <v>1734</v>
      </c>
    </row>
    <row r="654" spans="2:25">
      <c r="B654" t="s">
        <v>1730</v>
      </c>
      <c r="C654" t="s" vm="39">
        <v>701</v>
      </c>
      <c r="D654" t="s">
        <v>100</v>
      </c>
      <c r="E654" t="s">
        <v>485</v>
      </c>
      <c r="F654" t="s">
        <v>461</v>
      </c>
      <c r="G654" t="s">
        <v>487</v>
      </c>
      <c r="H654" t="s">
        <v>123</v>
      </c>
      <c r="I654" t="s">
        <v>460</v>
      </c>
      <c r="J654" t="s">
        <v>462</v>
      </c>
      <c r="K654">
        <v>2</v>
      </c>
      <c r="L654" t="s">
        <v>486</v>
      </c>
      <c r="M654" t="s">
        <v>556</v>
      </c>
      <c r="N654" t="s">
        <v>450</v>
      </c>
      <c r="O654" t="s">
        <v>453</v>
      </c>
      <c r="P654" t="s">
        <v>158</v>
      </c>
      <c r="Q654">
        <v>8</v>
      </c>
      <c r="R654" t="s">
        <v>420</v>
      </c>
      <c r="S654">
        <v>8</v>
      </c>
      <c r="T654" t="s">
        <v>1485</v>
      </c>
      <c r="U654" t="s">
        <v>492</v>
      </c>
      <c r="V654" t="s">
        <v>1181</v>
      </c>
      <c r="W654" t="s">
        <v>399</v>
      </c>
      <c r="X654" t="s">
        <v>471</v>
      </c>
      <c r="Y654" t="s">
        <v>1733</v>
      </c>
    </row>
    <row r="655" spans="2:25">
      <c r="B655" t="s">
        <v>1730</v>
      </c>
      <c r="C655" t="s" vm="39">
        <v>701</v>
      </c>
      <c r="D655" t="s">
        <v>100</v>
      </c>
      <c r="E655" t="s">
        <v>485</v>
      </c>
      <c r="F655" t="s">
        <v>461</v>
      </c>
      <c r="G655" t="s">
        <v>487</v>
      </c>
      <c r="H655" t="s">
        <v>123</v>
      </c>
      <c r="I655" t="s">
        <v>460</v>
      </c>
      <c r="J655" t="s">
        <v>462</v>
      </c>
      <c r="K655">
        <v>2</v>
      </c>
      <c r="L655" t="s">
        <v>486</v>
      </c>
      <c r="M655" t="s">
        <v>556</v>
      </c>
      <c r="N655" t="s">
        <v>450</v>
      </c>
      <c r="O655" t="s">
        <v>453</v>
      </c>
      <c r="P655" t="s">
        <v>158</v>
      </c>
      <c r="Q655">
        <v>8</v>
      </c>
      <c r="R655" t="s">
        <v>1494</v>
      </c>
      <c r="S655">
        <v>8</v>
      </c>
      <c r="T655" t="s">
        <v>1485</v>
      </c>
      <c r="U655" t="s">
        <v>492</v>
      </c>
      <c r="V655" t="s">
        <v>1181</v>
      </c>
      <c r="W655" t="s">
        <v>399</v>
      </c>
      <c r="X655" t="s">
        <v>471</v>
      </c>
      <c r="Y655" t="s">
        <v>1732</v>
      </c>
    </row>
    <row r="656" spans="2:25">
      <c r="B656" t="s">
        <v>1730</v>
      </c>
      <c r="C656" t="s" vm="39">
        <v>701</v>
      </c>
      <c r="D656" t="s">
        <v>100</v>
      </c>
      <c r="E656" t="s">
        <v>485</v>
      </c>
      <c r="F656" t="s">
        <v>461</v>
      </c>
      <c r="G656" t="s">
        <v>487</v>
      </c>
      <c r="H656" t="s">
        <v>123</v>
      </c>
      <c r="I656" t="s">
        <v>460</v>
      </c>
      <c r="J656" t="s">
        <v>462</v>
      </c>
      <c r="K656">
        <v>2</v>
      </c>
      <c r="L656" t="s">
        <v>486</v>
      </c>
      <c r="M656" t="s">
        <v>556</v>
      </c>
      <c r="N656" t="s">
        <v>450</v>
      </c>
      <c r="O656" t="s">
        <v>453</v>
      </c>
      <c r="P656" t="s">
        <v>158</v>
      </c>
      <c r="Q656">
        <v>8</v>
      </c>
      <c r="R656" t="s">
        <v>159</v>
      </c>
      <c r="S656">
        <v>0</v>
      </c>
      <c r="T656" t="s">
        <v>1485</v>
      </c>
      <c r="U656" t="s">
        <v>492</v>
      </c>
      <c r="V656" t="s">
        <v>1181</v>
      </c>
      <c r="W656" t="s">
        <v>399</v>
      </c>
      <c r="X656" t="s">
        <v>471</v>
      </c>
      <c r="Y656" t="s">
        <v>1731</v>
      </c>
    </row>
    <row r="657" spans="2:25">
      <c r="B657" t="s">
        <v>1725</v>
      </c>
      <c r="C657" t="s" vm="39">
        <v>701</v>
      </c>
      <c r="D657" t="s">
        <v>100</v>
      </c>
      <c r="E657" t="s">
        <v>485</v>
      </c>
      <c r="F657" t="s">
        <v>461</v>
      </c>
      <c r="G657" t="s">
        <v>123</v>
      </c>
      <c r="H657" t="s">
        <v>123</v>
      </c>
      <c r="I657" t="s">
        <v>456</v>
      </c>
      <c r="J657" t="s">
        <v>463</v>
      </c>
      <c r="K657">
        <v>2</v>
      </c>
      <c r="L657" t="s">
        <v>486</v>
      </c>
      <c r="M657" t="s">
        <v>556</v>
      </c>
      <c r="N657" t="s">
        <v>450</v>
      </c>
      <c r="O657" t="s">
        <v>453</v>
      </c>
      <c r="P657" t="s">
        <v>421</v>
      </c>
      <c r="Q657">
        <v>0</v>
      </c>
      <c r="R657" t="s">
        <v>159</v>
      </c>
      <c r="S657">
        <v>0</v>
      </c>
      <c r="T657" t="s">
        <v>1485</v>
      </c>
      <c r="U657" t="s">
        <v>492</v>
      </c>
      <c r="V657" t="s">
        <v>1181</v>
      </c>
      <c r="W657" t="s">
        <v>399</v>
      </c>
      <c r="X657" t="s">
        <v>472</v>
      </c>
      <c r="Y657" t="s">
        <v>1727</v>
      </c>
    </row>
    <row r="658" spans="2:25">
      <c r="B658" t="s">
        <v>1725</v>
      </c>
      <c r="C658" t="s" vm="39">
        <v>701</v>
      </c>
      <c r="D658" t="s">
        <v>102</v>
      </c>
      <c r="E658" t="s">
        <v>485</v>
      </c>
      <c r="F658" t="s">
        <v>461</v>
      </c>
      <c r="G658" t="s">
        <v>473</v>
      </c>
      <c r="H658">
        <v>2</v>
      </c>
      <c r="I658" t="s">
        <v>458</v>
      </c>
      <c r="J658" t="s">
        <v>463</v>
      </c>
      <c r="K658">
        <v>2</v>
      </c>
      <c r="L658" t="s">
        <v>488</v>
      </c>
      <c r="M658" t="s">
        <v>492</v>
      </c>
      <c r="N658" t="s">
        <v>496</v>
      </c>
      <c r="O658" t="s">
        <v>453</v>
      </c>
      <c r="P658" t="s">
        <v>421</v>
      </c>
      <c r="Q658">
        <v>0</v>
      </c>
      <c r="R658" t="s">
        <v>159</v>
      </c>
      <c r="S658">
        <v>0</v>
      </c>
      <c r="T658" t="s">
        <v>402</v>
      </c>
      <c r="U658" t="s">
        <v>492</v>
      </c>
      <c r="V658" t="s">
        <v>1181</v>
      </c>
      <c r="W658" t="s">
        <v>399</v>
      </c>
      <c r="X658" t="s">
        <v>401</v>
      </c>
      <c r="Y658" t="s">
        <v>1726</v>
      </c>
    </row>
    <row r="659" spans="2:25">
      <c r="B659" t="s">
        <v>1722</v>
      </c>
      <c r="C659" t="s" vm="39">
        <v>701</v>
      </c>
      <c r="D659" t="s">
        <v>100</v>
      </c>
      <c r="E659" t="s">
        <v>485</v>
      </c>
      <c r="F659" t="s">
        <v>461</v>
      </c>
      <c r="G659" t="s">
        <v>473</v>
      </c>
      <c r="H659">
        <v>1</v>
      </c>
      <c r="I659" t="s">
        <v>458</v>
      </c>
      <c r="J659" t="s">
        <v>463</v>
      </c>
      <c r="K659">
        <v>2</v>
      </c>
      <c r="L659" t="s">
        <v>486</v>
      </c>
      <c r="M659" t="s">
        <v>556</v>
      </c>
      <c r="N659" t="s">
        <v>450</v>
      </c>
      <c r="O659" t="s">
        <v>453</v>
      </c>
      <c r="P659" t="s">
        <v>158</v>
      </c>
      <c r="Q659">
        <v>8</v>
      </c>
      <c r="R659" t="s">
        <v>419</v>
      </c>
      <c r="S659">
        <v>8</v>
      </c>
      <c r="T659" t="s">
        <v>1516</v>
      </c>
      <c r="U659" t="s">
        <v>492</v>
      </c>
      <c r="V659" t="s">
        <v>1181</v>
      </c>
      <c r="W659" t="s">
        <v>399</v>
      </c>
      <c r="X659" t="s">
        <v>472</v>
      </c>
      <c r="Y659" t="s">
        <v>1723</v>
      </c>
    </row>
    <row r="660" spans="2:25">
      <c r="B660" t="s">
        <v>1722</v>
      </c>
      <c r="C660" t="s" vm="39">
        <v>701</v>
      </c>
      <c r="D660" t="s">
        <v>100</v>
      </c>
      <c r="E660" t="s">
        <v>485</v>
      </c>
      <c r="F660" t="s">
        <v>461</v>
      </c>
      <c r="G660" t="s">
        <v>473</v>
      </c>
      <c r="H660">
        <v>1</v>
      </c>
      <c r="I660" t="s">
        <v>458</v>
      </c>
      <c r="J660" t="s">
        <v>463</v>
      </c>
      <c r="K660">
        <v>2</v>
      </c>
      <c r="L660" t="s">
        <v>486</v>
      </c>
      <c r="M660" t="s">
        <v>556</v>
      </c>
      <c r="N660" t="s">
        <v>450</v>
      </c>
      <c r="O660" t="s">
        <v>453</v>
      </c>
      <c r="P660" t="s">
        <v>158</v>
      </c>
      <c r="Q660">
        <v>8</v>
      </c>
      <c r="R660" t="s">
        <v>419</v>
      </c>
      <c r="S660">
        <v>8</v>
      </c>
      <c r="T660" t="s">
        <v>1516</v>
      </c>
      <c r="U660" t="s">
        <v>492</v>
      </c>
      <c r="V660" t="s">
        <v>1181</v>
      </c>
      <c r="W660" t="s">
        <v>399</v>
      </c>
      <c r="X660" t="s">
        <v>472</v>
      </c>
      <c r="Y660" t="s">
        <v>1724</v>
      </c>
    </row>
    <row r="661" spans="2:25">
      <c r="B661" t="s">
        <v>1722</v>
      </c>
      <c r="C661" t="s" vm="39">
        <v>701</v>
      </c>
      <c r="D661" t="s">
        <v>100</v>
      </c>
      <c r="E661" t="s">
        <v>485</v>
      </c>
      <c r="F661" t="s">
        <v>461</v>
      </c>
      <c r="G661" t="s">
        <v>473</v>
      </c>
      <c r="H661">
        <v>1</v>
      </c>
      <c r="I661" t="s">
        <v>458</v>
      </c>
      <c r="J661" t="s">
        <v>463</v>
      </c>
      <c r="K661">
        <v>2</v>
      </c>
      <c r="L661" t="s">
        <v>486</v>
      </c>
      <c r="M661" t="s">
        <v>556</v>
      </c>
      <c r="N661" t="s">
        <v>450</v>
      </c>
      <c r="O661" t="s">
        <v>453</v>
      </c>
      <c r="P661" t="s">
        <v>158</v>
      </c>
      <c r="Q661">
        <v>8</v>
      </c>
      <c r="R661" t="s">
        <v>419</v>
      </c>
      <c r="S661">
        <v>8</v>
      </c>
      <c r="T661" t="s">
        <v>1516</v>
      </c>
      <c r="U661" t="s">
        <v>492</v>
      </c>
      <c r="V661" t="s">
        <v>1181</v>
      </c>
      <c r="W661" t="s">
        <v>399</v>
      </c>
      <c r="X661" t="s">
        <v>472</v>
      </c>
      <c r="Y661" t="s">
        <v>1723</v>
      </c>
    </row>
    <row r="662" spans="2:25">
      <c r="B662" t="s">
        <v>1717</v>
      </c>
      <c r="C662" t="s" vm="39">
        <v>701</v>
      </c>
      <c r="D662" t="s">
        <v>100</v>
      </c>
      <c r="E662" t="s">
        <v>485</v>
      </c>
      <c r="F662" t="s">
        <v>461</v>
      </c>
      <c r="G662" t="s">
        <v>473</v>
      </c>
      <c r="H662">
        <v>1</v>
      </c>
      <c r="I662" t="s">
        <v>458</v>
      </c>
      <c r="J662" t="s">
        <v>463</v>
      </c>
      <c r="K662">
        <v>2</v>
      </c>
      <c r="L662" t="s">
        <v>486</v>
      </c>
      <c r="M662" t="s">
        <v>556</v>
      </c>
      <c r="N662" t="s">
        <v>450</v>
      </c>
      <c r="O662" t="s">
        <v>453</v>
      </c>
      <c r="P662" t="s">
        <v>158</v>
      </c>
      <c r="Q662">
        <v>8</v>
      </c>
      <c r="R662" t="s">
        <v>419</v>
      </c>
      <c r="S662">
        <v>8</v>
      </c>
      <c r="T662" t="s">
        <v>1516</v>
      </c>
      <c r="U662" t="s">
        <v>492</v>
      </c>
      <c r="V662" t="s">
        <v>1181</v>
      </c>
      <c r="W662" t="s">
        <v>399</v>
      </c>
      <c r="X662" t="s">
        <v>472</v>
      </c>
      <c r="Y662" t="s">
        <v>1718</v>
      </c>
    </row>
    <row r="663" spans="2:25">
      <c r="B663" t="s">
        <v>1713</v>
      </c>
      <c r="C663" t="s" vm="39">
        <v>701</v>
      </c>
      <c r="D663" t="s">
        <v>100</v>
      </c>
      <c r="E663" t="s">
        <v>485</v>
      </c>
      <c r="F663" t="s">
        <v>461</v>
      </c>
      <c r="G663" t="s">
        <v>473</v>
      </c>
      <c r="H663">
        <v>1</v>
      </c>
      <c r="I663" t="s">
        <v>456</v>
      </c>
      <c r="J663" t="s">
        <v>463</v>
      </c>
      <c r="K663">
        <v>2</v>
      </c>
      <c r="L663" t="s">
        <v>486</v>
      </c>
      <c r="M663" t="s">
        <v>556</v>
      </c>
      <c r="N663" t="s">
        <v>450</v>
      </c>
      <c r="O663" t="s">
        <v>453</v>
      </c>
      <c r="P663" t="s">
        <v>158</v>
      </c>
      <c r="Q663">
        <v>8</v>
      </c>
      <c r="R663" t="s">
        <v>419</v>
      </c>
      <c r="S663">
        <v>8</v>
      </c>
      <c r="T663" t="s">
        <v>1516</v>
      </c>
      <c r="U663" t="s">
        <v>492</v>
      </c>
      <c r="V663" t="s">
        <v>1181</v>
      </c>
      <c r="W663" t="s">
        <v>399</v>
      </c>
      <c r="X663" t="s">
        <v>472</v>
      </c>
      <c r="Y663" t="s">
        <v>1714</v>
      </c>
    </row>
    <row r="664" spans="2:25">
      <c r="B664" t="s">
        <v>1703</v>
      </c>
      <c r="C664" t="s" vm="39">
        <v>701</v>
      </c>
      <c r="D664" t="s">
        <v>100</v>
      </c>
      <c r="E664" t="s">
        <v>485</v>
      </c>
      <c r="F664" t="s">
        <v>461</v>
      </c>
      <c r="G664" t="s">
        <v>473</v>
      </c>
      <c r="H664">
        <v>1</v>
      </c>
      <c r="I664" t="s">
        <v>458</v>
      </c>
      <c r="J664" t="s">
        <v>463</v>
      </c>
      <c r="K664">
        <v>2</v>
      </c>
      <c r="L664" t="s">
        <v>486</v>
      </c>
      <c r="M664" t="s">
        <v>556</v>
      </c>
      <c r="N664" t="s">
        <v>450</v>
      </c>
      <c r="O664" t="s">
        <v>453</v>
      </c>
      <c r="P664" t="s">
        <v>157</v>
      </c>
      <c r="Q664">
        <v>8</v>
      </c>
      <c r="R664" t="s">
        <v>416</v>
      </c>
      <c r="S664">
        <v>8</v>
      </c>
      <c r="T664" t="s">
        <v>1516</v>
      </c>
      <c r="U664" t="s">
        <v>492</v>
      </c>
      <c r="V664" t="s">
        <v>1181</v>
      </c>
      <c r="W664" t="s">
        <v>399</v>
      </c>
      <c r="X664" t="s">
        <v>472</v>
      </c>
      <c r="Y664" t="s">
        <v>1712</v>
      </c>
    </row>
    <row r="665" spans="2:25">
      <c r="B665" t="s">
        <v>1703</v>
      </c>
      <c r="C665" t="s" vm="39">
        <v>701</v>
      </c>
      <c r="D665" t="s">
        <v>100</v>
      </c>
      <c r="E665" t="s">
        <v>485</v>
      </c>
      <c r="F665" t="s">
        <v>461</v>
      </c>
      <c r="G665" t="s">
        <v>473</v>
      </c>
      <c r="H665">
        <v>1</v>
      </c>
      <c r="I665" t="s">
        <v>460</v>
      </c>
      <c r="J665" t="s">
        <v>463</v>
      </c>
      <c r="K665">
        <v>2</v>
      </c>
      <c r="L665" t="s">
        <v>486</v>
      </c>
      <c r="M665" t="s">
        <v>556</v>
      </c>
      <c r="N665" t="s">
        <v>450</v>
      </c>
      <c r="O665" t="s">
        <v>453</v>
      </c>
      <c r="P665" t="s">
        <v>157</v>
      </c>
      <c r="Q665">
        <v>8</v>
      </c>
      <c r="R665" t="s">
        <v>416</v>
      </c>
      <c r="S665">
        <v>8</v>
      </c>
      <c r="T665" t="s">
        <v>1516</v>
      </c>
      <c r="U665" t="s">
        <v>492</v>
      </c>
      <c r="V665" t="s">
        <v>1181</v>
      </c>
      <c r="W665" t="s">
        <v>399</v>
      </c>
      <c r="X665" t="s">
        <v>472</v>
      </c>
      <c r="Y665" t="s">
        <v>1711</v>
      </c>
    </row>
    <row r="666" spans="2:25">
      <c r="B666" t="s">
        <v>1703</v>
      </c>
      <c r="C666" t="s" vm="39">
        <v>701</v>
      </c>
      <c r="D666" t="s">
        <v>100</v>
      </c>
      <c r="E666" t="s">
        <v>485</v>
      </c>
      <c r="F666" t="s">
        <v>461</v>
      </c>
      <c r="G666" t="s">
        <v>473</v>
      </c>
      <c r="H666">
        <v>1</v>
      </c>
      <c r="I666" t="s">
        <v>460</v>
      </c>
      <c r="J666" t="s">
        <v>463</v>
      </c>
      <c r="K666">
        <v>2</v>
      </c>
      <c r="L666" t="s">
        <v>486</v>
      </c>
      <c r="M666" t="s">
        <v>556</v>
      </c>
      <c r="N666" t="s">
        <v>450</v>
      </c>
      <c r="O666" t="s">
        <v>453</v>
      </c>
      <c r="P666" t="s">
        <v>157</v>
      </c>
      <c r="Q666">
        <v>8</v>
      </c>
      <c r="R666" t="s">
        <v>416</v>
      </c>
      <c r="S666">
        <v>8</v>
      </c>
      <c r="T666" t="s">
        <v>1516</v>
      </c>
      <c r="U666" t="s">
        <v>492</v>
      </c>
      <c r="V666" t="s">
        <v>1181</v>
      </c>
      <c r="W666" t="s">
        <v>399</v>
      </c>
      <c r="X666" t="s">
        <v>472</v>
      </c>
      <c r="Y666" t="s">
        <v>1711</v>
      </c>
    </row>
    <row r="667" spans="2:25">
      <c r="B667" t="s">
        <v>1703</v>
      </c>
      <c r="C667" t="s" vm="39">
        <v>701</v>
      </c>
      <c r="D667" t="s">
        <v>100</v>
      </c>
      <c r="E667" t="s">
        <v>485</v>
      </c>
      <c r="F667" t="s">
        <v>461</v>
      </c>
      <c r="G667" t="s">
        <v>473</v>
      </c>
      <c r="H667">
        <v>1</v>
      </c>
      <c r="I667" t="s">
        <v>456</v>
      </c>
      <c r="J667" t="s">
        <v>463</v>
      </c>
      <c r="K667">
        <v>2</v>
      </c>
      <c r="L667" t="s">
        <v>486</v>
      </c>
      <c r="M667" t="s">
        <v>556</v>
      </c>
      <c r="N667" t="s">
        <v>450</v>
      </c>
      <c r="O667" t="s">
        <v>453</v>
      </c>
      <c r="P667" t="s">
        <v>157</v>
      </c>
      <c r="Q667">
        <v>8</v>
      </c>
      <c r="R667" t="s">
        <v>416</v>
      </c>
      <c r="S667">
        <v>8</v>
      </c>
      <c r="T667" t="s">
        <v>1516</v>
      </c>
      <c r="U667" t="s">
        <v>492</v>
      </c>
      <c r="V667" t="s">
        <v>1181</v>
      </c>
      <c r="W667" t="s">
        <v>399</v>
      </c>
      <c r="X667" t="s">
        <v>472</v>
      </c>
      <c r="Y667" t="s">
        <v>1708</v>
      </c>
    </row>
    <row r="668" spans="2:25">
      <c r="B668" t="s">
        <v>1703</v>
      </c>
      <c r="C668" t="s" vm="39">
        <v>701</v>
      </c>
      <c r="D668" t="s">
        <v>100</v>
      </c>
      <c r="E668" t="s">
        <v>485</v>
      </c>
      <c r="F668" t="s">
        <v>461</v>
      </c>
      <c r="G668" t="s">
        <v>473</v>
      </c>
      <c r="H668">
        <v>1</v>
      </c>
      <c r="I668" t="s">
        <v>456</v>
      </c>
      <c r="J668" t="s">
        <v>463</v>
      </c>
      <c r="K668">
        <v>2</v>
      </c>
      <c r="L668" t="s">
        <v>486</v>
      </c>
      <c r="M668" t="s">
        <v>556</v>
      </c>
      <c r="N668" t="s">
        <v>450</v>
      </c>
      <c r="O668" t="s">
        <v>453</v>
      </c>
      <c r="P668" t="s">
        <v>157</v>
      </c>
      <c r="Q668">
        <v>8</v>
      </c>
      <c r="R668" t="s">
        <v>416</v>
      </c>
      <c r="S668">
        <v>8</v>
      </c>
      <c r="T668" t="s">
        <v>1516</v>
      </c>
      <c r="U668" t="s">
        <v>492</v>
      </c>
      <c r="V668" t="s">
        <v>1181</v>
      </c>
      <c r="W668" t="s">
        <v>399</v>
      </c>
      <c r="X668" t="s">
        <v>472</v>
      </c>
      <c r="Y668" t="s">
        <v>1708</v>
      </c>
    </row>
    <row r="669" spans="2:25">
      <c r="B669" t="s">
        <v>1703</v>
      </c>
      <c r="C669" t="s" vm="39">
        <v>701</v>
      </c>
      <c r="D669" t="s">
        <v>100</v>
      </c>
      <c r="E669" t="s">
        <v>485</v>
      </c>
      <c r="F669" t="s">
        <v>461</v>
      </c>
      <c r="G669" t="s">
        <v>473</v>
      </c>
      <c r="H669">
        <v>1</v>
      </c>
      <c r="I669" t="s">
        <v>460</v>
      </c>
      <c r="J669" t="s">
        <v>463</v>
      </c>
      <c r="K669">
        <v>2</v>
      </c>
      <c r="L669" t="s">
        <v>486</v>
      </c>
      <c r="M669" t="s">
        <v>556</v>
      </c>
      <c r="N669" t="s">
        <v>450</v>
      </c>
      <c r="O669" t="s">
        <v>453</v>
      </c>
      <c r="P669" t="s">
        <v>157</v>
      </c>
      <c r="Q669">
        <v>8</v>
      </c>
      <c r="R669" t="s">
        <v>416</v>
      </c>
      <c r="S669">
        <v>8</v>
      </c>
      <c r="T669" t="s">
        <v>1516</v>
      </c>
      <c r="U669" t="s">
        <v>492</v>
      </c>
      <c r="V669" t="s">
        <v>1181</v>
      </c>
      <c r="W669" t="s">
        <v>399</v>
      </c>
      <c r="X669" t="s">
        <v>472</v>
      </c>
      <c r="Y669" t="s">
        <v>1707</v>
      </c>
    </row>
    <row r="670" spans="2:25">
      <c r="B670" t="s">
        <v>1703</v>
      </c>
      <c r="C670" t="s" vm="39">
        <v>701</v>
      </c>
      <c r="D670" t="s">
        <v>100</v>
      </c>
      <c r="E670" t="s">
        <v>485</v>
      </c>
      <c r="F670" t="s">
        <v>461</v>
      </c>
      <c r="G670" t="s">
        <v>473</v>
      </c>
      <c r="H670">
        <v>1</v>
      </c>
      <c r="I670" t="s">
        <v>460</v>
      </c>
      <c r="J670" t="s">
        <v>463</v>
      </c>
      <c r="K670">
        <v>2</v>
      </c>
      <c r="L670" t="s">
        <v>486</v>
      </c>
      <c r="M670" t="s">
        <v>556</v>
      </c>
      <c r="N670" t="s">
        <v>450</v>
      </c>
      <c r="O670" t="s">
        <v>453</v>
      </c>
      <c r="P670" t="s">
        <v>157</v>
      </c>
      <c r="Q670">
        <v>8</v>
      </c>
      <c r="R670" t="s">
        <v>416</v>
      </c>
      <c r="S670">
        <v>8</v>
      </c>
      <c r="T670" t="s">
        <v>1516</v>
      </c>
      <c r="U670" t="s">
        <v>492</v>
      </c>
      <c r="V670" t="s">
        <v>1181</v>
      </c>
      <c r="W670" t="s">
        <v>399</v>
      </c>
      <c r="X670" t="s">
        <v>472</v>
      </c>
      <c r="Y670" t="s">
        <v>1707</v>
      </c>
    </row>
    <row r="671" spans="2:25">
      <c r="B671" t="s">
        <v>1703</v>
      </c>
      <c r="C671" t="s" vm="39">
        <v>701</v>
      </c>
      <c r="D671" t="s">
        <v>100</v>
      </c>
      <c r="E671" t="s">
        <v>485</v>
      </c>
      <c r="F671" t="s">
        <v>461</v>
      </c>
      <c r="G671" t="s">
        <v>473</v>
      </c>
      <c r="H671">
        <v>1</v>
      </c>
      <c r="I671" t="s">
        <v>460</v>
      </c>
      <c r="J671" t="s">
        <v>463</v>
      </c>
      <c r="K671">
        <v>2</v>
      </c>
      <c r="L671" t="s">
        <v>486</v>
      </c>
      <c r="M671" t="s">
        <v>556</v>
      </c>
      <c r="N671" t="s">
        <v>450</v>
      </c>
      <c r="O671" t="s">
        <v>453</v>
      </c>
      <c r="P671" t="s">
        <v>157</v>
      </c>
      <c r="Q671">
        <v>8</v>
      </c>
      <c r="R671" t="s">
        <v>416</v>
      </c>
      <c r="S671">
        <v>8</v>
      </c>
      <c r="T671" t="s">
        <v>1516</v>
      </c>
      <c r="U671" t="s">
        <v>492</v>
      </c>
      <c r="V671" t="s">
        <v>1181</v>
      </c>
      <c r="W671" t="s">
        <v>399</v>
      </c>
      <c r="X671" t="s">
        <v>472</v>
      </c>
      <c r="Y671" t="s">
        <v>1705</v>
      </c>
    </row>
    <row r="672" spans="2:25">
      <c r="B672" t="s">
        <v>1703</v>
      </c>
      <c r="C672" t="s" vm="39">
        <v>701</v>
      </c>
      <c r="D672" t="s">
        <v>100</v>
      </c>
      <c r="E672" t="s">
        <v>485</v>
      </c>
      <c r="F672" t="s">
        <v>461</v>
      </c>
      <c r="G672" t="s">
        <v>473</v>
      </c>
      <c r="H672">
        <v>1</v>
      </c>
      <c r="I672" t="s">
        <v>456</v>
      </c>
      <c r="J672" t="s">
        <v>463</v>
      </c>
      <c r="K672">
        <v>2</v>
      </c>
      <c r="L672" t="s">
        <v>486</v>
      </c>
      <c r="M672" t="s">
        <v>556</v>
      </c>
      <c r="N672" t="s">
        <v>450</v>
      </c>
      <c r="O672" t="s">
        <v>453</v>
      </c>
      <c r="P672" t="s">
        <v>157</v>
      </c>
      <c r="Q672">
        <v>8</v>
      </c>
      <c r="R672" t="s">
        <v>416</v>
      </c>
      <c r="S672">
        <v>8</v>
      </c>
      <c r="T672" t="s">
        <v>1516</v>
      </c>
      <c r="U672" t="s">
        <v>492</v>
      </c>
      <c r="V672" t="s">
        <v>1181</v>
      </c>
      <c r="W672" t="s">
        <v>399</v>
      </c>
      <c r="X672" t="s">
        <v>472</v>
      </c>
      <c r="Y672" t="s">
        <v>1706</v>
      </c>
    </row>
    <row r="673" spans="2:25">
      <c r="B673" t="s">
        <v>1703</v>
      </c>
      <c r="C673" t="s" vm="39">
        <v>701</v>
      </c>
      <c r="D673" t="s">
        <v>100</v>
      </c>
      <c r="E673" t="s">
        <v>485</v>
      </c>
      <c r="F673" t="s">
        <v>461</v>
      </c>
      <c r="G673" t="s">
        <v>473</v>
      </c>
      <c r="H673">
        <v>1</v>
      </c>
      <c r="I673" t="s">
        <v>460</v>
      </c>
      <c r="J673" t="s">
        <v>463</v>
      </c>
      <c r="K673">
        <v>2</v>
      </c>
      <c r="L673" t="s">
        <v>486</v>
      </c>
      <c r="M673" t="s">
        <v>556</v>
      </c>
      <c r="N673" t="s">
        <v>450</v>
      </c>
      <c r="O673" t="s">
        <v>453</v>
      </c>
      <c r="P673" t="s">
        <v>157</v>
      </c>
      <c r="Q673">
        <v>8</v>
      </c>
      <c r="R673" t="s">
        <v>416</v>
      </c>
      <c r="S673">
        <v>8</v>
      </c>
      <c r="T673" t="s">
        <v>1516</v>
      </c>
      <c r="U673" t="s">
        <v>492</v>
      </c>
      <c r="V673" t="s">
        <v>1181</v>
      </c>
      <c r="W673" t="s">
        <v>399</v>
      </c>
      <c r="X673" t="s">
        <v>472</v>
      </c>
      <c r="Y673" t="s">
        <v>1705</v>
      </c>
    </row>
    <row r="674" spans="2:25">
      <c r="B674" t="s">
        <v>1703</v>
      </c>
      <c r="C674" t="s" vm="39">
        <v>701</v>
      </c>
      <c r="D674" t="s">
        <v>100</v>
      </c>
      <c r="E674" t="s">
        <v>485</v>
      </c>
      <c r="F674" t="s">
        <v>461</v>
      </c>
      <c r="G674" t="s">
        <v>473</v>
      </c>
      <c r="H674">
        <v>1</v>
      </c>
      <c r="I674" t="s">
        <v>460</v>
      </c>
      <c r="J674" t="s">
        <v>463</v>
      </c>
      <c r="K674">
        <v>2</v>
      </c>
      <c r="L674" t="s">
        <v>486</v>
      </c>
      <c r="M674" t="s">
        <v>556</v>
      </c>
      <c r="N674" t="s">
        <v>450</v>
      </c>
      <c r="O674" t="s">
        <v>453</v>
      </c>
      <c r="P674" t="s">
        <v>157</v>
      </c>
      <c r="Q674">
        <v>8</v>
      </c>
      <c r="R674" t="s">
        <v>416</v>
      </c>
      <c r="S674">
        <v>8</v>
      </c>
      <c r="T674" t="s">
        <v>1485</v>
      </c>
      <c r="U674" t="s">
        <v>492</v>
      </c>
      <c r="V674" t="s">
        <v>1181</v>
      </c>
      <c r="W674" t="s">
        <v>399</v>
      </c>
      <c r="X674" t="s">
        <v>472</v>
      </c>
      <c r="Y674" t="s">
        <v>1704</v>
      </c>
    </row>
    <row r="675" spans="2:25">
      <c r="B675" t="s">
        <v>1700</v>
      </c>
      <c r="C675" t="s" vm="39">
        <v>701</v>
      </c>
      <c r="D675" t="s">
        <v>100</v>
      </c>
      <c r="E675" t="s">
        <v>485</v>
      </c>
      <c r="F675" t="s">
        <v>461</v>
      </c>
      <c r="G675" t="s">
        <v>473</v>
      </c>
      <c r="H675">
        <v>1</v>
      </c>
      <c r="I675" t="s">
        <v>458</v>
      </c>
      <c r="J675" t="s">
        <v>463</v>
      </c>
      <c r="K675">
        <v>2</v>
      </c>
      <c r="L675" t="s">
        <v>486</v>
      </c>
      <c r="M675" t="s">
        <v>1475</v>
      </c>
      <c r="N675" t="s">
        <v>450</v>
      </c>
      <c r="O675" t="s">
        <v>453</v>
      </c>
      <c r="P675" t="s">
        <v>158</v>
      </c>
      <c r="Q675">
        <v>8</v>
      </c>
      <c r="R675" t="s">
        <v>1494</v>
      </c>
      <c r="S675">
        <v>8</v>
      </c>
      <c r="T675" t="s">
        <v>1485</v>
      </c>
      <c r="U675" t="s">
        <v>492</v>
      </c>
      <c r="V675" t="s">
        <v>1181</v>
      </c>
      <c r="W675" t="s">
        <v>399</v>
      </c>
      <c r="X675" t="s">
        <v>472</v>
      </c>
      <c r="Y675" t="s">
        <v>1702</v>
      </c>
    </row>
    <row r="676" spans="2:25">
      <c r="B676" t="s">
        <v>1700</v>
      </c>
      <c r="C676" t="s" vm="39">
        <v>701</v>
      </c>
      <c r="D676" t="s">
        <v>100</v>
      </c>
      <c r="E676" t="s">
        <v>485</v>
      </c>
      <c r="F676" t="s">
        <v>461</v>
      </c>
      <c r="G676" t="s">
        <v>473</v>
      </c>
      <c r="H676">
        <v>1</v>
      </c>
      <c r="I676" t="s">
        <v>456</v>
      </c>
      <c r="J676" t="s">
        <v>463</v>
      </c>
      <c r="K676">
        <v>2</v>
      </c>
      <c r="L676" t="s">
        <v>486</v>
      </c>
      <c r="M676" t="s">
        <v>556</v>
      </c>
      <c r="N676" t="s">
        <v>450</v>
      </c>
      <c r="O676" t="s">
        <v>453</v>
      </c>
      <c r="P676" t="s">
        <v>421</v>
      </c>
      <c r="Q676">
        <v>0</v>
      </c>
      <c r="R676" t="s">
        <v>159</v>
      </c>
      <c r="S676">
        <v>0</v>
      </c>
      <c r="T676" t="s">
        <v>1516</v>
      </c>
      <c r="U676" t="s">
        <v>492</v>
      </c>
      <c r="V676" t="s">
        <v>1181</v>
      </c>
      <c r="W676" t="s">
        <v>399</v>
      </c>
      <c r="X676" t="s">
        <v>472</v>
      </c>
      <c r="Y676" t="s">
        <v>1701</v>
      </c>
    </row>
    <row r="677" spans="2:25">
      <c r="B677" t="s">
        <v>1688</v>
      </c>
      <c r="C677" t="s" vm="39">
        <v>701</v>
      </c>
      <c r="D677" t="s">
        <v>100</v>
      </c>
      <c r="E677" t="s">
        <v>485</v>
      </c>
      <c r="F677" t="s">
        <v>461</v>
      </c>
      <c r="G677" t="s">
        <v>473</v>
      </c>
      <c r="H677">
        <v>1</v>
      </c>
      <c r="I677" t="s">
        <v>456</v>
      </c>
      <c r="J677" t="s">
        <v>464</v>
      </c>
      <c r="K677">
        <v>1</v>
      </c>
      <c r="L677" t="s">
        <v>486</v>
      </c>
      <c r="M677" t="s">
        <v>556</v>
      </c>
      <c r="N677" t="s">
        <v>450</v>
      </c>
      <c r="O677" t="s">
        <v>453</v>
      </c>
      <c r="P677" t="s">
        <v>158</v>
      </c>
      <c r="Q677">
        <v>8</v>
      </c>
      <c r="R677" t="s">
        <v>123</v>
      </c>
      <c r="S677">
        <v>0</v>
      </c>
      <c r="T677" t="s">
        <v>402</v>
      </c>
      <c r="U677" t="s">
        <v>492</v>
      </c>
      <c r="V677" t="s">
        <v>1181</v>
      </c>
      <c r="W677" t="s">
        <v>399</v>
      </c>
      <c r="X677" t="s">
        <v>472</v>
      </c>
      <c r="Y677" t="s">
        <v>1697</v>
      </c>
    </row>
    <row r="678" spans="2:25">
      <c r="B678" t="s">
        <v>1688</v>
      </c>
      <c r="C678" t="s" vm="39">
        <v>701</v>
      </c>
      <c r="D678" t="s">
        <v>100</v>
      </c>
      <c r="E678" t="s">
        <v>485</v>
      </c>
      <c r="F678" t="s">
        <v>461</v>
      </c>
      <c r="G678" t="s">
        <v>473</v>
      </c>
      <c r="H678">
        <v>1</v>
      </c>
      <c r="I678" t="s">
        <v>458</v>
      </c>
      <c r="J678" t="s">
        <v>464</v>
      </c>
      <c r="K678">
        <v>1</v>
      </c>
      <c r="L678" t="s">
        <v>486</v>
      </c>
      <c r="M678" t="s">
        <v>556</v>
      </c>
      <c r="N678" t="s">
        <v>450</v>
      </c>
      <c r="O678" t="s">
        <v>453</v>
      </c>
      <c r="P678" t="s">
        <v>158</v>
      </c>
      <c r="Q678">
        <v>8</v>
      </c>
      <c r="R678" t="s">
        <v>123</v>
      </c>
      <c r="S678">
        <v>0</v>
      </c>
      <c r="T678" t="s">
        <v>402</v>
      </c>
      <c r="U678" t="s">
        <v>492</v>
      </c>
      <c r="V678" t="s">
        <v>1181</v>
      </c>
      <c r="W678" t="s">
        <v>399</v>
      </c>
      <c r="X678" t="s">
        <v>472</v>
      </c>
      <c r="Y678" t="s">
        <v>1696</v>
      </c>
    </row>
    <row r="679" spans="2:25">
      <c r="B679" t="s">
        <v>1688</v>
      </c>
      <c r="C679" t="s" vm="39">
        <v>701</v>
      </c>
      <c r="D679" t="s">
        <v>100</v>
      </c>
      <c r="E679" t="s">
        <v>485</v>
      </c>
      <c r="F679" t="s">
        <v>461</v>
      </c>
      <c r="G679" t="s">
        <v>473</v>
      </c>
      <c r="H679">
        <v>1</v>
      </c>
      <c r="I679" t="s">
        <v>458</v>
      </c>
      <c r="J679" t="s">
        <v>464</v>
      </c>
      <c r="K679">
        <v>2</v>
      </c>
      <c r="L679" t="s">
        <v>486</v>
      </c>
      <c r="M679" t="s">
        <v>556</v>
      </c>
      <c r="N679" t="s">
        <v>450</v>
      </c>
      <c r="O679" t="s">
        <v>453</v>
      </c>
      <c r="P679" t="s">
        <v>158</v>
      </c>
      <c r="Q679">
        <v>8</v>
      </c>
      <c r="R679" t="s">
        <v>123</v>
      </c>
      <c r="S679">
        <v>0</v>
      </c>
      <c r="T679" t="s">
        <v>402</v>
      </c>
      <c r="U679" t="s">
        <v>492</v>
      </c>
      <c r="V679" t="s">
        <v>1181</v>
      </c>
      <c r="W679" t="s">
        <v>399</v>
      </c>
      <c r="X679" t="s">
        <v>472</v>
      </c>
      <c r="Y679" t="s">
        <v>1693</v>
      </c>
    </row>
    <row r="680" spans="2:25">
      <c r="B680" t="s">
        <v>1688</v>
      </c>
      <c r="C680" t="s" vm="39">
        <v>701</v>
      </c>
      <c r="D680" t="s">
        <v>100</v>
      </c>
      <c r="E680" t="s">
        <v>485</v>
      </c>
      <c r="F680" t="s">
        <v>461</v>
      </c>
      <c r="G680" t="s">
        <v>473</v>
      </c>
      <c r="H680">
        <v>1</v>
      </c>
      <c r="I680" t="s">
        <v>458</v>
      </c>
      <c r="J680" t="s">
        <v>464</v>
      </c>
      <c r="K680">
        <v>2</v>
      </c>
      <c r="L680" t="s">
        <v>486</v>
      </c>
      <c r="M680" t="s">
        <v>556</v>
      </c>
      <c r="N680" t="s">
        <v>450</v>
      </c>
      <c r="O680" t="s">
        <v>453</v>
      </c>
      <c r="P680" t="s">
        <v>158</v>
      </c>
      <c r="Q680">
        <v>8</v>
      </c>
      <c r="R680" t="s">
        <v>123</v>
      </c>
      <c r="S680">
        <v>0</v>
      </c>
      <c r="T680" t="s">
        <v>402</v>
      </c>
      <c r="U680" t="s">
        <v>492</v>
      </c>
      <c r="V680" t="s">
        <v>1181</v>
      </c>
      <c r="W680" t="s">
        <v>399</v>
      </c>
      <c r="X680" t="s">
        <v>472</v>
      </c>
      <c r="Y680" t="s">
        <v>1693</v>
      </c>
    </row>
    <row r="681" spans="2:25">
      <c r="B681" t="s">
        <v>1688</v>
      </c>
      <c r="C681" t="s" vm="39">
        <v>701</v>
      </c>
      <c r="D681" t="s">
        <v>100</v>
      </c>
      <c r="E681" t="s">
        <v>485</v>
      </c>
      <c r="F681" t="s">
        <v>461</v>
      </c>
      <c r="G681" t="s">
        <v>473</v>
      </c>
      <c r="H681">
        <v>1</v>
      </c>
      <c r="I681" t="s">
        <v>458</v>
      </c>
      <c r="J681" t="s">
        <v>464</v>
      </c>
      <c r="K681">
        <v>2</v>
      </c>
      <c r="L681" t="s">
        <v>486</v>
      </c>
      <c r="M681" t="s">
        <v>556</v>
      </c>
      <c r="N681" t="s">
        <v>450</v>
      </c>
      <c r="O681" t="s">
        <v>453</v>
      </c>
      <c r="P681" t="s">
        <v>158</v>
      </c>
      <c r="Q681">
        <v>8</v>
      </c>
      <c r="R681" t="s">
        <v>123</v>
      </c>
      <c r="S681">
        <v>0</v>
      </c>
      <c r="T681" t="s">
        <v>402</v>
      </c>
      <c r="U681" t="s">
        <v>492</v>
      </c>
      <c r="V681" t="s">
        <v>1181</v>
      </c>
      <c r="W681" t="s">
        <v>399</v>
      </c>
      <c r="X681" t="s">
        <v>472</v>
      </c>
      <c r="Y681" t="s">
        <v>1692</v>
      </c>
    </row>
    <row r="682" spans="2:25">
      <c r="B682" t="s">
        <v>1688</v>
      </c>
      <c r="C682" t="s" vm="39">
        <v>701</v>
      </c>
      <c r="D682" t="s">
        <v>100</v>
      </c>
      <c r="E682" t="s">
        <v>485</v>
      </c>
      <c r="F682" t="s">
        <v>461</v>
      </c>
      <c r="G682" t="s">
        <v>473</v>
      </c>
      <c r="H682">
        <v>1</v>
      </c>
      <c r="I682" t="s">
        <v>458</v>
      </c>
      <c r="J682" t="s">
        <v>464</v>
      </c>
      <c r="K682">
        <v>2</v>
      </c>
      <c r="L682" t="s">
        <v>486</v>
      </c>
      <c r="M682" t="s">
        <v>556</v>
      </c>
      <c r="N682" t="s">
        <v>450</v>
      </c>
      <c r="O682" t="s">
        <v>453</v>
      </c>
      <c r="P682" t="s">
        <v>158</v>
      </c>
      <c r="Q682">
        <v>8</v>
      </c>
      <c r="R682" t="s">
        <v>123</v>
      </c>
      <c r="S682">
        <v>0</v>
      </c>
      <c r="T682" t="s">
        <v>402</v>
      </c>
      <c r="U682" t="s">
        <v>492</v>
      </c>
      <c r="V682" t="s">
        <v>1181</v>
      </c>
      <c r="W682" t="s">
        <v>399</v>
      </c>
      <c r="X682" t="s">
        <v>472</v>
      </c>
      <c r="Y682" t="s">
        <v>1691</v>
      </c>
    </row>
    <row r="683" spans="2:25">
      <c r="B683" t="s">
        <v>1688</v>
      </c>
      <c r="C683" t="s" vm="39">
        <v>701</v>
      </c>
      <c r="D683" t="s">
        <v>100</v>
      </c>
      <c r="E683" t="s">
        <v>485</v>
      </c>
      <c r="F683" t="s">
        <v>461</v>
      </c>
      <c r="G683" t="s">
        <v>473</v>
      </c>
      <c r="H683">
        <v>1</v>
      </c>
      <c r="I683" t="s">
        <v>458</v>
      </c>
      <c r="J683" t="s">
        <v>464</v>
      </c>
      <c r="K683">
        <v>2</v>
      </c>
      <c r="L683" t="s">
        <v>486</v>
      </c>
      <c r="M683" t="s">
        <v>556</v>
      </c>
      <c r="N683" t="s">
        <v>450</v>
      </c>
      <c r="O683" t="s">
        <v>453</v>
      </c>
      <c r="P683" t="s">
        <v>158</v>
      </c>
      <c r="Q683">
        <v>8</v>
      </c>
      <c r="R683" t="s">
        <v>123</v>
      </c>
      <c r="S683">
        <v>0</v>
      </c>
      <c r="T683" t="s">
        <v>402</v>
      </c>
      <c r="U683" t="s">
        <v>492</v>
      </c>
      <c r="V683" t="s">
        <v>1181</v>
      </c>
      <c r="W683" t="s">
        <v>399</v>
      </c>
      <c r="X683" t="s">
        <v>472</v>
      </c>
      <c r="Y683" t="s">
        <v>1690</v>
      </c>
    </row>
    <row r="684" spans="2:25">
      <c r="B684" t="s">
        <v>1688</v>
      </c>
      <c r="C684" t="s" vm="39">
        <v>701</v>
      </c>
      <c r="D684" t="s">
        <v>100</v>
      </c>
      <c r="E684" t="s">
        <v>485</v>
      </c>
      <c r="F684" t="s">
        <v>461</v>
      </c>
      <c r="G684" t="s">
        <v>473</v>
      </c>
      <c r="H684">
        <v>1</v>
      </c>
      <c r="I684" t="s">
        <v>458</v>
      </c>
      <c r="J684" t="s">
        <v>464</v>
      </c>
      <c r="K684">
        <v>2</v>
      </c>
      <c r="L684" t="s">
        <v>486</v>
      </c>
      <c r="M684" t="s">
        <v>556</v>
      </c>
      <c r="N684" t="s">
        <v>450</v>
      </c>
      <c r="O684" t="s">
        <v>453</v>
      </c>
      <c r="P684" t="s">
        <v>158</v>
      </c>
      <c r="Q684">
        <v>8</v>
      </c>
      <c r="R684" t="s">
        <v>123</v>
      </c>
      <c r="S684">
        <v>0</v>
      </c>
      <c r="T684" t="s">
        <v>402</v>
      </c>
      <c r="U684" t="s">
        <v>492</v>
      </c>
      <c r="V684" t="s">
        <v>1181</v>
      </c>
      <c r="W684" t="s">
        <v>399</v>
      </c>
      <c r="X684" t="s">
        <v>472</v>
      </c>
      <c r="Y684" t="s">
        <v>1689</v>
      </c>
    </row>
    <row r="685" spans="2:25">
      <c r="B685" t="s">
        <v>1683</v>
      </c>
      <c r="C685" t="s" vm="39">
        <v>701</v>
      </c>
      <c r="D685" t="s">
        <v>100</v>
      </c>
      <c r="E685" t="s">
        <v>485</v>
      </c>
      <c r="F685" t="s">
        <v>461</v>
      </c>
      <c r="G685" t="s">
        <v>473</v>
      </c>
      <c r="H685">
        <v>1</v>
      </c>
      <c r="I685" t="s">
        <v>501</v>
      </c>
      <c r="J685" t="s">
        <v>463</v>
      </c>
      <c r="K685">
        <v>2</v>
      </c>
      <c r="L685" t="s">
        <v>486</v>
      </c>
      <c r="M685" t="s">
        <v>492</v>
      </c>
      <c r="N685" t="s">
        <v>496</v>
      </c>
      <c r="O685" t="s">
        <v>453</v>
      </c>
      <c r="P685" t="s">
        <v>157</v>
      </c>
      <c r="Q685">
        <v>8</v>
      </c>
      <c r="R685" t="s">
        <v>419</v>
      </c>
      <c r="S685">
        <v>8</v>
      </c>
      <c r="T685" t="s">
        <v>1516</v>
      </c>
      <c r="U685" t="s">
        <v>492</v>
      </c>
      <c r="V685" t="s">
        <v>1181</v>
      </c>
      <c r="W685" t="s">
        <v>123</v>
      </c>
      <c r="X685" t="s">
        <v>123</v>
      </c>
      <c r="Y685" t="s">
        <v>1687</v>
      </c>
    </row>
    <row r="686" spans="2:25">
      <c r="B686" t="s">
        <v>1683</v>
      </c>
      <c r="C686" t="s" vm="39">
        <v>701</v>
      </c>
      <c r="D686" t="s">
        <v>100</v>
      </c>
      <c r="E686" t="s">
        <v>485</v>
      </c>
      <c r="F686">
        <v>0</v>
      </c>
      <c r="G686" t="s">
        <v>473</v>
      </c>
      <c r="H686">
        <v>1</v>
      </c>
      <c r="I686" t="s">
        <v>460</v>
      </c>
      <c r="J686" t="s">
        <v>464</v>
      </c>
      <c r="K686">
        <v>2</v>
      </c>
      <c r="L686" t="s">
        <v>486</v>
      </c>
      <c r="M686" t="s">
        <v>492</v>
      </c>
      <c r="N686" t="s">
        <v>496</v>
      </c>
      <c r="O686" t="s">
        <v>453</v>
      </c>
      <c r="P686" t="s">
        <v>158</v>
      </c>
      <c r="Q686">
        <v>8</v>
      </c>
      <c r="R686" t="s">
        <v>416</v>
      </c>
      <c r="S686">
        <v>8</v>
      </c>
      <c r="T686" t="s">
        <v>402</v>
      </c>
      <c r="U686" t="s">
        <v>492</v>
      </c>
      <c r="V686" t="s">
        <v>1181</v>
      </c>
      <c r="W686" t="s">
        <v>123</v>
      </c>
      <c r="X686" t="s">
        <v>471</v>
      </c>
      <c r="Y686" t="s">
        <v>1686</v>
      </c>
    </row>
    <row r="687" spans="2:25">
      <c r="B687" t="s">
        <v>1683</v>
      </c>
      <c r="C687" t="s" vm="39">
        <v>701</v>
      </c>
      <c r="D687" t="s">
        <v>100</v>
      </c>
      <c r="E687" t="s">
        <v>485</v>
      </c>
      <c r="F687" t="s">
        <v>461</v>
      </c>
      <c r="G687" t="s">
        <v>487</v>
      </c>
      <c r="H687" t="s">
        <v>123</v>
      </c>
      <c r="I687" t="s">
        <v>456</v>
      </c>
      <c r="J687" t="s">
        <v>463</v>
      </c>
      <c r="K687">
        <v>2</v>
      </c>
      <c r="L687" t="s">
        <v>486</v>
      </c>
      <c r="M687" t="s">
        <v>1022</v>
      </c>
      <c r="N687" t="s">
        <v>450</v>
      </c>
      <c r="O687" t="s">
        <v>453</v>
      </c>
      <c r="P687" t="s">
        <v>157</v>
      </c>
      <c r="Q687">
        <v>8</v>
      </c>
      <c r="R687" t="s">
        <v>419</v>
      </c>
      <c r="S687">
        <v>8</v>
      </c>
      <c r="T687" t="s">
        <v>1516</v>
      </c>
      <c r="U687" t="s">
        <v>492</v>
      </c>
      <c r="V687" t="s">
        <v>1181</v>
      </c>
      <c r="W687" t="s">
        <v>123</v>
      </c>
      <c r="X687" t="s">
        <v>472</v>
      </c>
      <c r="Y687" t="s">
        <v>1685</v>
      </c>
    </row>
    <row r="688" spans="2:25">
      <c r="B688" t="s">
        <v>1683</v>
      </c>
      <c r="C688" t="s" vm="39">
        <v>701</v>
      </c>
      <c r="D688" t="s">
        <v>100</v>
      </c>
      <c r="E688" t="s">
        <v>485</v>
      </c>
      <c r="F688" t="s">
        <v>461</v>
      </c>
      <c r="G688" t="s">
        <v>487</v>
      </c>
      <c r="H688" t="s">
        <v>123</v>
      </c>
      <c r="I688" t="s">
        <v>456</v>
      </c>
      <c r="J688" t="s">
        <v>463</v>
      </c>
      <c r="K688">
        <v>2</v>
      </c>
      <c r="L688" t="s">
        <v>486</v>
      </c>
      <c r="M688" t="s">
        <v>1022</v>
      </c>
      <c r="N688" t="s">
        <v>450</v>
      </c>
      <c r="O688" t="s">
        <v>453</v>
      </c>
      <c r="P688" t="s">
        <v>157</v>
      </c>
      <c r="Q688">
        <v>8</v>
      </c>
      <c r="R688" t="s">
        <v>419</v>
      </c>
      <c r="S688">
        <v>8</v>
      </c>
      <c r="T688" t="s">
        <v>1516</v>
      </c>
      <c r="U688" t="s">
        <v>492</v>
      </c>
      <c r="V688" t="s">
        <v>1181</v>
      </c>
      <c r="W688" t="s">
        <v>123</v>
      </c>
      <c r="X688" t="s">
        <v>472</v>
      </c>
      <c r="Y688" t="s">
        <v>1684</v>
      </c>
    </row>
    <row r="689" spans="2:25">
      <c r="B689" t="s">
        <v>1676</v>
      </c>
      <c r="C689" t="s" vm="39">
        <v>701</v>
      </c>
      <c r="D689" t="s">
        <v>100</v>
      </c>
      <c r="E689" t="s">
        <v>485</v>
      </c>
      <c r="F689" t="s">
        <v>461</v>
      </c>
      <c r="G689" t="s">
        <v>473</v>
      </c>
      <c r="H689">
        <v>1</v>
      </c>
      <c r="I689" t="s">
        <v>456</v>
      </c>
      <c r="J689" t="s">
        <v>463</v>
      </c>
      <c r="K689">
        <v>2</v>
      </c>
      <c r="L689" t="s">
        <v>486</v>
      </c>
      <c r="M689" t="s">
        <v>556</v>
      </c>
      <c r="N689" t="s">
        <v>450</v>
      </c>
      <c r="O689" t="s">
        <v>453</v>
      </c>
      <c r="P689" t="s">
        <v>421</v>
      </c>
      <c r="Q689">
        <v>0</v>
      </c>
      <c r="R689" t="s">
        <v>159</v>
      </c>
      <c r="S689">
        <v>0</v>
      </c>
      <c r="T689" t="s">
        <v>1516</v>
      </c>
      <c r="U689" t="s">
        <v>492</v>
      </c>
      <c r="V689" t="s">
        <v>1181</v>
      </c>
      <c r="W689" t="s">
        <v>123</v>
      </c>
      <c r="X689" t="s">
        <v>472</v>
      </c>
      <c r="Y689" t="s">
        <v>1679</v>
      </c>
    </row>
    <row r="690" spans="2:25">
      <c r="B690" t="s">
        <v>1676</v>
      </c>
      <c r="C690" t="s" vm="39">
        <v>701</v>
      </c>
      <c r="D690" t="s">
        <v>100</v>
      </c>
      <c r="E690" t="s">
        <v>485</v>
      </c>
      <c r="F690" t="s">
        <v>461</v>
      </c>
      <c r="G690" t="s">
        <v>473</v>
      </c>
      <c r="H690">
        <v>1</v>
      </c>
      <c r="I690" t="s">
        <v>456</v>
      </c>
      <c r="J690" t="s">
        <v>463</v>
      </c>
      <c r="K690">
        <v>2</v>
      </c>
      <c r="L690" t="s">
        <v>486</v>
      </c>
      <c r="M690" t="s">
        <v>556</v>
      </c>
      <c r="N690" t="s">
        <v>450</v>
      </c>
      <c r="O690" t="s">
        <v>453</v>
      </c>
      <c r="P690" t="s">
        <v>421</v>
      </c>
      <c r="Q690">
        <v>0</v>
      </c>
      <c r="R690" t="s">
        <v>159</v>
      </c>
      <c r="S690">
        <v>0</v>
      </c>
      <c r="T690" t="s">
        <v>1516</v>
      </c>
      <c r="U690" t="s">
        <v>492</v>
      </c>
      <c r="V690" t="s">
        <v>1181</v>
      </c>
      <c r="W690" t="s">
        <v>123</v>
      </c>
      <c r="X690" t="s">
        <v>472</v>
      </c>
      <c r="Y690" t="s">
        <v>1678</v>
      </c>
    </row>
    <row r="691" spans="2:25">
      <c r="B691" t="s">
        <v>1676</v>
      </c>
      <c r="C691" t="s" vm="39">
        <v>701</v>
      </c>
      <c r="D691" t="s">
        <v>100</v>
      </c>
      <c r="E691" t="s">
        <v>485</v>
      </c>
      <c r="F691" t="s">
        <v>461</v>
      </c>
      <c r="G691" t="s">
        <v>473</v>
      </c>
      <c r="H691">
        <v>1</v>
      </c>
      <c r="I691" t="s">
        <v>456</v>
      </c>
      <c r="J691" t="s">
        <v>463</v>
      </c>
      <c r="K691">
        <v>2</v>
      </c>
      <c r="L691" t="s">
        <v>486</v>
      </c>
      <c r="M691" t="s">
        <v>556</v>
      </c>
      <c r="N691" t="s">
        <v>450</v>
      </c>
      <c r="O691" t="s">
        <v>453</v>
      </c>
      <c r="P691" t="s">
        <v>421</v>
      </c>
      <c r="Q691">
        <v>0</v>
      </c>
      <c r="R691" t="s">
        <v>159</v>
      </c>
      <c r="S691">
        <v>0</v>
      </c>
      <c r="T691" t="s">
        <v>1516</v>
      </c>
      <c r="U691" t="s">
        <v>492</v>
      </c>
      <c r="V691" t="s">
        <v>1181</v>
      </c>
      <c r="W691" t="s">
        <v>123</v>
      </c>
      <c r="X691" t="s">
        <v>472</v>
      </c>
      <c r="Y691" t="s">
        <v>1677</v>
      </c>
    </row>
    <row r="692" spans="2:25">
      <c r="B692" t="s">
        <v>1667</v>
      </c>
      <c r="C692" t="s" vm="39">
        <v>701</v>
      </c>
      <c r="D692" t="s">
        <v>101</v>
      </c>
      <c r="E692" t="s">
        <v>485</v>
      </c>
      <c r="F692" t="s">
        <v>461</v>
      </c>
      <c r="G692" t="s">
        <v>473</v>
      </c>
      <c r="H692">
        <v>1</v>
      </c>
      <c r="I692" t="s">
        <v>458</v>
      </c>
      <c r="J692" t="s">
        <v>462</v>
      </c>
      <c r="K692">
        <v>2</v>
      </c>
      <c r="L692" t="s">
        <v>486</v>
      </c>
      <c r="M692" t="s">
        <v>1475</v>
      </c>
      <c r="N692" t="s">
        <v>450</v>
      </c>
      <c r="O692" t="s">
        <v>453</v>
      </c>
      <c r="P692" t="s">
        <v>157</v>
      </c>
      <c r="Q692">
        <v>8</v>
      </c>
      <c r="R692" t="s">
        <v>419</v>
      </c>
      <c r="S692">
        <v>8</v>
      </c>
      <c r="T692" t="s">
        <v>482</v>
      </c>
      <c r="U692" t="s">
        <v>492</v>
      </c>
      <c r="V692" t="s">
        <v>1181</v>
      </c>
      <c r="W692" t="s">
        <v>399</v>
      </c>
      <c r="X692" t="s">
        <v>401</v>
      </c>
      <c r="Y692" t="s">
        <v>1675</v>
      </c>
    </row>
    <row r="693" spans="2:25">
      <c r="B693" t="s">
        <v>1667</v>
      </c>
      <c r="C693" t="s" vm="39">
        <v>701</v>
      </c>
      <c r="D693" t="s">
        <v>102</v>
      </c>
      <c r="E693" t="s">
        <v>485</v>
      </c>
      <c r="F693" t="s">
        <v>461</v>
      </c>
      <c r="G693" t="s">
        <v>473</v>
      </c>
      <c r="H693">
        <v>2</v>
      </c>
      <c r="I693" t="s">
        <v>456</v>
      </c>
      <c r="J693" t="s">
        <v>463</v>
      </c>
      <c r="K693">
        <v>2</v>
      </c>
      <c r="L693" t="s">
        <v>486</v>
      </c>
      <c r="M693" t="s">
        <v>556</v>
      </c>
      <c r="N693" t="s">
        <v>450</v>
      </c>
      <c r="O693" t="s">
        <v>453</v>
      </c>
      <c r="P693" t="s">
        <v>421</v>
      </c>
      <c r="Q693">
        <v>8</v>
      </c>
      <c r="R693" t="s">
        <v>159</v>
      </c>
      <c r="S693">
        <v>8</v>
      </c>
      <c r="T693" t="s">
        <v>1516</v>
      </c>
      <c r="U693" t="s">
        <v>492</v>
      </c>
      <c r="V693" t="s">
        <v>1181</v>
      </c>
      <c r="W693" t="s">
        <v>123</v>
      </c>
      <c r="X693" t="s">
        <v>472</v>
      </c>
      <c r="Y693" t="s">
        <v>1674</v>
      </c>
    </row>
    <row r="694" spans="2:25">
      <c r="B694" t="s">
        <v>1667</v>
      </c>
      <c r="C694" t="s" vm="39">
        <v>701</v>
      </c>
      <c r="D694" t="s">
        <v>100</v>
      </c>
      <c r="E694" t="s">
        <v>485</v>
      </c>
      <c r="F694" t="s">
        <v>217</v>
      </c>
      <c r="G694" t="s">
        <v>123</v>
      </c>
      <c r="H694" t="s">
        <v>123</v>
      </c>
      <c r="I694" t="s">
        <v>456</v>
      </c>
      <c r="J694" t="s">
        <v>464</v>
      </c>
      <c r="K694">
        <v>2</v>
      </c>
      <c r="L694" t="s">
        <v>486</v>
      </c>
      <c r="M694" t="s">
        <v>556</v>
      </c>
      <c r="N694" t="s">
        <v>450</v>
      </c>
      <c r="O694" t="s">
        <v>453</v>
      </c>
      <c r="P694" t="s">
        <v>157</v>
      </c>
      <c r="Q694">
        <v>8</v>
      </c>
      <c r="R694" t="s">
        <v>416</v>
      </c>
      <c r="S694">
        <v>8</v>
      </c>
      <c r="T694" t="s">
        <v>1516</v>
      </c>
      <c r="U694" t="s">
        <v>492</v>
      </c>
      <c r="V694" t="s">
        <v>1181</v>
      </c>
      <c r="W694" t="s">
        <v>123</v>
      </c>
      <c r="X694" t="s">
        <v>401</v>
      </c>
      <c r="Y694" t="s">
        <v>1673</v>
      </c>
    </row>
    <row r="695" spans="2:25">
      <c r="B695" t="s">
        <v>1667</v>
      </c>
      <c r="C695" t="s" vm="39">
        <v>701</v>
      </c>
      <c r="D695" t="s">
        <v>100</v>
      </c>
      <c r="E695" t="s">
        <v>485</v>
      </c>
      <c r="F695">
        <v>0</v>
      </c>
      <c r="G695" t="s">
        <v>473</v>
      </c>
      <c r="H695">
        <v>1</v>
      </c>
      <c r="I695" t="s">
        <v>460</v>
      </c>
      <c r="J695" t="s">
        <v>464</v>
      </c>
      <c r="K695">
        <v>2</v>
      </c>
      <c r="L695" t="s">
        <v>488</v>
      </c>
      <c r="M695" t="s">
        <v>492</v>
      </c>
      <c r="N695" t="s">
        <v>496</v>
      </c>
      <c r="O695" t="s">
        <v>453</v>
      </c>
      <c r="P695" t="s">
        <v>158</v>
      </c>
      <c r="Q695">
        <v>8</v>
      </c>
      <c r="R695" t="s">
        <v>416</v>
      </c>
      <c r="S695">
        <v>8</v>
      </c>
      <c r="T695" t="s">
        <v>402</v>
      </c>
      <c r="U695" t="s">
        <v>492</v>
      </c>
      <c r="V695" t="s">
        <v>1181</v>
      </c>
      <c r="W695" t="s">
        <v>477</v>
      </c>
      <c r="X695" t="s">
        <v>471</v>
      </c>
      <c r="Y695" t="s">
        <v>1672</v>
      </c>
    </row>
    <row r="696" spans="2:25">
      <c r="B696" t="s">
        <v>1667</v>
      </c>
      <c r="C696" t="s" vm="39">
        <v>701</v>
      </c>
      <c r="D696" t="s">
        <v>100</v>
      </c>
      <c r="E696" t="s">
        <v>485</v>
      </c>
      <c r="F696">
        <v>0</v>
      </c>
      <c r="G696" t="s">
        <v>473</v>
      </c>
      <c r="H696">
        <v>1</v>
      </c>
      <c r="I696" t="s">
        <v>460</v>
      </c>
      <c r="J696" t="s">
        <v>464</v>
      </c>
      <c r="K696">
        <v>2</v>
      </c>
      <c r="L696" t="s">
        <v>488</v>
      </c>
      <c r="M696" t="s">
        <v>492</v>
      </c>
      <c r="N696" t="s">
        <v>496</v>
      </c>
      <c r="O696" t="s">
        <v>453</v>
      </c>
      <c r="P696" t="s">
        <v>158</v>
      </c>
      <c r="Q696">
        <v>8</v>
      </c>
      <c r="R696" t="s">
        <v>416</v>
      </c>
      <c r="S696">
        <v>8</v>
      </c>
      <c r="T696" t="s">
        <v>402</v>
      </c>
      <c r="U696" t="s">
        <v>492</v>
      </c>
      <c r="V696" t="s">
        <v>1181</v>
      </c>
      <c r="W696" t="s">
        <v>399</v>
      </c>
      <c r="X696" t="s">
        <v>471</v>
      </c>
      <c r="Y696" t="s">
        <v>1669</v>
      </c>
    </row>
    <row r="697" spans="2:25">
      <c r="B697" t="s">
        <v>1667</v>
      </c>
      <c r="C697" t="s" vm="39">
        <v>701</v>
      </c>
      <c r="D697" t="s">
        <v>100</v>
      </c>
      <c r="E697" t="s">
        <v>485</v>
      </c>
      <c r="F697">
        <v>0</v>
      </c>
      <c r="G697" t="s">
        <v>473</v>
      </c>
      <c r="H697">
        <v>1</v>
      </c>
      <c r="I697" t="s">
        <v>460</v>
      </c>
      <c r="J697" t="s">
        <v>464</v>
      </c>
      <c r="K697">
        <v>2</v>
      </c>
      <c r="L697" t="s">
        <v>488</v>
      </c>
      <c r="M697" t="s">
        <v>492</v>
      </c>
      <c r="N697" t="s">
        <v>496</v>
      </c>
      <c r="O697" t="s">
        <v>453</v>
      </c>
      <c r="P697" t="s">
        <v>158</v>
      </c>
      <c r="Q697">
        <v>8</v>
      </c>
      <c r="R697" t="s">
        <v>416</v>
      </c>
      <c r="S697">
        <v>8</v>
      </c>
      <c r="T697" t="s">
        <v>402</v>
      </c>
      <c r="U697" t="s">
        <v>492</v>
      </c>
      <c r="V697" t="s">
        <v>1181</v>
      </c>
      <c r="W697" t="s">
        <v>399</v>
      </c>
      <c r="X697" t="s">
        <v>471</v>
      </c>
      <c r="Y697" t="s">
        <v>1669</v>
      </c>
    </row>
    <row r="698" spans="2:25">
      <c r="B698" t="s">
        <v>1667</v>
      </c>
      <c r="C698" t="s" vm="39">
        <v>701</v>
      </c>
      <c r="D698" t="s">
        <v>100</v>
      </c>
      <c r="E698" t="s">
        <v>485</v>
      </c>
      <c r="F698">
        <v>0</v>
      </c>
      <c r="G698" t="s">
        <v>473</v>
      </c>
      <c r="H698">
        <v>1</v>
      </c>
      <c r="I698" t="s">
        <v>460</v>
      </c>
      <c r="J698" t="s">
        <v>464</v>
      </c>
      <c r="K698">
        <v>2</v>
      </c>
      <c r="L698" t="s">
        <v>488</v>
      </c>
      <c r="M698" t="s">
        <v>492</v>
      </c>
      <c r="N698" t="s">
        <v>496</v>
      </c>
      <c r="O698" t="s">
        <v>453</v>
      </c>
      <c r="P698" t="s">
        <v>158</v>
      </c>
      <c r="Q698">
        <v>8</v>
      </c>
      <c r="R698" t="s">
        <v>416</v>
      </c>
      <c r="S698">
        <v>8</v>
      </c>
      <c r="T698" t="s">
        <v>402</v>
      </c>
      <c r="U698" t="s">
        <v>492</v>
      </c>
      <c r="V698" t="s">
        <v>1181</v>
      </c>
      <c r="W698" t="s">
        <v>399</v>
      </c>
      <c r="X698" t="s">
        <v>471</v>
      </c>
      <c r="Y698" t="s">
        <v>1669</v>
      </c>
    </row>
    <row r="699" spans="2:25">
      <c r="B699" t="s">
        <v>1667</v>
      </c>
      <c r="C699" t="s" vm="39">
        <v>701</v>
      </c>
      <c r="D699" t="s">
        <v>100</v>
      </c>
      <c r="E699" t="s">
        <v>485</v>
      </c>
      <c r="F699" t="s">
        <v>461</v>
      </c>
      <c r="G699" t="s">
        <v>473</v>
      </c>
      <c r="H699">
        <v>1</v>
      </c>
      <c r="I699" t="s">
        <v>458</v>
      </c>
      <c r="J699" t="s">
        <v>464</v>
      </c>
      <c r="K699">
        <v>2</v>
      </c>
      <c r="L699" t="s">
        <v>486</v>
      </c>
      <c r="M699" t="s">
        <v>556</v>
      </c>
      <c r="N699" t="s">
        <v>450</v>
      </c>
      <c r="O699" t="s">
        <v>453</v>
      </c>
      <c r="P699" t="s">
        <v>157</v>
      </c>
      <c r="Q699">
        <v>4</v>
      </c>
      <c r="R699" t="s">
        <v>416</v>
      </c>
      <c r="S699">
        <v>8</v>
      </c>
      <c r="T699" t="s">
        <v>402</v>
      </c>
      <c r="U699" t="s">
        <v>492</v>
      </c>
      <c r="V699" t="s">
        <v>1181</v>
      </c>
      <c r="W699" t="s">
        <v>123</v>
      </c>
      <c r="X699" t="s">
        <v>472</v>
      </c>
      <c r="Y699" t="s">
        <v>1668</v>
      </c>
    </row>
    <row r="700" spans="2:25">
      <c r="B700" t="s">
        <v>1665</v>
      </c>
      <c r="C700" t="s" vm="39">
        <v>701</v>
      </c>
      <c r="D700" t="s">
        <v>100</v>
      </c>
      <c r="E700" t="s">
        <v>485</v>
      </c>
      <c r="F700" t="s">
        <v>461</v>
      </c>
      <c r="G700" t="s">
        <v>473</v>
      </c>
      <c r="H700">
        <v>1</v>
      </c>
      <c r="I700" t="s">
        <v>460</v>
      </c>
      <c r="J700" t="s">
        <v>462</v>
      </c>
      <c r="K700">
        <v>2</v>
      </c>
      <c r="L700" t="s">
        <v>488</v>
      </c>
      <c r="M700" t="s">
        <v>492</v>
      </c>
      <c r="N700" t="s">
        <v>496</v>
      </c>
      <c r="O700" t="s">
        <v>453</v>
      </c>
      <c r="P700" t="s">
        <v>157</v>
      </c>
      <c r="Q700">
        <v>4</v>
      </c>
      <c r="R700" t="s">
        <v>416</v>
      </c>
      <c r="S700">
        <v>8</v>
      </c>
      <c r="T700" t="s">
        <v>402</v>
      </c>
      <c r="U700" t="s">
        <v>492</v>
      </c>
      <c r="V700" t="s">
        <v>1181</v>
      </c>
      <c r="W700" t="s">
        <v>123</v>
      </c>
      <c r="X700" t="s">
        <v>471</v>
      </c>
      <c r="Y700" t="s">
        <v>1666</v>
      </c>
    </row>
    <row r="701" spans="2:25">
      <c r="B701" t="s">
        <v>1661</v>
      </c>
      <c r="C701" t="s" vm="39">
        <v>701</v>
      </c>
      <c r="D701" t="s">
        <v>100</v>
      </c>
      <c r="E701" t="s">
        <v>485</v>
      </c>
      <c r="F701" t="s">
        <v>461</v>
      </c>
      <c r="G701" t="s">
        <v>473</v>
      </c>
      <c r="H701">
        <v>1</v>
      </c>
      <c r="I701" t="s">
        <v>458</v>
      </c>
      <c r="J701" t="s">
        <v>463</v>
      </c>
      <c r="K701">
        <v>2</v>
      </c>
      <c r="L701" t="s">
        <v>486</v>
      </c>
      <c r="M701" t="s">
        <v>556</v>
      </c>
      <c r="N701" t="s">
        <v>450</v>
      </c>
      <c r="O701" t="s">
        <v>453</v>
      </c>
      <c r="P701" t="s">
        <v>421</v>
      </c>
      <c r="Q701">
        <v>0</v>
      </c>
      <c r="R701" t="s">
        <v>123</v>
      </c>
      <c r="S701">
        <v>0</v>
      </c>
      <c r="T701" t="s">
        <v>402</v>
      </c>
      <c r="U701" t="s">
        <v>492</v>
      </c>
      <c r="V701" t="s">
        <v>1181</v>
      </c>
      <c r="W701" t="s">
        <v>399</v>
      </c>
      <c r="X701" t="s">
        <v>472</v>
      </c>
      <c r="Y701" t="s">
        <v>1662</v>
      </c>
    </row>
    <row r="702" spans="2:25">
      <c r="B702" t="s">
        <v>1659</v>
      </c>
      <c r="C702" t="s" vm="39">
        <v>701</v>
      </c>
      <c r="D702" t="s">
        <v>100</v>
      </c>
      <c r="E702" t="s">
        <v>485</v>
      </c>
      <c r="F702" t="s">
        <v>461</v>
      </c>
      <c r="G702" t="s">
        <v>473</v>
      </c>
      <c r="H702">
        <v>1</v>
      </c>
      <c r="I702" t="s">
        <v>458</v>
      </c>
      <c r="J702" t="s">
        <v>464</v>
      </c>
      <c r="K702">
        <v>2</v>
      </c>
      <c r="L702" t="s">
        <v>486</v>
      </c>
      <c r="M702" t="s">
        <v>1475</v>
      </c>
      <c r="N702" t="s">
        <v>450</v>
      </c>
      <c r="O702" t="s">
        <v>453</v>
      </c>
      <c r="P702" t="s">
        <v>421</v>
      </c>
      <c r="Q702">
        <v>0</v>
      </c>
      <c r="R702" t="s">
        <v>159</v>
      </c>
      <c r="S702">
        <v>0</v>
      </c>
      <c r="T702" t="s">
        <v>402</v>
      </c>
      <c r="U702" t="s">
        <v>492</v>
      </c>
      <c r="V702" t="s">
        <v>1181</v>
      </c>
      <c r="W702" t="s">
        <v>399</v>
      </c>
      <c r="X702" t="s">
        <v>472</v>
      </c>
      <c r="Y702" t="s">
        <v>1660</v>
      </c>
    </row>
    <row r="703" spans="2:25">
      <c r="B703" t="s">
        <v>1653</v>
      </c>
      <c r="C703" t="s" vm="39">
        <v>701</v>
      </c>
      <c r="D703" t="s">
        <v>100</v>
      </c>
      <c r="E703" t="s">
        <v>485</v>
      </c>
      <c r="F703" t="s">
        <v>461</v>
      </c>
      <c r="G703" t="s">
        <v>473</v>
      </c>
      <c r="H703">
        <v>1</v>
      </c>
      <c r="I703" t="s">
        <v>456</v>
      </c>
      <c r="J703" t="s">
        <v>464</v>
      </c>
      <c r="K703">
        <v>2</v>
      </c>
      <c r="L703" t="s">
        <v>486</v>
      </c>
      <c r="M703" t="s">
        <v>1475</v>
      </c>
      <c r="N703" t="s">
        <v>450</v>
      </c>
      <c r="O703" t="s">
        <v>453</v>
      </c>
      <c r="P703" t="s">
        <v>421</v>
      </c>
      <c r="Q703">
        <v>0</v>
      </c>
      <c r="R703" t="s">
        <v>159</v>
      </c>
      <c r="S703">
        <v>0</v>
      </c>
      <c r="T703" t="s">
        <v>402</v>
      </c>
      <c r="U703" t="s">
        <v>492</v>
      </c>
      <c r="V703" t="s">
        <v>1181</v>
      </c>
      <c r="W703" t="s">
        <v>399</v>
      </c>
      <c r="X703" t="s">
        <v>472</v>
      </c>
      <c r="Y703" t="s">
        <v>1655</v>
      </c>
    </row>
    <row r="704" spans="2:25">
      <c r="B704" t="s">
        <v>1653</v>
      </c>
      <c r="C704" t="s" vm="39">
        <v>701</v>
      </c>
      <c r="D704" t="s">
        <v>100</v>
      </c>
      <c r="E704" t="s">
        <v>485</v>
      </c>
      <c r="F704" t="s">
        <v>461</v>
      </c>
      <c r="G704" t="s">
        <v>473</v>
      </c>
      <c r="H704">
        <v>1</v>
      </c>
      <c r="I704" t="s">
        <v>456</v>
      </c>
      <c r="J704" t="s">
        <v>464</v>
      </c>
      <c r="K704">
        <v>2</v>
      </c>
      <c r="L704" t="s">
        <v>486</v>
      </c>
      <c r="M704" t="s">
        <v>1475</v>
      </c>
      <c r="N704" t="s">
        <v>450</v>
      </c>
      <c r="O704" t="s">
        <v>453</v>
      </c>
      <c r="P704" t="s">
        <v>421</v>
      </c>
      <c r="Q704">
        <v>0</v>
      </c>
      <c r="R704" t="s">
        <v>159</v>
      </c>
      <c r="S704">
        <v>0</v>
      </c>
      <c r="T704" t="s">
        <v>402</v>
      </c>
      <c r="U704" t="s">
        <v>492</v>
      </c>
      <c r="V704" t="s">
        <v>1181</v>
      </c>
      <c r="W704" t="s">
        <v>399</v>
      </c>
      <c r="X704" t="s">
        <v>472</v>
      </c>
      <c r="Y704" t="s">
        <v>1654</v>
      </c>
    </row>
    <row r="705" spans="2:25">
      <c r="B705" t="s">
        <v>1650</v>
      </c>
      <c r="C705" t="s" vm="39">
        <v>701</v>
      </c>
      <c r="D705" t="s">
        <v>100</v>
      </c>
      <c r="E705" t="s">
        <v>485</v>
      </c>
      <c r="F705" t="s">
        <v>461</v>
      </c>
      <c r="G705" t="s">
        <v>473</v>
      </c>
      <c r="H705">
        <v>1</v>
      </c>
      <c r="I705" t="s">
        <v>456</v>
      </c>
      <c r="J705" t="s">
        <v>463</v>
      </c>
      <c r="K705">
        <v>2</v>
      </c>
      <c r="L705" t="s">
        <v>486</v>
      </c>
      <c r="M705" t="s">
        <v>556</v>
      </c>
      <c r="N705" t="s">
        <v>450</v>
      </c>
      <c r="O705" t="s">
        <v>453</v>
      </c>
      <c r="P705" t="s">
        <v>421</v>
      </c>
      <c r="Q705">
        <v>0</v>
      </c>
      <c r="R705" t="s">
        <v>159</v>
      </c>
      <c r="S705">
        <v>0</v>
      </c>
      <c r="T705" t="s">
        <v>402</v>
      </c>
      <c r="U705" t="s">
        <v>492</v>
      </c>
      <c r="V705" t="s">
        <v>1181</v>
      </c>
      <c r="W705" t="s">
        <v>399</v>
      </c>
      <c r="X705" t="s">
        <v>472</v>
      </c>
      <c r="Y705" t="s">
        <v>1652</v>
      </c>
    </row>
    <row r="706" spans="2:25">
      <c r="B706" t="s">
        <v>1650</v>
      </c>
      <c r="C706" t="s" vm="39">
        <v>701</v>
      </c>
      <c r="D706" t="s">
        <v>100</v>
      </c>
      <c r="E706" t="s">
        <v>485</v>
      </c>
      <c r="F706" t="s">
        <v>461</v>
      </c>
      <c r="G706" t="s">
        <v>473</v>
      </c>
      <c r="H706">
        <v>1</v>
      </c>
      <c r="I706" t="s">
        <v>456</v>
      </c>
      <c r="J706" t="s">
        <v>463</v>
      </c>
      <c r="K706">
        <v>2</v>
      </c>
      <c r="L706" t="s">
        <v>486</v>
      </c>
      <c r="M706" t="s">
        <v>556</v>
      </c>
      <c r="N706" t="s">
        <v>450</v>
      </c>
      <c r="O706" t="s">
        <v>453</v>
      </c>
      <c r="P706" t="s">
        <v>421</v>
      </c>
      <c r="Q706">
        <v>0</v>
      </c>
      <c r="R706" t="s">
        <v>159</v>
      </c>
      <c r="S706">
        <v>0</v>
      </c>
      <c r="T706" t="s">
        <v>402</v>
      </c>
      <c r="U706" t="s">
        <v>492</v>
      </c>
      <c r="V706" t="s">
        <v>1181</v>
      </c>
      <c r="W706" t="s">
        <v>399</v>
      </c>
      <c r="X706" t="s">
        <v>472</v>
      </c>
      <c r="Y706" t="s">
        <v>1651</v>
      </c>
    </row>
    <row r="707" spans="2:25">
      <c r="B707" t="s">
        <v>1647</v>
      </c>
      <c r="C707" t="s" vm="39">
        <v>701</v>
      </c>
      <c r="D707" t="s">
        <v>100</v>
      </c>
      <c r="E707" t="s">
        <v>485</v>
      </c>
      <c r="F707" t="s">
        <v>461</v>
      </c>
      <c r="G707" t="s">
        <v>473</v>
      </c>
      <c r="H707">
        <v>1</v>
      </c>
      <c r="I707" t="s">
        <v>456</v>
      </c>
      <c r="J707" t="s">
        <v>463</v>
      </c>
      <c r="K707">
        <v>2</v>
      </c>
      <c r="L707" t="s">
        <v>486</v>
      </c>
      <c r="M707" t="s">
        <v>556</v>
      </c>
      <c r="N707" t="s">
        <v>450</v>
      </c>
      <c r="O707" t="s">
        <v>453</v>
      </c>
      <c r="P707" t="s">
        <v>421</v>
      </c>
      <c r="Q707">
        <v>0</v>
      </c>
      <c r="R707" t="s">
        <v>159</v>
      </c>
      <c r="S707">
        <v>0</v>
      </c>
      <c r="T707" t="s">
        <v>402</v>
      </c>
      <c r="U707" t="s">
        <v>492</v>
      </c>
      <c r="V707" t="s">
        <v>1181</v>
      </c>
      <c r="W707" t="s">
        <v>399</v>
      </c>
      <c r="X707" t="s">
        <v>472</v>
      </c>
      <c r="Y707" t="s">
        <v>1649</v>
      </c>
    </row>
    <row r="708" spans="2:25">
      <c r="B708" t="s">
        <v>1647</v>
      </c>
      <c r="C708" t="s" vm="39">
        <v>701</v>
      </c>
      <c r="D708" t="s">
        <v>100</v>
      </c>
      <c r="E708" t="s">
        <v>485</v>
      </c>
      <c r="F708" t="s">
        <v>461</v>
      </c>
      <c r="G708" t="s">
        <v>473</v>
      </c>
      <c r="H708">
        <v>1</v>
      </c>
      <c r="I708" t="s">
        <v>458</v>
      </c>
      <c r="J708" t="s">
        <v>463</v>
      </c>
      <c r="K708">
        <v>2</v>
      </c>
      <c r="L708" t="s">
        <v>486</v>
      </c>
      <c r="M708" t="s">
        <v>556</v>
      </c>
      <c r="N708" t="s">
        <v>450</v>
      </c>
      <c r="O708" t="s">
        <v>453</v>
      </c>
      <c r="P708" t="s">
        <v>421</v>
      </c>
      <c r="Q708">
        <v>0</v>
      </c>
      <c r="R708" t="s">
        <v>159</v>
      </c>
      <c r="S708">
        <v>0</v>
      </c>
      <c r="T708" t="s">
        <v>402</v>
      </c>
      <c r="U708" t="s">
        <v>492</v>
      </c>
      <c r="V708" t="s">
        <v>1181</v>
      </c>
      <c r="W708" t="s">
        <v>399</v>
      </c>
      <c r="X708" t="s">
        <v>472</v>
      </c>
      <c r="Y708" t="s">
        <v>1648</v>
      </c>
    </row>
    <row r="709" spans="2:25">
      <c r="B709" t="s">
        <v>1645</v>
      </c>
      <c r="C709" t="s" vm="39">
        <v>701</v>
      </c>
      <c r="D709" t="s">
        <v>100</v>
      </c>
      <c r="E709" t="s">
        <v>485</v>
      </c>
      <c r="F709" t="s">
        <v>461</v>
      </c>
      <c r="G709" t="s">
        <v>473</v>
      </c>
      <c r="H709">
        <v>1</v>
      </c>
      <c r="I709" t="s">
        <v>458</v>
      </c>
      <c r="J709" t="s">
        <v>463</v>
      </c>
      <c r="K709">
        <v>2</v>
      </c>
      <c r="L709" t="s">
        <v>486</v>
      </c>
      <c r="M709" t="s">
        <v>556</v>
      </c>
      <c r="N709" t="s">
        <v>450</v>
      </c>
      <c r="O709" t="s">
        <v>453</v>
      </c>
      <c r="P709" t="s">
        <v>421</v>
      </c>
      <c r="Q709">
        <v>0</v>
      </c>
      <c r="R709" t="s">
        <v>159</v>
      </c>
      <c r="S709">
        <v>0</v>
      </c>
      <c r="T709" t="s">
        <v>1516</v>
      </c>
      <c r="U709" t="s">
        <v>492</v>
      </c>
      <c r="V709" t="s">
        <v>1181</v>
      </c>
      <c r="W709" t="s">
        <v>399</v>
      </c>
      <c r="X709" t="s">
        <v>472</v>
      </c>
      <c r="Y709" t="s">
        <v>1646</v>
      </c>
    </row>
    <row r="710" spans="2:25">
      <c r="B710" t="s">
        <v>1632</v>
      </c>
      <c r="C710" t="s" vm="39">
        <v>701</v>
      </c>
      <c r="D710" t="s">
        <v>100</v>
      </c>
      <c r="E710" t="s">
        <v>485</v>
      </c>
      <c r="F710" t="s">
        <v>461</v>
      </c>
      <c r="G710" t="s">
        <v>473</v>
      </c>
      <c r="H710">
        <v>1</v>
      </c>
      <c r="I710" t="s">
        <v>456</v>
      </c>
      <c r="J710" t="s">
        <v>463</v>
      </c>
      <c r="K710">
        <v>2</v>
      </c>
      <c r="L710" t="s">
        <v>488</v>
      </c>
      <c r="M710" t="s">
        <v>492</v>
      </c>
      <c r="N710" t="s">
        <v>496</v>
      </c>
      <c r="O710" t="s">
        <v>453</v>
      </c>
      <c r="P710" t="s">
        <v>421</v>
      </c>
      <c r="Q710">
        <v>0</v>
      </c>
      <c r="R710" t="s">
        <v>159</v>
      </c>
      <c r="S710">
        <v>0</v>
      </c>
      <c r="T710" t="s">
        <v>1516</v>
      </c>
      <c r="U710" t="s">
        <v>492</v>
      </c>
      <c r="V710" t="s">
        <v>1181</v>
      </c>
      <c r="W710" t="s">
        <v>399</v>
      </c>
      <c r="X710" t="s">
        <v>401</v>
      </c>
      <c r="Y710" t="s">
        <v>1644</v>
      </c>
    </row>
    <row r="711" spans="2:25">
      <c r="B711" t="s">
        <v>1632</v>
      </c>
      <c r="C711" t="s" vm="39">
        <v>701</v>
      </c>
      <c r="D711" t="s">
        <v>100</v>
      </c>
      <c r="E711" t="s">
        <v>485</v>
      </c>
      <c r="F711" t="s">
        <v>461</v>
      </c>
      <c r="G711" t="s">
        <v>487</v>
      </c>
      <c r="H711" t="s">
        <v>123</v>
      </c>
      <c r="I711" t="s">
        <v>456</v>
      </c>
      <c r="J711" t="s">
        <v>463</v>
      </c>
      <c r="K711">
        <v>2</v>
      </c>
      <c r="L711" t="s">
        <v>488</v>
      </c>
      <c r="M711" t="s">
        <v>492</v>
      </c>
      <c r="N711" t="s">
        <v>496</v>
      </c>
      <c r="O711" t="s">
        <v>453</v>
      </c>
      <c r="P711" t="s">
        <v>421</v>
      </c>
      <c r="Q711">
        <v>0</v>
      </c>
      <c r="R711" t="s">
        <v>159</v>
      </c>
      <c r="S711">
        <v>0</v>
      </c>
      <c r="T711" t="s">
        <v>1516</v>
      </c>
      <c r="U711" t="s">
        <v>492</v>
      </c>
      <c r="V711" t="s">
        <v>1181</v>
      </c>
      <c r="W711" t="s">
        <v>399</v>
      </c>
      <c r="X711" t="s">
        <v>401</v>
      </c>
      <c r="Y711" t="s">
        <v>1643</v>
      </c>
    </row>
    <row r="712" spans="2:25">
      <c r="B712" t="s">
        <v>1632</v>
      </c>
      <c r="C712" t="s" vm="39">
        <v>701</v>
      </c>
      <c r="D712" t="s">
        <v>100</v>
      </c>
      <c r="E712" t="s">
        <v>485</v>
      </c>
      <c r="F712" t="s">
        <v>461</v>
      </c>
      <c r="G712" t="s">
        <v>487</v>
      </c>
      <c r="H712" t="s">
        <v>123</v>
      </c>
      <c r="I712" t="s">
        <v>456</v>
      </c>
      <c r="J712" t="s">
        <v>464</v>
      </c>
      <c r="K712">
        <v>2</v>
      </c>
      <c r="L712" t="s">
        <v>488</v>
      </c>
      <c r="M712" t="s">
        <v>556</v>
      </c>
      <c r="N712" t="s">
        <v>496</v>
      </c>
      <c r="O712" t="s">
        <v>453</v>
      </c>
      <c r="P712" t="s">
        <v>421</v>
      </c>
      <c r="Q712">
        <v>0</v>
      </c>
      <c r="R712" t="s">
        <v>123</v>
      </c>
      <c r="S712">
        <v>0</v>
      </c>
      <c r="T712" t="s">
        <v>1516</v>
      </c>
      <c r="U712" t="s">
        <v>492</v>
      </c>
      <c r="V712" t="s">
        <v>1181</v>
      </c>
      <c r="W712" t="s">
        <v>399</v>
      </c>
      <c r="X712" t="s">
        <v>401</v>
      </c>
      <c r="Y712" t="s">
        <v>1642</v>
      </c>
    </row>
    <row r="713" spans="2:25">
      <c r="B713" t="s">
        <v>1632</v>
      </c>
      <c r="C713" t="s" vm="39">
        <v>701</v>
      </c>
      <c r="D713" t="s">
        <v>100</v>
      </c>
      <c r="E713" t="s">
        <v>485</v>
      </c>
      <c r="F713" t="s">
        <v>461</v>
      </c>
      <c r="G713" t="s">
        <v>487</v>
      </c>
      <c r="H713" t="s">
        <v>123</v>
      </c>
      <c r="I713" t="s">
        <v>456</v>
      </c>
      <c r="J713" t="s">
        <v>464</v>
      </c>
      <c r="K713">
        <v>2</v>
      </c>
      <c r="L713" t="s">
        <v>488</v>
      </c>
      <c r="M713" t="s">
        <v>556</v>
      </c>
      <c r="N713" t="s">
        <v>496</v>
      </c>
      <c r="O713" t="s">
        <v>453</v>
      </c>
      <c r="P713" t="s">
        <v>421</v>
      </c>
      <c r="Q713">
        <v>0</v>
      </c>
      <c r="R713" t="s">
        <v>123</v>
      </c>
      <c r="S713">
        <v>0</v>
      </c>
      <c r="T713" t="s">
        <v>1516</v>
      </c>
      <c r="U713" t="s">
        <v>492</v>
      </c>
      <c r="V713" t="s">
        <v>1181</v>
      </c>
      <c r="W713" t="s">
        <v>399</v>
      </c>
      <c r="X713" t="s">
        <v>401</v>
      </c>
      <c r="Y713" t="s">
        <v>1642</v>
      </c>
    </row>
    <row r="714" spans="2:25">
      <c r="B714" t="s">
        <v>1632</v>
      </c>
      <c r="C714" t="s" vm="39">
        <v>701</v>
      </c>
      <c r="D714" t="s">
        <v>333</v>
      </c>
      <c r="E714" t="s">
        <v>485</v>
      </c>
      <c r="F714" t="s">
        <v>217</v>
      </c>
      <c r="G714" t="s">
        <v>473</v>
      </c>
      <c r="H714">
        <v>2</v>
      </c>
      <c r="I714" t="s">
        <v>458</v>
      </c>
      <c r="J714" t="s">
        <v>464</v>
      </c>
      <c r="K714">
        <v>2</v>
      </c>
      <c r="L714" t="s">
        <v>486</v>
      </c>
      <c r="M714" t="s">
        <v>556</v>
      </c>
      <c r="N714" t="s">
        <v>450</v>
      </c>
      <c r="O714" t="s">
        <v>453</v>
      </c>
      <c r="P714" t="s">
        <v>421</v>
      </c>
      <c r="Q714">
        <v>0</v>
      </c>
      <c r="R714" t="s">
        <v>416</v>
      </c>
      <c r="S714">
        <v>12</v>
      </c>
      <c r="T714" t="s">
        <v>1516</v>
      </c>
      <c r="U714" t="s">
        <v>492</v>
      </c>
      <c r="V714" t="s">
        <v>1181</v>
      </c>
      <c r="W714" t="s">
        <v>399</v>
      </c>
      <c r="X714" t="s">
        <v>472</v>
      </c>
      <c r="Y714" t="s">
        <v>1638</v>
      </c>
    </row>
    <row r="715" spans="2:25">
      <c r="B715" t="s">
        <v>1632</v>
      </c>
      <c r="C715" t="s" vm="39">
        <v>701</v>
      </c>
      <c r="D715" t="s">
        <v>333</v>
      </c>
      <c r="E715" t="s">
        <v>485</v>
      </c>
      <c r="F715" t="s">
        <v>217</v>
      </c>
      <c r="G715" t="s">
        <v>473</v>
      </c>
      <c r="H715">
        <v>2</v>
      </c>
      <c r="I715" t="s">
        <v>458</v>
      </c>
      <c r="J715" t="s">
        <v>464</v>
      </c>
      <c r="K715">
        <v>2</v>
      </c>
      <c r="L715" t="s">
        <v>486</v>
      </c>
      <c r="M715" t="s">
        <v>556</v>
      </c>
      <c r="N715" t="s">
        <v>450</v>
      </c>
      <c r="O715" t="s">
        <v>453</v>
      </c>
      <c r="P715" t="s">
        <v>421</v>
      </c>
      <c r="Q715">
        <v>0</v>
      </c>
      <c r="R715" t="s">
        <v>416</v>
      </c>
      <c r="S715">
        <v>12</v>
      </c>
      <c r="T715" t="s">
        <v>1516</v>
      </c>
      <c r="U715" t="s">
        <v>492</v>
      </c>
      <c r="V715" t="s">
        <v>1181</v>
      </c>
      <c r="W715" t="s">
        <v>399</v>
      </c>
      <c r="X715" t="s">
        <v>472</v>
      </c>
      <c r="Y715" t="s">
        <v>1637</v>
      </c>
    </row>
    <row r="716" spans="2:25">
      <c r="B716" t="s">
        <v>1632</v>
      </c>
      <c r="C716" t="s" vm="39">
        <v>701</v>
      </c>
      <c r="D716" t="s">
        <v>333</v>
      </c>
      <c r="E716" t="s">
        <v>485</v>
      </c>
      <c r="F716" t="s">
        <v>217</v>
      </c>
      <c r="G716" t="s">
        <v>473</v>
      </c>
      <c r="H716">
        <v>2</v>
      </c>
      <c r="I716" t="s">
        <v>458</v>
      </c>
      <c r="J716" t="s">
        <v>464</v>
      </c>
      <c r="K716">
        <v>2</v>
      </c>
      <c r="L716" t="s">
        <v>486</v>
      </c>
      <c r="M716" t="s">
        <v>556</v>
      </c>
      <c r="N716" t="s">
        <v>450</v>
      </c>
      <c r="O716" t="s">
        <v>453</v>
      </c>
      <c r="P716" t="s">
        <v>421</v>
      </c>
      <c r="Q716">
        <v>0</v>
      </c>
      <c r="R716" t="s">
        <v>1494</v>
      </c>
      <c r="S716">
        <v>12</v>
      </c>
      <c r="T716" t="s">
        <v>1516</v>
      </c>
      <c r="U716" t="s">
        <v>492</v>
      </c>
      <c r="V716" t="s">
        <v>1181</v>
      </c>
      <c r="W716" t="s">
        <v>399</v>
      </c>
      <c r="X716" t="s">
        <v>472</v>
      </c>
      <c r="Y716" t="s">
        <v>1636</v>
      </c>
    </row>
    <row r="717" spans="2:25">
      <c r="B717" t="s">
        <v>1632</v>
      </c>
      <c r="C717" t="s" vm="39">
        <v>701</v>
      </c>
      <c r="D717" t="s">
        <v>333</v>
      </c>
      <c r="E717" t="s">
        <v>485</v>
      </c>
      <c r="F717" t="s">
        <v>217</v>
      </c>
      <c r="G717" t="s">
        <v>473</v>
      </c>
      <c r="H717">
        <v>2</v>
      </c>
      <c r="I717" t="s">
        <v>458</v>
      </c>
      <c r="J717" t="s">
        <v>464</v>
      </c>
      <c r="K717">
        <v>2</v>
      </c>
      <c r="L717" t="s">
        <v>486</v>
      </c>
      <c r="M717" t="s">
        <v>556</v>
      </c>
      <c r="N717" t="s">
        <v>450</v>
      </c>
      <c r="O717" t="s">
        <v>453</v>
      </c>
      <c r="P717" t="s">
        <v>421</v>
      </c>
      <c r="Q717">
        <v>0</v>
      </c>
      <c r="R717" t="s">
        <v>1494</v>
      </c>
      <c r="S717">
        <v>12</v>
      </c>
      <c r="T717" t="s">
        <v>1516</v>
      </c>
      <c r="U717" t="s">
        <v>492</v>
      </c>
      <c r="V717" t="s">
        <v>1181</v>
      </c>
      <c r="W717" t="s">
        <v>399</v>
      </c>
      <c r="X717" t="s">
        <v>472</v>
      </c>
      <c r="Y717" t="s">
        <v>1635</v>
      </c>
    </row>
    <row r="718" spans="2:25">
      <c r="B718" t="s">
        <v>1632</v>
      </c>
      <c r="C718" t="s" vm="39">
        <v>701</v>
      </c>
      <c r="D718" t="s">
        <v>333</v>
      </c>
      <c r="E718" t="s">
        <v>485</v>
      </c>
      <c r="F718" t="s">
        <v>217</v>
      </c>
      <c r="G718" t="s">
        <v>473</v>
      </c>
      <c r="H718">
        <v>2</v>
      </c>
      <c r="I718" t="s">
        <v>458</v>
      </c>
      <c r="J718" t="s">
        <v>464</v>
      </c>
      <c r="K718">
        <v>2</v>
      </c>
      <c r="L718" t="s">
        <v>486</v>
      </c>
      <c r="M718" t="s">
        <v>556</v>
      </c>
      <c r="N718" t="s">
        <v>450</v>
      </c>
      <c r="O718" t="s">
        <v>453</v>
      </c>
      <c r="P718" t="s">
        <v>421</v>
      </c>
      <c r="Q718">
        <v>0</v>
      </c>
      <c r="R718" t="s">
        <v>1494</v>
      </c>
      <c r="S718">
        <v>12</v>
      </c>
      <c r="T718" t="s">
        <v>1516</v>
      </c>
      <c r="U718" t="s">
        <v>492</v>
      </c>
      <c r="V718" t="s">
        <v>1181</v>
      </c>
      <c r="W718" t="s">
        <v>399</v>
      </c>
      <c r="X718" t="s">
        <v>472</v>
      </c>
      <c r="Y718" t="s">
        <v>1633</v>
      </c>
    </row>
    <row r="719" spans="2:25">
      <c r="B719" t="s">
        <v>1632</v>
      </c>
      <c r="C719" t="s" vm="39">
        <v>701</v>
      </c>
      <c r="D719" t="s">
        <v>333</v>
      </c>
      <c r="E719" t="s">
        <v>485</v>
      </c>
      <c r="F719" t="s">
        <v>217</v>
      </c>
      <c r="G719" t="s">
        <v>473</v>
      </c>
      <c r="H719">
        <v>2</v>
      </c>
      <c r="I719" t="s">
        <v>458</v>
      </c>
      <c r="J719" t="s">
        <v>464</v>
      </c>
      <c r="K719">
        <v>2</v>
      </c>
      <c r="L719" t="s">
        <v>486</v>
      </c>
      <c r="M719" t="s">
        <v>556</v>
      </c>
      <c r="N719" t="s">
        <v>450</v>
      </c>
      <c r="O719" t="s">
        <v>453</v>
      </c>
      <c r="P719" t="s">
        <v>421</v>
      </c>
      <c r="Q719">
        <v>0</v>
      </c>
      <c r="R719" t="s">
        <v>1494</v>
      </c>
      <c r="S719">
        <v>12</v>
      </c>
      <c r="T719" t="s">
        <v>1516</v>
      </c>
      <c r="U719" t="s">
        <v>492</v>
      </c>
      <c r="V719" t="s">
        <v>1181</v>
      </c>
      <c r="W719" t="s">
        <v>399</v>
      </c>
      <c r="X719" t="s">
        <v>472</v>
      </c>
      <c r="Y719" t="s">
        <v>1633</v>
      </c>
    </row>
    <row r="720" spans="2:25">
      <c r="B720" t="s">
        <v>1625</v>
      </c>
      <c r="C720" t="s" vm="39">
        <v>701</v>
      </c>
      <c r="D720" t="s">
        <v>100</v>
      </c>
      <c r="E720" t="s">
        <v>485</v>
      </c>
      <c r="F720" t="s">
        <v>461</v>
      </c>
      <c r="G720" t="s">
        <v>473</v>
      </c>
      <c r="H720">
        <v>1</v>
      </c>
      <c r="I720" t="s">
        <v>458</v>
      </c>
      <c r="J720" t="s">
        <v>462</v>
      </c>
      <c r="K720">
        <v>2</v>
      </c>
      <c r="L720" t="s">
        <v>486</v>
      </c>
      <c r="M720" t="s">
        <v>556</v>
      </c>
      <c r="N720" t="s">
        <v>450</v>
      </c>
      <c r="O720" t="s">
        <v>453</v>
      </c>
      <c r="P720" t="s">
        <v>157</v>
      </c>
      <c r="Q720">
        <v>4</v>
      </c>
      <c r="R720" t="s">
        <v>416</v>
      </c>
      <c r="S720">
        <v>8</v>
      </c>
      <c r="T720" t="s">
        <v>1516</v>
      </c>
      <c r="U720" t="s">
        <v>492</v>
      </c>
      <c r="V720" t="s">
        <v>1181</v>
      </c>
      <c r="W720" t="s">
        <v>399</v>
      </c>
      <c r="X720" t="s">
        <v>470</v>
      </c>
      <c r="Y720" t="s">
        <v>1629</v>
      </c>
    </row>
    <row r="721" spans="2:25">
      <c r="B721" t="s">
        <v>1625</v>
      </c>
      <c r="C721" t="s" vm="54">
        <v>1266</v>
      </c>
      <c r="D721" t="s">
        <v>100</v>
      </c>
      <c r="E721" t="s">
        <v>485</v>
      </c>
      <c r="F721" t="s">
        <v>461</v>
      </c>
      <c r="G721" t="s">
        <v>487</v>
      </c>
      <c r="H721" t="s">
        <v>123</v>
      </c>
      <c r="I721" t="s">
        <v>458</v>
      </c>
      <c r="J721" t="s">
        <v>462</v>
      </c>
      <c r="K721">
        <v>2</v>
      </c>
      <c r="L721" t="s">
        <v>486</v>
      </c>
      <c r="M721" t="s">
        <v>556</v>
      </c>
      <c r="N721" t="s">
        <v>450</v>
      </c>
      <c r="O721" t="s">
        <v>453</v>
      </c>
      <c r="P721" t="s">
        <v>421</v>
      </c>
      <c r="Q721">
        <v>0</v>
      </c>
      <c r="R721" t="s">
        <v>159</v>
      </c>
      <c r="S721">
        <v>0</v>
      </c>
      <c r="T721" t="s">
        <v>1516</v>
      </c>
      <c r="U721" t="s">
        <v>492</v>
      </c>
      <c r="V721" t="s">
        <v>1181</v>
      </c>
      <c r="W721" t="s">
        <v>477</v>
      </c>
      <c r="X721" t="s">
        <v>472</v>
      </c>
      <c r="Y721" t="s">
        <v>1628</v>
      </c>
    </row>
    <row r="722" spans="2:25">
      <c r="B722" t="s">
        <v>1625</v>
      </c>
      <c r="C722" t="s" vm="54">
        <v>1266</v>
      </c>
      <c r="D722" t="s">
        <v>100</v>
      </c>
      <c r="E722" t="s">
        <v>485</v>
      </c>
      <c r="F722" t="s">
        <v>217</v>
      </c>
      <c r="G722" t="s">
        <v>473</v>
      </c>
      <c r="H722">
        <v>1</v>
      </c>
      <c r="I722" t="s">
        <v>458</v>
      </c>
      <c r="J722" t="s">
        <v>462</v>
      </c>
      <c r="K722">
        <v>2</v>
      </c>
      <c r="L722" t="s">
        <v>486</v>
      </c>
      <c r="M722" t="s">
        <v>1022</v>
      </c>
      <c r="N722" t="s">
        <v>450</v>
      </c>
      <c r="O722" t="s">
        <v>453</v>
      </c>
      <c r="P722" t="s">
        <v>421</v>
      </c>
      <c r="Q722">
        <v>0</v>
      </c>
      <c r="R722" t="s">
        <v>159</v>
      </c>
      <c r="S722">
        <v>0</v>
      </c>
      <c r="T722" t="s">
        <v>482</v>
      </c>
      <c r="U722" t="s">
        <v>492</v>
      </c>
      <c r="V722" t="s">
        <v>1181</v>
      </c>
      <c r="W722" t="s">
        <v>399</v>
      </c>
      <c r="X722" t="s">
        <v>470</v>
      </c>
      <c r="Y722" t="s">
        <v>1626</v>
      </c>
    </row>
    <row r="723" spans="2:25">
      <c r="B723" t="s">
        <v>1625</v>
      </c>
      <c r="C723" t="s" vm="54">
        <v>1266</v>
      </c>
      <c r="D723" t="s">
        <v>102</v>
      </c>
      <c r="E723" t="s">
        <v>485</v>
      </c>
      <c r="F723" t="s">
        <v>217</v>
      </c>
      <c r="G723" t="s">
        <v>473</v>
      </c>
      <c r="H723">
        <v>2</v>
      </c>
      <c r="I723" t="s">
        <v>458</v>
      </c>
      <c r="J723" t="s">
        <v>462</v>
      </c>
      <c r="K723">
        <v>2</v>
      </c>
      <c r="L723" t="s">
        <v>486</v>
      </c>
      <c r="M723" t="s">
        <v>1384</v>
      </c>
      <c r="N723" t="s">
        <v>450</v>
      </c>
      <c r="O723" t="s">
        <v>453</v>
      </c>
      <c r="P723" t="s">
        <v>158</v>
      </c>
      <c r="Q723">
        <v>6</v>
      </c>
      <c r="R723" t="s">
        <v>159</v>
      </c>
      <c r="S723">
        <v>0</v>
      </c>
      <c r="T723" t="s">
        <v>1410</v>
      </c>
      <c r="U723" t="s">
        <v>492</v>
      </c>
      <c r="V723" t="s">
        <v>1181</v>
      </c>
      <c r="W723" t="s">
        <v>399</v>
      </c>
      <c r="X723" t="s">
        <v>401</v>
      </c>
      <c r="Y723" t="s">
        <v>1627</v>
      </c>
    </row>
    <row r="724" spans="2:25">
      <c r="B724" t="s">
        <v>1625</v>
      </c>
      <c r="C724" t="s" vm="54">
        <v>1266</v>
      </c>
      <c r="D724" t="s">
        <v>100</v>
      </c>
      <c r="E724" t="s">
        <v>485</v>
      </c>
      <c r="F724" t="s">
        <v>217</v>
      </c>
      <c r="G724" t="s">
        <v>473</v>
      </c>
      <c r="H724">
        <v>1</v>
      </c>
      <c r="I724" t="s">
        <v>458</v>
      </c>
      <c r="J724" t="s">
        <v>462</v>
      </c>
      <c r="K724">
        <v>2</v>
      </c>
      <c r="L724" t="s">
        <v>486</v>
      </c>
      <c r="M724" t="s">
        <v>1022</v>
      </c>
      <c r="N724" t="s">
        <v>450</v>
      </c>
      <c r="O724" t="s">
        <v>453</v>
      </c>
      <c r="P724" t="s">
        <v>421</v>
      </c>
      <c r="Q724">
        <v>0</v>
      </c>
      <c r="R724" t="s">
        <v>159</v>
      </c>
      <c r="S724">
        <v>0</v>
      </c>
      <c r="T724" t="s">
        <v>482</v>
      </c>
      <c r="U724" t="s">
        <v>492</v>
      </c>
      <c r="V724" t="s">
        <v>1181</v>
      </c>
      <c r="W724" t="s">
        <v>399</v>
      </c>
      <c r="X724" t="s">
        <v>470</v>
      </c>
      <c r="Y724" t="s">
        <v>1626</v>
      </c>
    </row>
    <row r="725" spans="2:25">
      <c r="B725" t="s">
        <v>1622</v>
      </c>
      <c r="C725" t="s" vm="54">
        <v>1266</v>
      </c>
      <c r="D725" t="s">
        <v>100</v>
      </c>
      <c r="E725" t="s">
        <v>485</v>
      </c>
      <c r="F725" t="s">
        <v>461</v>
      </c>
      <c r="G725" t="s">
        <v>487</v>
      </c>
      <c r="H725" t="s">
        <v>123</v>
      </c>
      <c r="I725" t="s">
        <v>456</v>
      </c>
      <c r="J725" t="s">
        <v>463</v>
      </c>
      <c r="K725">
        <v>2</v>
      </c>
      <c r="L725" t="s">
        <v>488</v>
      </c>
      <c r="M725" t="s">
        <v>492</v>
      </c>
      <c r="N725" t="s">
        <v>496</v>
      </c>
      <c r="O725" t="s">
        <v>453</v>
      </c>
      <c r="P725" t="s">
        <v>421</v>
      </c>
      <c r="Q725">
        <v>0</v>
      </c>
      <c r="R725" t="s">
        <v>159</v>
      </c>
      <c r="S725">
        <v>0</v>
      </c>
      <c r="T725" t="s">
        <v>1516</v>
      </c>
      <c r="U725" t="s">
        <v>492</v>
      </c>
      <c r="V725" t="s">
        <v>1181</v>
      </c>
      <c r="W725" t="s">
        <v>399</v>
      </c>
      <c r="X725" t="s">
        <v>472</v>
      </c>
      <c r="Y725" t="s">
        <v>1623</v>
      </c>
    </row>
    <row r="726" spans="2:25">
      <c r="B726" t="s">
        <v>1619</v>
      </c>
      <c r="C726" t="s" vm="51">
        <v>1603</v>
      </c>
      <c r="D726" t="s">
        <v>100</v>
      </c>
      <c r="E726" t="s">
        <v>485</v>
      </c>
      <c r="F726" t="s">
        <v>461</v>
      </c>
      <c r="G726" t="s">
        <v>487</v>
      </c>
      <c r="H726" t="s">
        <v>123</v>
      </c>
      <c r="I726" t="s">
        <v>460</v>
      </c>
      <c r="J726" t="s">
        <v>463</v>
      </c>
      <c r="K726">
        <v>2</v>
      </c>
      <c r="L726" t="s">
        <v>486</v>
      </c>
      <c r="M726" t="s">
        <v>1022</v>
      </c>
      <c r="N726" t="s">
        <v>450</v>
      </c>
      <c r="O726" t="s">
        <v>453</v>
      </c>
      <c r="P726" t="s">
        <v>421</v>
      </c>
      <c r="Q726">
        <v>0</v>
      </c>
      <c r="R726" t="s">
        <v>159</v>
      </c>
      <c r="S726">
        <v>0</v>
      </c>
      <c r="T726" t="s">
        <v>1485</v>
      </c>
      <c r="U726" t="s">
        <v>492</v>
      </c>
      <c r="V726" t="s">
        <v>1181</v>
      </c>
      <c r="W726" t="s">
        <v>399</v>
      </c>
      <c r="X726" t="s">
        <v>472</v>
      </c>
      <c r="Y726" t="s">
        <v>1620</v>
      </c>
    </row>
    <row r="727" spans="2:25">
      <c r="B727" t="s">
        <v>1619</v>
      </c>
      <c r="C727" t="s" vm="51">
        <v>1603</v>
      </c>
      <c r="D727" t="s">
        <v>100</v>
      </c>
      <c r="E727" t="s">
        <v>485</v>
      </c>
      <c r="F727" t="s">
        <v>461</v>
      </c>
      <c r="G727" t="s">
        <v>487</v>
      </c>
      <c r="H727" t="s">
        <v>123</v>
      </c>
      <c r="I727" t="s">
        <v>460</v>
      </c>
      <c r="J727" t="s">
        <v>463</v>
      </c>
      <c r="K727">
        <v>2</v>
      </c>
      <c r="L727" t="s">
        <v>486</v>
      </c>
      <c r="M727" t="s">
        <v>1022</v>
      </c>
      <c r="N727" t="s">
        <v>450</v>
      </c>
      <c r="O727" t="s">
        <v>453</v>
      </c>
      <c r="P727" t="s">
        <v>421</v>
      </c>
      <c r="Q727">
        <v>0</v>
      </c>
      <c r="R727" t="s">
        <v>159</v>
      </c>
      <c r="S727">
        <v>0</v>
      </c>
      <c r="T727" t="s">
        <v>1485</v>
      </c>
      <c r="U727" t="s">
        <v>492</v>
      </c>
      <c r="V727" t="s">
        <v>1181</v>
      </c>
      <c r="W727" t="s">
        <v>399</v>
      </c>
      <c r="X727" t="s">
        <v>472</v>
      </c>
      <c r="Y727" t="s">
        <v>1620</v>
      </c>
    </row>
    <row r="728" spans="2:25">
      <c r="B728" t="s">
        <v>1616</v>
      </c>
      <c r="C728" t="s" vm="53">
        <v>673</v>
      </c>
      <c r="D728" t="s">
        <v>100</v>
      </c>
      <c r="E728" t="s">
        <v>485</v>
      </c>
      <c r="F728" t="s">
        <v>217</v>
      </c>
      <c r="G728" t="s">
        <v>487</v>
      </c>
      <c r="H728" t="s">
        <v>123</v>
      </c>
      <c r="I728" t="s">
        <v>460</v>
      </c>
      <c r="J728" t="s">
        <v>464</v>
      </c>
      <c r="K728">
        <v>2</v>
      </c>
      <c r="L728" t="s">
        <v>486</v>
      </c>
      <c r="M728" t="s">
        <v>1475</v>
      </c>
      <c r="N728" t="s">
        <v>450</v>
      </c>
      <c r="O728" t="s">
        <v>453</v>
      </c>
      <c r="P728" t="s">
        <v>421</v>
      </c>
      <c r="Q728">
        <v>0</v>
      </c>
      <c r="R728" t="s">
        <v>159</v>
      </c>
      <c r="S728">
        <v>0</v>
      </c>
      <c r="T728" t="s">
        <v>1485</v>
      </c>
      <c r="U728" t="s">
        <v>492</v>
      </c>
      <c r="V728" t="s">
        <v>1181</v>
      </c>
      <c r="W728" t="s">
        <v>399</v>
      </c>
      <c r="X728" t="s">
        <v>470</v>
      </c>
      <c r="Y728" t="s">
        <v>1618</v>
      </c>
    </row>
    <row r="729" spans="2:25">
      <c r="B729" t="s">
        <v>1616</v>
      </c>
      <c r="C729" t="s" vm="53">
        <v>673</v>
      </c>
      <c r="D729" t="s">
        <v>100</v>
      </c>
      <c r="E729" t="s">
        <v>485</v>
      </c>
      <c r="F729" t="s">
        <v>217</v>
      </c>
      <c r="G729" t="s">
        <v>487</v>
      </c>
      <c r="H729" t="s">
        <v>123</v>
      </c>
      <c r="I729" t="s">
        <v>460</v>
      </c>
      <c r="J729" t="s">
        <v>464</v>
      </c>
      <c r="K729">
        <v>2</v>
      </c>
      <c r="L729" t="s">
        <v>488</v>
      </c>
      <c r="M729" t="s">
        <v>492</v>
      </c>
      <c r="N729" t="s">
        <v>496</v>
      </c>
      <c r="O729" t="s">
        <v>453</v>
      </c>
      <c r="P729" t="s">
        <v>421</v>
      </c>
      <c r="Q729">
        <v>0</v>
      </c>
      <c r="R729" t="s">
        <v>159</v>
      </c>
      <c r="S729">
        <v>0</v>
      </c>
      <c r="T729" t="s">
        <v>1485</v>
      </c>
      <c r="U729" t="s">
        <v>492</v>
      </c>
      <c r="V729" t="s">
        <v>1181</v>
      </c>
      <c r="W729" t="s">
        <v>399</v>
      </c>
      <c r="X729" t="s">
        <v>470</v>
      </c>
      <c r="Y729" t="s">
        <v>1617</v>
      </c>
    </row>
    <row r="730" spans="2:25">
      <c r="B730" t="s">
        <v>1616</v>
      </c>
      <c r="C730" t="s" vm="52">
        <v>1613</v>
      </c>
      <c r="D730" t="s">
        <v>100</v>
      </c>
      <c r="E730" t="s">
        <v>485</v>
      </c>
      <c r="F730" t="s">
        <v>217</v>
      </c>
      <c r="G730" t="s">
        <v>473</v>
      </c>
      <c r="H730">
        <v>1</v>
      </c>
      <c r="I730" t="s">
        <v>458</v>
      </c>
      <c r="J730" t="s">
        <v>464</v>
      </c>
      <c r="K730">
        <v>2</v>
      </c>
      <c r="L730" t="s">
        <v>486</v>
      </c>
      <c r="M730" t="s">
        <v>1614</v>
      </c>
      <c r="N730" t="s">
        <v>450</v>
      </c>
      <c r="O730" t="s">
        <v>453</v>
      </c>
      <c r="P730" t="s">
        <v>421</v>
      </c>
      <c r="Q730">
        <v>0</v>
      </c>
      <c r="R730" t="s">
        <v>159</v>
      </c>
      <c r="S730">
        <v>0</v>
      </c>
      <c r="T730" t="s">
        <v>1516</v>
      </c>
      <c r="U730" t="s">
        <v>492</v>
      </c>
      <c r="V730" t="s">
        <v>1181</v>
      </c>
      <c r="W730" t="s">
        <v>399</v>
      </c>
      <c r="X730" t="s">
        <v>472</v>
      </c>
      <c r="Y730" t="s">
        <v>1615</v>
      </c>
    </row>
    <row r="731" spans="2:25">
      <c r="B731" t="s">
        <v>1606</v>
      </c>
      <c r="C731" t="s" vm="52">
        <v>1613</v>
      </c>
      <c r="D731" t="s">
        <v>100</v>
      </c>
      <c r="E731" t="s">
        <v>485</v>
      </c>
      <c r="F731" t="s">
        <v>217</v>
      </c>
      <c r="G731" t="s">
        <v>473</v>
      </c>
      <c r="H731">
        <v>1</v>
      </c>
      <c r="I731" t="s">
        <v>458</v>
      </c>
      <c r="J731" t="s">
        <v>464</v>
      </c>
      <c r="K731">
        <v>2</v>
      </c>
      <c r="L731" t="s">
        <v>486</v>
      </c>
      <c r="M731" t="s">
        <v>1614</v>
      </c>
      <c r="N731" t="s">
        <v>450</v>
      </c>
      <c r="O731" t="s">
        <v>453</v>
      </c>
      <c r="P731" t="s">
        <v>421</v>
      </c>
      <c r="Q731">
        <v>0</v>
      </c>
      <c r="R731" t="s">
        <v>159</v>
      </c>
      <c r="S731">
        <v>0</v>
      </c>
      <c r="T731" t="s">
        <v>1516</v>
      </c>
      <c r="U731" t="s">
        <v>492</v>
      </c>
      <c r="V731" t="s">
        <v>1181</v>
      </c>
      <c r="W731" t="s">
        <v>399</v>
      </c>
      <c r="X731" t="s">
        <v>472</v>
      </c>
      <c r="Y731" t="s">
        <v>1615</v>
      </c>
    </row>
    <row r="732" spans="2:25">
      <c r="B732" t="s">
        <v>1606</v>
      </c>
      <c r="C732" t="s" vm="51">
        <v>1603</v>
      </c>
      <c r="D732" t="s">
        <v>100</v>
      </c>
      <c r="E732" t="s">
        <v>485</v>
      </c>
      <c r="F732" t="s">
        <v>461</v>
      </c>
      <c r="G732" t="s">
        <v>487</v>
      </c>
      <c r="H732" t="s">
        <v>123</v>
      </c>
      <c r="I732" t="s">
        <v>458</v>
      </c>
      <c r="J732" t="s">
        <v>464</v>
      </c>
      <c r="K732">
        <v>2</v>
      </c>
      <c r="L732" t="s">
        <v>486</v>
      </c>
      <c r="M732" t="s">
        <v>556</v>
      </c>
      <c r="N732" t="s">
        <v>450</v>
      </c>
      <c r="O732" t="s">
        <v>453</v>
      </c>
      <c r="P732" t="s">
        <v>421</v>
      </c>
      <c r="Q732">
        <v>0</v>
      </c>
      <c r="R732" t="s">
        <v>159</v>
      </c>
      <c r="S732">
        <v>0</v>
      </c>
      <c r="T732" t="s">
        <v>402</v>
      </c>
      <c r="U732" t="s">
        <v>492</v>
      </c>
      <c r="V732" t="s">
        <v>1181</v>
      </c>
      <c r="W732" t="s">
        <v>399</v>
      </c>
      <c r="X732" t="s">
        <v>472</v>
      </c>
      <c r="Y732" t="s">
        <v>1607</v>
      </c>
    </row>
    <row r="733" spans="2:25">
      <c r="B733" t="s">
        <v>1604</v>
      </c>
      <c r="C733" t="s" vm="51">
        <v>1603</v>
      </c>
      <c r="D733" t="s">
        <v>100</v>
      </c>
      <c r="E733" t="s">
        <v>485</v>
      </c>
      <c r="F733" t="s">
        <v>461</v>
      </c>
      <c r="G733" t="s">
        <v>473</v>
      </c>
      <c r="H733">
        <v>1</v>
      </c>
      <c r="I733" t="s">
        <v>458</v>
      </c>
      <c r="J733" t="s">
        <v>464</v>
      </c>
      <c r="K733">
        <v>2</v>
      </c>
      <c r="L733" t="s">
        <v>486</v>
      </c>
      <c r="M733" t="s">
        <v>556</v>
      </c>
      <c r="N733" t="s">
        <v>450</v>
      </c>
      <c r="O733" t="s">
        <v>453</v>
      </c>
      <c r="P733" t="s">
        <v>421</v>
      </c>
      <c r="Q733">
        <v>0</v>
      </c>
      <c r="R733" t="s">
        <v>159</v>
      </c>
      <c r="S733">
        <v>0</v>
      </c>
      <c r="T733" t="s">
        <v>1516</v>
      </c>
      <c r="U733" t="s">
        <v>492</v>
      </c>
      <c r="V733" t="s">
        <v>1181</v>
      </c>
      <c r="W733" t="s">
        <v>399</v>
      </c>
      <c r="X733" t="s">
        <v>470</v>
      </c>
      <c r="Y733" t="s">
        <v>1605</v>
      </c>
    </row>
    <row r="734" spans="2:25">
      <c r="B734" t="s">
        <v>1563</v>
      </c>
      <c r="C734" t="s" vm="50">
        <v>1561</v>
      </c>
      <c r="D734" t="s">
        <v>102</v>
      </c>
      <c r="E734" t="s">
        <v>485</v>
      </c>
      <c r="F734" t="s">
        <v>217</v>
      </c>
      <c r="G734" t="s">
        <v>473</v>
      </c>
      <c r="H734">
        <v>1</v>
      </c>
      <c r="I734" t="s">
        <v>458</v>
      </c>
      <c r="J734" t="s">
        <v>462</v>
      </c>
      <c r="K734">
        <v>1</v>
      </c>
      <c r="L734" t="s">
        <v>488</v>
      </c>
      <c r="M734" t="s">
        <v>492</v>
      </c>
      <c r="N734" t="s">
        <v>496</v>
      </c>
      <c r="O734" t="s">
        <v>453</v>
      </c>
      <c r="P734" t="s">
        <v>421</v>
      </c>
      <c r="Q734">
        <v>0</v>
      </c>
      <c r="R734" t="s">
        <v>159</v>
      </c>
      <c r="S734">
        <v>0</v>
      </c>
      <c r="T734" t="s">
        <v>1516</v>
      </c>
      <c r="U734" t="s">
        <v>492</v>
      </c>
      <c r="V734" t="s">
        <v>1181</v>
      </c>
      <c r="W734" t="s">
        <v>399</v>
      </c>
      <c r="X734" t="s">
        <v>472</v>
      </c>
      <c r="Y734" t="s">
        <v>1564</v>
      </c>
    </row>
    <row r="735" spans="2:25">
      <c r="B735" t="s">
        <v>1545</v>
      </c>
      <c r="C735" t="s" vm="49">
        <v>1533</v>
      </c>
      <c r="D735" t="s">
        <v>100</v>
      </c>
      <c r="E735" t="s">
        <v>485</v>
      </c>
      <c r="F735" t="s">
        <v>461</v>
      </c>
      <c r="G735" t="s">
        <v>487</v>
      </c>
      <c r="H735" t="s">
        <v>123</v>
      </c>
      <c r="I735" t="s">
        <v>456</v>
      </c>
      <c r="J735" t="s">
        <v>463</v>
      </c>
      <c r="K735">
        <v>2</v>
      </c>
      <c r="L735" t="s">
        <v>486</v>
      </c>
      <c r="M735" t="s">
        <v>556</v>
      </c>
      <c r="N735" t="s">
        <v>450</v>
      </c>
      <c r="O735" t="s">
        <v>453</v>
      </c>
      <c r="P735" t="s">
        <v>157</v>
      </c>
      <c r="Q735">
        <v>8</v>
      </c>
      <c r="R735" t="s">
        <v>416</v>
      </c>
      <c r="S735">
        <v>8</v>
      </c>
      <c r="T735" t="s">
        <v>1485</v>
      </c>
      <c r="U735" t="s">
        <v>492</v>
      </c>
      <c r="V735" t="s">
        <v>1181</v>
      </c>
      <c r="W735" t="s">
        <v>399</v>
      </c>
      <c r="X735" t="s">
        <v>472</v>
      </c>
      <c r="Y735" t="s">
        <v>1546</v>
      </c>
    </row>
    <row r="736" spans="2:25">
      <c r="B736" t="s">
        <v>1521</v>
      </c>
      <c r="C736" t="s" vm="46">
        <v>1518</v>
      </c>
      <c r="D736" t="s">
        <v>100</v>
      </c>
      <c r="E736" t="s">
        <v>485</v>
      </c>
      <c r="F736" t="s">
        <v>217</v>
      </c>
      <c r="G736" t="s">
        <v>473</v>
      </c>
      <c r="H736">
        <v>1</v>
      </c>
      <c r="I736" t="s">
        <v>460</v>
      </c>
      <c r="J736" t="s">
        <v>462</v>
      </c>
      <c r="K736">
        <v>1</v>
      </c>
      <c r="L736" t="s">
        <v>486</v>
      </c>
      <c r="M736" t="s">
        <v>556</v>
      </c>
      <c r="N736" t="s">
        <v>450</v>
      </c>
      <c r="O736" t="s">
        <v>453</v>
      </c>
      <c r="P736" t="s">
        <v>421</v>
      </c>
      <c r="Q736">
        <v>0</v>
      </c>
      <c r="R736" t="s">
        <v>159</v>
      </c>
      <c r="S736">
        <v>0</v>
      </c>
      <c r="T736" t="s">
        <v>402</v>
      </c>
      <c r="U736" t="s">
        <v>492</v>
      </c>
      <c r="V736" t="s">
        <v>1181</v>
      </c>
      <c r="W736" t="s">
        <v>399</v>
      </c>
      <c r="X736" t="s">
        <v>472</v>
      </c>
      <c r="Y736" t="s">
        <v>1520</v>
      </c>
    </row>
    <row r="737" spans="2:25">
      <c r="B737" t="s">
        <v>1514</v>
      </c>
      <c r="C737" t="s" vm="45">
        <v>1512</v>
      </c>
      <c r="D737" t="s">
        <v>100</v>
      </c>
      <c r="E737" t="s">
        <v>485</v>
      </c>
      <c r="F737" t="s">
        <v>461</v>
      </c>
      <c r="G737" t="s">
        <v>473</v>
      </c>
      <c r="H737">
        <v>1</v>
      </c>
      <c r="I737" t="s">
        <v>458</v>
      </c>
      <c r="J737" t="s">
        <v>464</v>
      </c>
      <c r="K737">
        <v>2</v>
      </c>
      <c r="L737" t="s">
        <v>486</v>
      </c>
      <c r="M737" t="s">
        <v>556</v>
      </c>
      <c r="N737" t="s">
        <v>450</v>
      </c>
      <c r="O737" t="s">
        <v>453</v>
      </c>
      <c r="P737" t="s">
        <v>157</v>
      </c>
      <c r="Q737">
        <v>8</v>
      </c>
      <c r="R737" t="s">
        <v>159</v>
      </c>
      <c r="S737">
        <v>0</v>
      </c>
      <c r="T737" t="s">
        <v>479</v>
      </c>
      <c r="U737" t="s">
        <v>492</v>
      </c>
      <c r="V737" t="s">
        <v>1181</v>
      </c>
      <c r="W737" t="s">
        <v>399</v>
      </c>
      <c r="X737" t="s">
        <v>472</v>
      </c>
      <c r="Y737" t="s">
        <v>1515</v>
      </c>
    </row>
    <row r="738" spans="2:25">
      <c r="B738" t="s">
        <v>1508</v>
      </c>
      <c r="C738" t="s" vm="44">
        <v>1503</v>
      </c>
      <c r="D738" t="s">
        <v>333</v>
      </c>
      <c r="E738" t="s">
        <v>485</v>
      </c>
      <c r="F738" t="s">
        <v>461</v>
      </c>
      <c r="G738" t="s">
        <v>473</v>
      </c>
      <c r="H738">
        <v>2</v>
      </c>
      <c r="I738" t="s">
        <v>460</v>
      </c>
      <c r="J738" t="s">
        <v>462</v>
      </c>
      <c r="K738">
        <v>2</v>
      </c>
      <c r="L738" t="s">
        <v>486</v>
      </c>
      <c r="M738" t="s">
        <v>556</v>
      </c>
      <c r="N738" t="s">
        <v>450</v>
      </c>
      <c r="O738" t="s">
        <v>453</v>
      </c>
      <c r="P738" t="s">
        <v>157</v>
      </c>
      <c r="Q738">
        <v>12</v>
      </c>
      <c r="R738" t="s">
        <v>419</v>
      </c>
      <c r="S738">
        <v>12</v>
      </c>
      <c r="T738" t="s">
        <v>1485</v>
      </c>
      <c r="U738" t="s">
        <v>492</v>
      </c>
      <c r="V738" t="s">
        <v>1181</v>
      </c>
      <c r="W738" t="s">
        <v>399</v>
      </c>
      <c r="X738" t="s">
        <v>472</v>
      </c>
      <c r="Y738" t="s">
        <v>1509</v>
      </c>
    </row>
    <row r="739" spans="2:25">
      <c r="B739" t="s">
        <v>1506</v>
      </c>
      <c r="C739" t="s" vm="44">
        <v>1503</v>
      </c>
      <c r="D739" t="s">
        <v>101</v>
      </c>
      <c r="E739" t="s">
        <v>485</v>
      </c>
      <c r="F739" t="s">
        <v>461</v>
      </c>
      <c r="G739" t="s">
        <v>473</v>
      </c>
      <c r="H739">
        <v>1</v>
      </c>
      <c r="I739" t="s">
        <v>458</v>
      </c>
      <c r="J739" t="s">
        <v>462</v>
      </c>
      <c r="K739">
        <v>2</v>
      </c>
      <c r="L739" t="s">
        <v>486</v>
      </c>
      <c r="M739" t="s">
        <v>556</v>
      </c>
      <c r="N739" t="s">
        <v>450</v>
      </c>
      <c r="O739" t="s">
        <v>453</v>
      </c>
      <c r="P739" t="s">
        <v>157</v>
      </c>
      <c r="Q739">
        <v>8</v>
      </c>
      <c r="R739" t="s">
        <v>419</v>
      </c>
      <c r="S739">
        <v>8</v>
      </c>
      <c r="T739" t="s">
        <v>1485</v>
      </c>
      <c r="U739" t="s">
        <v>492</v>
      </c>
      <c r="V739" t="s">
        <v>1181</v>
      </c>
      <c r="W739" t="s">
        <v>399</v>
      </c>
      <c r="X739" t="s">
        <v>472</v>
      </c>
      <c r="Y739" t="s">
        <v>1507</v>
      </c>
    </row>
    <row r="740" spans="2:25">
      <c r="B740" t="s">
        <v>1498</v>
      </c>
      <c r="C740" t="s" vm="41">
        <v>1440</v>
      </c>
      <c r="D740" t="s">
        <v>100</v>
      </c>
      <c r="E740" t="s">
        <v>485</v>
      </c>
      <c r="F740" t="s">
        <v>217</v>
      </c>
      <c r="G740" t="s">
        <v>473</v>
      </c>
      <c r="H740">
        <v>1</v>
      </c>
      <c r="I740" t="s">
        <v>458</v>
      </c>
      <c r="J740" t="s">
        <v>462</v>
      </c>
      <c r="K740">
        <v>2</v>
      </c>
      <c r="L740" t="s">
        <v>486</v>
      </c>
      <c r="M740" t="s">
        <v>556</v>
      </c>
      <c r="N740" t="s">
        <v>450</v>
      </c>
      <c r="O740" t="s">
        <v>453</v>
      </c>
      <c r="P740" t="s">
        <v>157</v>
      </c>
      <c r="Q740">
        <v>4</v>
      </c>
      <c r="R740" t="s">
        <v>419</v>
      </c>
      <c r="S740">
        <v>8</v>
      </c>
      <c r="T740" t="s">
        <v>1485</v>
      </c>
      <c r="U740" t="s">
        <v>492</v>
      </c>
      <c r="V740" t="s">
        <v>1181</v>
      </c>
      <c r="W740" t="s">
        <v>399</v>
      </c>
      <c r="X740" t="s">
        <v>470</v>
      </c>
      <c r="Y740" t="s">
        <v>1499</v>
      </c>
    </row>
    <row r="741" spans="2:25">
      <c r="B741" t="s">
        <v>1496</v>
      </c>
      <c r="C741" t="s" vm="41">
        <v>1440</v>
      </c>
      <c r="D741" t="s">
        <v>100</v>
      </c>
      <c r="E741" t="s">
        <v>485</v>
      </c>
      <c r="F741" t="s">
        <v>217</v>
      </c>
      <c r="G741" t="s">
        <v>473</v>
      </c>
      <c r="H741">
        <v>1</v>
      </c>
      <c r="I741" t="s">
        <v>458</v>
      </c>
      <c r="J741" t="s">
        <v>462</v>
      </c>
      <c r="K741">
        <v>2</v>
      </c>
      <c r="L741" t="s">
        <v>486</v>
      </c>
      <c r="M741" t="s">
        <v>556</v>
      </c>
      <c r="N741" t="s">
        <v>450</v>
      </c>
      <c r="O741" t="s">
        <v>453</v>
      </c>
      <c r="P741" t="s">
        <v>157</v>
      </c>
      <c r="Q741">
        <v>4</v>
      </c>
      <c r="R741" t="s">
        <v>419</v>
      </c>
      <c r="S741">
        <v>8</v>
      </c>
      <c r="T741" t="s">
        <v>1485</v>
      </c>
      <c r="U741" t="s">
        <v>492</v>
      </c>
      <c r="V741" t="s">
        <v>1181</v>
      </c>
      <c r="W741" t="s">
        <v>399</v>
      </c>
      <c r="X741" t="s">
        <v>470</v>
      </c>
      <c r="Y741" t="s">
        <v>1497</v>
      </c>
    </row>
    <row r="742" spans="2:25">
      <c r="B742" t="s">
        <v>1489</v>
      </c>
      <c r="C742" t="s" vm="43">
        <v>1486</v>
      </c>
      <c r="D742" t="s">
        <v>100</v>
      </c>
      <c r="E742" t="s">
        <v>485</v>
      </c>
      <c r="F742" t="s">
        <v>461</v>
      </c>
      <c r="G742" t="s">
        <v>473</v>
      </c>
      <c r="H742">
        <v>1</v>
      </c>
      <c r="I742" t="s">
        <v>456</v>
      </c>
      <c r="J742" t="s">
        <v>463</v>
      </c>
      <c r="K742">
        <v>2</v>
      </c>
      <c r="L742" t="s">
        <v>486</v>
      </c>
      <c r="M742" t="s">
        <v>556</v>
      </c>
      <c r="N742" t="s">
        <v>450</v>
      </c>
      <c r="O742" t="s">
        <v>453</v>
      </c>
      <c r="P742" t="s">
        <v>421</v>
      </c>
      <c r="Q742">
        <v>0</v>
      </c>
      <c r="R742" t="s">
        <v>159</v>
      </c>
      <c r="S742">
        <v>0</v>
      </c>
      <c r="T742" t="s">
        <v>479</v>
      </c>
      <c r="U742" t="s">
        <v>492</v>
      </c>
      <c r="V742" t="s">
        <v>1181</v>
      </c>
      <c r="W742" t="s">
        <v>399</v>
      </c>
      <c r="X742" t="s">
        <v>472</v>
      </c>
      <c r="Y742" t="s">
        <v>1490</v>
      </c>
    </row>
    <row r="743" spans="2:25">
      <c r="B743" t="s">
        <v>1478</v>
      </c>
      <c r="C743" t="s" vm="42">
        <v>1473</v>
      </c>
      <c r="D743" t="s">
        <v>100</v>
      </c>
      <c r="E743" t="s">
        <v>485</v>
      </c>
      <c r="F743" t="s">
        <v>461</v>
      </c>
      <c r="G743" t="s">
        <v>473</v>
      </c>
      <c r="H743">
        <v>1</v>
      </c>
      <c r="I743" t="s">
        <v>456</v>
      </c>
      <c r="J743" t="s">
        <v>464</v>
      </c>
      <c r="K743">
        <v>2</v>
      </c>
      <c r="L743" t="s">
        <v>486</v>
      </c>
      <c r="M743" t="s">
        <v>1475</v>
      </c>
      <c r="N743" t="s">
        <v>450</v>
      </c>
      <c r="O743" t="s">
        <v>453</v>
      </c>
      <c r="P743" t="s">
        <v>157</v>
      </c>
      <c r="Q743">
        <v>8</v>
      </c>
      <c r="R743" t="s">
        <v>419</v>
      </c>
      <c r="S743">
        <v>8</v>
      </c>
      <c r="T743" t="s">
        <v>479</v>
      </c>
      <c r="U743" t="s">
        <v>492</v>
      </c>
      <c r="V743" t="s">
        <v>1183</v>
      </c>
      <c r="W743" t="s">
        <v>399</v>
      </c>
      <c r="X743" t="s">
        <v>472</v>
      </c>
      <c r="Y743" t="s">
        <v>1479</v>
      </c>
    </row>
    <row r="744" spans="2:25">
      <c r="B744" t="s">
        <v>1441</v>
      </c>
      <c r="C744" t="s" vm="41">
        <v>1440</v>
      </c>
      <c r="D744" t="s">
        <v>100</v>
      </c>
      <c r="E744" t="s">
        <v>485</v>
      </c>
      <c r="F744" t="s">
        <v>217</v>
      </c>
      <c r="G744" t="s">
        <v>473</v>
      </c>
      <c r="H744">
        <v>1</v>
      </c>
      <c r="I744" t="s">
        <v>458</v>
      </c>
      <c r="J744" t="s">
        <v>462</v>
      </c>
      <c r="K744">
        <v>2</v>
      </c>
      <c r="L744" t="s">
        <v>486</v>
      </c>
      <c r="M744" t="s">
        <v>556</v>
      </c>
      <c r="N744" t="s">
        <v>450</v>
      </c>
      <c r="O744" t="s">
        <v>453</v>
      </c>
      <c r="P744" t="s">
        <v>157</v>
      </c>
      <c r="Q744">
        <v>4</v>
      </c>
      <c r="R744" t="s">
        <v>159</v>
      </c>
      <c r="S744">
        <v>0</v>
      </c>
      <c r="T744" t="s">
        <v>483</v>
      </c>
      <c r="U744" t="s">
        <v>492</v>
      </c>
      <c r="V744" t="s">
        <v>1181</v>
      </c>
      <c r="W744" t="s">
        <v>399</v>
      </c>
      <c r="X744" t="s">
        <v>470</v>
      </c>
      <c r="Y744" t="s">
        <v>1442</v>
      </c>
    </row>
    <row r="745" spans="2:25">
      <c r="B745" t="s">
        <v>1435</v>
      </c>
      <c r="C745" t="s" vm="40">
        <v>1434</v>
      </c>
      <c r="D745" t="s">
        <v>100</v>
      </c>
      <c r="E745" t="s">
        <v>485</v>
      </c>
      <c r="F745" t="s">
        <v>461</v>
      </c>
      <c r="G745" t="s">
        <v>473</v>
      </c>
      <c r="H745">
        <v>1</v>
      </c>
      <c r="I745" t="s">
        <v>458</v>
      </c>
      <c r="J745" t="s">
        <v>462</v>
      </c>
      <c r="K745">
        <v>2</v>
      </c>
      <c r="L745" t="s">
        <v>486</v>
      </c>
      <c r="M745" t="s">
        <v>1022</v>
      </c>
      <c r="N745" t="s">
        <v>450</v>
      </c>
      <c r="O745" t="s">
        <v>453</v>
      </c>
      <c r="P745" t="s">
        <v>157</v>
      </c>
      <c r="Q745">
        <v>8</v>
      </c>
      <c r="R745" t="s">
        <v>419</v>
      </c>
      <c r="S745">
        <v>8</v>
      </c>
      <c r="T745" t="s">
        <v>402</v>
      </c>
      <c r="U745" t="s">
        <v>492</v>
      </c>
      <c r="V745" t="s">
        <v>1181</v>
      </c>
      <c r="W745" t="s">
        <v>399</v>
      </c>
      <c r="X745" t="s">
        <v>472</v>
      </c>
      <c r="Y745" t="s">
        <v>1436</v>
      </c>
    </row>
    <row r="746" spans="2:25">
      <c r="B746" t="s">
        <v>1432</v>
      </c>
      <c r="C746" t="s" vm="39">
        <v>701</v>
      </c>
      <c r="D746" t="s">
        <v>100</v>
      </c>
      <c r="E746" t="s">
        <v>485</v>
      </c>
      <c r="F746" t="s">
        <v>461</v>
      </c>
      <c r="G746" t="s">
        <v>473</v>
      </c>
      <c r="H746">
        <v>1</v>
      </c>
      <c r="I746" t="s">
        <v>458</v>
      </c>
      <c r="J746" t="s">
        <v>462</v>
      </c>
      <c r="K746">
        <v>2</v>
      </c>
      <c r="L746" t="s">
        <v>486</v>
      </c>
      <c r="M746" t="s">
        <v>556</v>
      </c>
      <c r="N746" t="s">
        <v>450</v>
      </c>
      <c r="O746" t="s">
        <v>453</v>
      </c>
      <c r="P746" t="s">
        <v>157</v>
      </c>
      <c r="Q746">
        <v>4</v>
      </c>
      <c r="R746" t="s">
        <v>416</v>
      </c>
      <c r="S746">
        <v>8</v>
      </c>
      <c r="T746" t="s">
        <v>402</v>
      </c>
      <c r="U746" t="s">
        <v>492</v>
      </c>
      <c r="V746" t="s">
        <v>1181</v>
      </c>
      <c r="W746" t="s">
        <v>399</v>
      </c>
      <c r="X746" t="s">
        <v>470</v>
      </c>
      <c r="Y746" t="s">
        <v>1433</v>
      </c>
    </row>
    <row r="747" spans="2:25">
      <c r="B747" t="s">
        <v>1429</v>
      </c>
      <c r="C747" t="s" vm="38">
        <v>1428</v>
      </c>
      <c r="D747" t="s">
        <v>102</v>
      </c>
      <c r="E747" t="s">
        <v>485</v>
      </c>
      <c r="F747" t="s">
        <v>217</v>
      </c>
      <c r="G747" t="s">
        <v>473</v>
      </c>
      <c r="H747">
        <v>1</v>
      </c>
      <c r="I747" t="s">
        <v>458</v>
      </c>
      <c r="J747" t="s">
        <v>463</v>
      </c>
      <c r="K747">
        <v>2</v>
      </c>
      <c r="L747" t="s">
        <v>486</v>
      </c>
      <c r="M747" t="s">
        <v>1022</v>
      </c>
      <c r="N747" t="s">
        <v>450</v>
      </c>
      <c r="O747" t="s">
        <v>453</v>
      </c>
      <c r="P747" t="s">
        <v>157</v>
      </c>
      <c r="Q747">
        <v>12</v>
      </c>
      <c r="R747" t="s">
        <v>416</v>
      </c>
      <c r="S747">
        <v>12</v>
      </c>
      <c r="T747" t="s">
        <v>479</v>
      </c>
      <c r="U747" t="s">
        <v>492</v>
      </c>
      <c r="V747" t="s">
        <v>1182</v>
      </c>
      <c r="W747" t="s">
        <v>399</v>
      </c>
      <c r="X747" t="s">
        <v>472</v>
      </c>
      <c r="Y747" t="s">
        <v>1430</v>
      </c>
    </row>
    <row r="748" spans="2:25">
      <c r="B748" t="s">
        <v>1415</v>
      </c>
      <c r="C748" t="s" vm="37">
        <v>1408</v>
      </c>
      <c r="D748" t="s">
        <v>102</v>
      </c>
      <c r="E748" t="s">
        <v>485</v>
      </c>
      <c r="F748" t="s">
        <v>217</v>
      </c>
      <c r="G748" t="s">
        <v>473</v>
      </c>
      <c r="H748">
        <v>2</v>
      </c>
      <c r="I748" t="s">
        <v>458</v>
      </c>
      <c r="J748" t="s">
        <v>462</v>
      </c>
      <c r="K748">
        <v>2</v>
      </c>
      <c r="L748" t="s">
        <v>486</v>
      </c>
      <c r="M748" t="s">
        <v>1384</v>
      </c>
      <c r="N748" t="s">
        <v>450</v>
      </c>
      <c r="O748" t="s">
        <v>453</v>
      </c>
      <c r="P748" t="s">
        <v>157</v>
      </c>
      <c r="Q748">
        <v>12</v>
      </c>
      <c r="R748" t="s">
        <v>159</v>
      </c>
      <c r="S748">
        <v>0</v>
      </c>
      <c r="T748" t="s">
        <v>1410</v>
      </c>
      <c r="U748" t="s">
        <v>492</v>
      </c>
      <c r="V748" t="s">
        <v>425</v>
      </c>
      <c r="W748" t="s">
        <v>399</v>
      </c>
      <c r="X748" t="s">
        <v>401</v>
      </c>
      <c r="Y748" t="s">
        <v>1413</v>
      </c>
    </row>
    <row r="749" spans="2:25">
      <c r="B749" t="s">
        <v>1412</v>
      </c>
      <c r="C749" t="s" vm="37">
        <v>1408</v>
      </c>
      <c r="D749" t="s">
        <v>102</v>
      </c>
      <c r="E749" t="s">
        <v>485</v>
      </c>
      <c r="F749" t="s">
        <v>217</v>
      </c>
      <c r="G749" t="s">
        <v>473</v>
      </c>
      <c r="H749">
        <v>2</v>
      </c>
      <c r="I749" t="s">
        <v>458</v>
      </c>
      <c r="J749" t="s">
        <v>462</v>
      </c>
      <c r="K749">
        <v>2</v>
      </c>
      <c r="L749" t="s">
        <v>486</v>
      </c>
      <c r="M749" t="s">
        <v>1384</v>
      </c>
      <c r="N749" t="s">
        <v>450</v>
      </c>
      <c r="O749" t="s">
        <v>453</v>
      </c>
      <c r="P749" t="s">
        <v>157</v>
      </c>
      <c r="Q749">
        <v>12</v>
      </c>
      <c r="R749" t="s">
        <v>159</v>
      </c>
      <c r="S749">
        <v>0</v>
      </c>
      <c r="T749" t="s">
        <v>1410</v>
      </c>
      <c r="U749" t="s">
        <v>492</v>
      </c>
      <c r="V749" t="s">
        <v>1181</v>
      </c>
      <c r="W749" t="s">
        <v>399</v>
      </c>
      <c r="X749" t="s">
        <v>401</v>
      </c>
      <c r="Y749" t="s">
        <v>1414</v>
      </c>
    </row>
    <row r="750" spans="2:25">
      <c r="B750" t="s">
        <v>1400</v>
      </c>
      <c r="C750" t="s" vm="36">
        <v>1398</v>
      </c>
      <c r="D750" t="s">
        <v>102</v>
      </c>
      <c r="E750" t="s">
        <v>485</v>
      </c>
      <c r="F750" t="s">
        <v>217</v>
      </c>
      <c r="G750" t="s">
        <v>473</v>
      </c>
      <c r="H750">
        <v>1</v>
      </c>
      <c r="I750" t="s">
        <v>458</v>
      </c>
      <c r="J750" t="s">
        <v>462</v>
      </c>
      <c r="K750">
        <v>2</v>
      </c>
      <c r="L750" t="s">
        <v>486</v>
      </c>
      <c r="M750" t="s">
        <v>1022</v>
      </c>
      <c r="N750" t="s">
        <v>450</v>
      </c>
      <c r="O750" t="s">
        <v>453</v>
      </c>
      <c r="P750" t="s">
        <v>158</v>
      </c>
      <c r="Q750">
        <v>6</v>
      </c>
      <c r="R750" t="s">
        <v>416</v>
      </c>
      <c r="S750">
        <v>12</v>
      </c>
      <c r="T750" t="s">
        <v>479</v>
      </c>
      <c r="U750" t="s">
        <v>492</v>
      </c>
      <c r="V750" t="s">
        <v>1182</v>
      </c>
      <c r="W750" t="s">
        <v>399</v>
      </c>
      <c r="X750" t="s">
        <v>472</v>
      </c>
      <c r="Y750" t="s">
        <v>1402</v>
      </c>
    </row>
    <row r="751" spans="2:25">
      <c r="B751" t="s">
        <v>1396</v>
      </c>
      <c r="C751" t="s" vm="27">
        <v>1331</v>
      </c>
      <c r="D751" t="s">
        <v>100</v>
      </c>
      <c r="E751" t="s">
        <v>485</v>
      </c>
      <c r="F751" t="s">
        <v>217</v>
      </c>
      <c r="G751" t="s">
        <v>473</v>
      </c>
      <c r="H751">
        <v>1</v>
      </c>
      <c r="I751" t="s">
        <v>458</v>
      </c>
      <c r="J751" t="s">
        <v>462</v>
      </c>
      <c r="K751">
        <v>2</v>
      </c>
      <c r="L751" t="s">
        <v>486</v>
      </c>
      <c r="M751" t="s">
        <v>556</v>
      </c>
      <c r="N751" t="s">
        <v>450</v>
      </c>
      <c r="O751" t="s">
        <v>453</v>
      </c>
      <c r="P751" t="s">
        <v>158</v>
      </c>
      <c r="Q751">
        <v>8</v>
      </c>
      <c r="R751" t="s">
        <v>416</v>
      </c>
      <c r="S751">
        <v>8</v>
      </c>
      <c r="T751" t="s">
        <v>479</v>
      </c>
      <c r="U751" t="s">
        <v>492</v>
      </c>
      <c r="V751" t="s">
        <v>1183</v>
      </c>
      <c r="W751" t="s">
        <v>399</v>
      </c>
      <c r="X751" t="s">
        <v>472</v>
      </c>
      <c r="Y751" t="s">
        <v>1397</v>
      </c>
    </row>
    <row r="752" spans="2:25">
      <c r="B752" t="s">
        <v>1395</v>
      </c>
      <c r="C752" t="s" vm="35">
        <v>1388</v>
      </c>
      <c r="D752" t="s">
        <v>333</v>
      </c>
      <c r="E752" t="s">
        <v>485</v>
      </c>
      <c r="F752" t="s">
        <v>461</v>
      </c>
      <c r="G752" t="s">
        <v>473</v>
      </c>
      <c r="H752">
        <v>2</v>
      </c>
      <c r="I752" t="s">
        <v>460</v>
      </c>
      <c r="J752" t="s">
        <v>462</v>
      </c>
      <c r="K752">
        <v>2</v>
      </c>
      <c r="L752" t="s">
        <v>488</v>
      </c>
      <c r="M752" t="s">
        <v>492</v>
      </c>
      <c r="N752" t="s">
        <v>496</v>
      </c>
      <c r="O752" t="s">
        <v>453</v>
      </c>
      <c r="P752" t="s">
        <v>157</v>
      </c>
      <c r="Q752">
        <v>12</v>
      </c>
      <c r="R752" t="s">
        <v>123</v>
      </c>
      <c r="S752">
        <v>0</v>
      </c>
      <c r="T752" t="s">
        <v>402</v>
      </c>
      <c r="U752" t="s">
        <v>492</v>
      </c>
      <c r="V752" t="s">
        <v>1181</v>
      </c>
      <c r="W752" t="s">
        <v>399</v>
      </c>
      <c r="X752" t="s">
        <v>472</v>
      </c>
      <c r="Y752" t="s">
        <v>1394</v>
      </c>
    </row>
    <row r="753" spans="2:25">
      <c r="B753" t="s">
        <v>1387</v>
      </c>
      <c r="C753" t="s" vm="34">
        <v>1386</v>
      </c>
      <c r="D753" t="s">
        <v>100</v>
      </c>
      <c r="E753" t="s">
        <v>485</v>
      </c>
      <c r="F753" t="s">
        <v>461</v>
      </c>
      <c r="G753" t="s">
        <v>487</v>
      </c>
      <c r="H753" t="s">
        <v>123</v>
      </c>
      <c r="I753" t="s">
        <v>456</v>
      </c>
      <c r="J753" t="s">
        <v>463</v>
      </c>
      <c r="K753">
        <v>2</v>
      </c>
      <c r="L753" t="s">
        <v>486</v>
      </c>
      <c r="M753" t="s">
        <v>556</v>
      </c>
      <c r="N753" t="s">
        <v>450</v>
      </c>
      <c r="O753" t="s">
        <v>453</v>
      </c>
      <c r="P753" t="s">
        <v>157</v>
      </c>
      <c r="Q753">
        <v>8</v>
      </c>
      <c r="R753" t="s">
        <v>123</v>
      </c>
      <c r="S753">
        <v>0</v>
      </c>
      <c r="T753" t="s">
        <v>479</v>
      </c>
      <c r="U753" t="s">
        <v>492</v>
      </c>
      <c r="V753" t="s">
        <v>1181</v>
      </c>
      <c r="W753" t="s">
        <v>399</v>
      </c>
      <c r="X753" t="s">
        <v>472</v>
      </c>
      <c r="Y753" t="s">
        <v>1393</v>
      </c>
    </row>
    <row r="754" spans="2:25">
      <c r="B754" t="s">
        <v>1391</v>
      </c>
      <c r="C754" t="s" vm="35">
        <v>1388</v>
      </c>
      <c r="D754" t="s">
        <v>333</v>
      </c>
      <c r="E754" t="s">
        <v>485</v>
      </c>
      <c r="F754" t="s">
        <v>461</v>
      </c>
      <c r="G754" t="s">
        <v>473</v>
      </c>
      <c r="H754">
        <v>1</v>
      </c>
      <c r="I754" t="s">
        <v>460</v>
      </c>
      <c r="J754" t="s">
        <v>462</v>
      </c>
      <c r="K754">
        <v>2</v>
      </c>
      <c r="L754" t="s">
        <v>488</v>
      </c>
      <c r="M754" t="s">
        <v>492</v>
      </c>
      <c r="N754" t="s">
        <v>496</v>
      </c>
      <c r="O754" t="s">
        <v>453</v>
      </c>
      <c r="P754" t="s">
        <v>157</v>
      </c>
      <c r="Q754">
        <v>12</v>
      </c>
      <c r="R754" t="s">
        <v>159</v>
      </c>
      <c r="S754">
        <v>0</v>
      </c>
      <c r="T754" t="s">
        <v>402</v>
      </c>
      <c r="U754" t="s">
        <v>492</v>
      </c>
      <c r="V754" t="s">
        <v>1181</v>
      </c>
      <c r="W754" t="s">
        <v>399</v>
      </c>
      <c r="X754" t="s">
        <v>472</v>
      </c>
      <c r="Y754" t="s">
        <v>1392</v>
      </c>
    </row>
    <row r="755" spans="2:25">
      <c r="B755" t="s">
        <v>1389</v>
      </c>
      <c r="C755" t="s" vm="35">
        <v>1388</v>
      </c>
      <c r="D755" t="s">
        <v>101</v>
      </c>
      <c r="E755" t="s">
        <v>485</v>
      </c>
      <c r="F755" t="s">
        <v>461</v>
      </c>
      <c r="G755" t="s">
        <v>473</v>
      </c>
      <c r="H755">
        <v>1</v>
      </c>
      <c r="I755" t="s">
        <v>460</v>
      </c>
      <c r="J755" t="s">
        <v>462</v>
      </c>
      <c r="K755">
        <v>2</v>
      </c>
      <c r="L755" t="s">
        <v>488</v>
      </c>
      <c r="M755" t="s">
        <v>492</v>
      </c>
      <c r="N755" t="s">
        <v>496</v>
      </c>
      <c r="O755" t="s">
        <v>453</v>
      </c>
      <c r="P755" t="s">
        <v>157</v>
      </c>
      <c r="Q755">
        <v>8</v>
      </c>
      <c r="R755" t="s">
        <v>159</v>
      </c>
      <c r="S755">
        <v>0</v>
      </c>
      <c r="T755" t="s">
        <v>402</v>
      </c>
      <c r="U755" t="s">
        <v>492</v>
      </c>
      <c r="V755" t="s">
        <v>1181</v>
      </c>
      <c r="W755" t="s">
        <v>399</v>
      </c>
      <c r="X755" t="s">
        <v>472</v>
      </c>
      <c r="Y755" t="s">
        <v>1390</v>
      </c>
    </row>
    <row r="756" spans="2:25">
      <c r="B756" t="s">
        <v>1380</v>
      </c>
      <c r="C756" t="s" vm="33">
        <v>1377</v>
      </c>
      <c r="D756" t="s">
        <v>100</v>
      </c>
      <c r="E756" t="s">
        <v>485</v>
      </c>
      <c r="F756" t="s">
        <v>461</v>
      </c>
      <c r="G756" t="s">
        <v>473</v>
      </c>
      <c r="H756">
        <v>1</v>
      </c>
      <c r="I756" t="s">
        <v>458</v>
      </c>
      <c r="J756" t="s">
        <v>462</v>
      </c>
      <c r="K756">
        <v>2</v>
      </c>
      <c r="L756" t="s">
        <v>486</v>
      </c>
      <c r="M756" t="s">
        <v>556</v>
      </c>
      <c r="N756" t="s">
        <v>450</v>
      </c>
      <c r="O756" t="s">
        <v>453</v>
      </c>
      <c r="P756" t="s">
        <v>158</v>
      </c>
      <c r="Q756">
        <v>8</v>
      </c>
      <c r="R756" t="s">
        <v>419</v>
      </c>
      <c r="S756">
        <v>8</v>
      </c>
      <c r="T756" t="s">
        <v>479</v>
      </c>
      <c r="U756" t="s">
        <v>492</v>
      </c>
      <c r="V756" t="s">
        <v>1181</v>
      </c>
      <c r="W756" t="s">
        <v>399</v>
      </c>
      <c r="X756" t="s">
        <v>472</v>
      </c>
      <c r="Y756" t="s">
        <v>1381</v>
      </c>
    </row>
    <row r="757" spans="2:25">
      <c r="B757" t="s">
        <v>1378</v>
      </c>
      <c r="C757" t="s" vm="33">
        <v>1377</v>
      </c>
      <c r="D757" t="s">
        <v>100</v>
      </c>
      <c r="E757" t="s">
        <v>485</v>
      </c>
      <c r="F757" t="s">
        <v>461</v>
      </c>
      <c r="G757" t="s">
        <v>473</v>
      </c>
      <c r="H757">
        <v>1</v>
      </c>
      <c r="I757" t="s">
        <v>458</v>
      </c>
      <c r="J757" t="s">
        <v>462</v>
      </c>
      <c r="K757">
        <v>2</v>
      </c>
      <c r="L757" t="s">
        <v>486</v>
      </c>
      <c r="M757" t="s">
        <v>556</v>
      </c>
      <c r="N757" t="s">
        <v>450</v>
      </c>
      <c r="O757" t="s">
        <v>453</v>
      </c>
      <c r="P757" t="s">
        <v>157</v>
      </c>
      <c r="Q757">
        <v>8</v>
      </c>
      <c r="R757" t="s">
        <v>419</v>
      </c>
      <c r="S757">
        <v>8</v>
      </c>
      <c r="T757" t="s">
        <v>479</v>
      </c>
      <c r="U757" t="s">
        <v>492</v>
      </c>
      <c r="V757" t="s">
        <v>1181</v>
      </c>
      <c r="W757" t="s">
        <v>399</v>
      </c>
      <c r="X757" t="s">
        <v>472</v>
      </c>
      <c r="Y757" t="s">
        <v>1379</v>
      </c>
    </row>
    <row r="758" spans="2:25">
      <c r="B758" t="s">
        <v>1375</v>
      </c>
      <c r="C758" t="s" vm="32">
        <v>1372</v>
      </c>
      <c r="D758" t="s">
        <v>100</v>
      </c>
      <c r="E758" t="s">
        <v>485</v>
      </c>
      <c r="F758" t="s">
        <v>217</v>
      </c>
      <c r="G758" t="s">
        <v>473</v>
      </c>
      <c r="H758">
        <v>1</v>
      </c>
      <c r="I758" t="s">
        <v>458</v>
      </c>
      <c r="J758" t="s">
        <v>463</v>
      </c>
      <c r="K758">
        <v>2</v>
      </c>
      <c r="L758" t="s">
        <v>486</v>
      </c>
      <c r="M758" t="s">
        <v>556</v>
      </c>
      <c r="N758" t="s">
        <v>450</v>
      </c>
      <c r="O758" t="s">
        <v>453</v>
      </c>
      <c r="P758" t="s">
        <v>157</v>
      </c>
      <c r="Q758">
        <v>4</v>
      </c>
      <c r="R758" t="s">
        <v>416</v>
      </c>
      <c r="S758">
        <v>8</v>
      </c>
      <c r="T758" t="s">
        <v>479</v>
      </c>
      <c r="U758" t="s">
        <v>492</v>
      </c>
      <c r="V758" t="s">
        <v>425</v>
      </c>
      <c r="W758" t="s">
        <v>399</v>
      </c>
      <c r="X758" t="s">
        <v>470</v>
      </c>
      <c r="Y758" t="s">
        <v>1374</v>
      </c>
    </row>
    <row r="759" spans="2:25">
      <c r="B759" t="s">
        <v>1362</v>
      </c>
      <c r="C759" t="s" vm="31">
        <v>1359</v>
      </c>
      <c r="D759" t="s">
        <v>100</v>
      </c>
      <c r="E759" t="s">
        <v>485</v>
      </c>
      <c r="F759" t="s">
        <v>461</v>
      </c>
      <c r="G759" t="s">
        <v>473</v>
      </c>
      <c r="H759">
        <v>1</v>
      </c>
      <c r="I759" t="s">
        <v>458</v>
      </c>
      <c r="J759" t="s">
        <v>464</v>
      </c>
      <c r="K759">
        <v>2</v>
      </c>
      <c r="L759" t="s">
        <v>488</v>
      </c>
      <c r="M759" t="s">
        <v>556</v>
      </c>
      <c r="N759" t="s">
        <v>451</v>
      </c>
      <c r="O759" t="s">
        <v>453</v>
      </c>
      <c r="P759" t="s">
        <v>157</v>
      </c>
      <c r="Q759">
        <v>8</v>
      </c>
      <c r="R759" t="s">
        <v>159</v>
      </c>
      <c r="S759">
        <v>0</v>
      </c>
      <c r="T759" t="s">
        <v>479</v>
      </c>
      <c r="U759" t="s">
        <v>492</v>
      </c>
      <c r="V759" t="s">
        <v>1182</v>
      </c>
      <c r="W759" t="s">
        <v>399</v>
      </c>
      <c r="X759" t="s">
        <v>472</v>
      </c>
      <c r="Y759" t="s">
        <v>1363</v>
      </c>
    </row>
    <row r="760" spans="2:25">
      <c r="B760" t="s">
        <v>1360</v>
      </c>
      <c r="C760" t="s" vm="31">
        <v>1359</v>
      </c>
      <c r="D760" t="s">
        <v>100</v>
      </c>
      <c r="E760" t="s">
        <v>485</v>
      </c>
      <c r="F760" t="s">
        <v>217</v>
      </c>
      <c r="G760" t="s">
        <v>473</v>
      </c>
      <c r="H760">
        <v>1</v>
      </c>
      <c r="I760" t="s">
        <v>458</v>
      </c>
      <c r="J760" t="s">
        <v>464</v>
      </c>
      <c r="K760">
        <v>2</v>
      </c>
      <c r="L760" t="s">
        <v>488</v>
      </c>
      <c r="M760" t="s">
        <v>556</v>
      </c>
      <c r="N760" t="s">
        <v>451</v>
      </c>
      <c r="O760" t="s">
        <v>453</v>
      </c>
      <c r="P760" t="s">
        <v>157</v>
      </c>
      <c r="Q760">
        <v>8</v>
      </c>
      <c r="R760" t="s">
        <v>159</v>
      </c>
      <c r="S760">
        <v>0</v>
      </c>
      <c r="T760" t="s">
        <v>479</v>
      </c>
      <c r="U760" t="s">
        <v>492</v>
      </c>
      <c r="V760" t="s">
        <v>1182</v>
      </c>
      <c r="W760" t="s">
        <v>399</v>
      </c>
      <c r="X760" t="s">
        <v>472</v>
      </c>
      <c r="Y760" t="s">
        <v>1361</v>
      </c>
    </row>
    <row r="761" spans="2:25">
      <c r="B761" t="s">
        <v>1355</v>
      </c>
      <c r="C761" t="s" vm="30">
        <v>617</v>
      </c>
      <c r="D761" t="s">
        <v>1019</v>
      </c>
      <c r="E761" t="s">
        <v>485</v>
      </c>
      <c r="F761" t="s">
        <v>461</v>
      </c>
      <c r="G761" t="s">
        <v>473</v>
      </c>
      <c r="H761">
        <v>2</v>
      </c>
      <c r="I761" t="s">
        <v>456</v>
      </c>
      <c r="J761" t="s">
        <v>463</v>
      </c>
      <c r="K761">
        <v>2</v>
      </c>
      <c r="L761" t="s">
        <v>486</v>
      </c>
      <c r="M761" t="s">
        <v>556</v>
      </c>
      <c r="N761" t="s">
        <v>450</v>
      </c>
      <c r="O761" t="s">
        <v>453</v>
      </c>
      <c r="P761" t="s">
        <v>421</v>
      </c>
      <c r="Q761">
        <v>0</v>
      </c>
      <c r="R761" t="s">
        <v>159</v>
      </c>
      <c r="S761">
        <v>0</v>
      </c>
      <c r="T761" t="s">
        <v>479</v>
      </c>
      <c r="U761" t="s">
        <v>492</v>
      </c>
      <c r="V761" t="s">
        <v>1142</v>
      </c>
      <c r="W761" t="s">
        <v>399</v>
      </c>
      <c r="X761" t="s">
        <v>401</v>
      </c>
      <c r="Y761" t="s">
        <v>1356</v>
      </c>
    </row>
    <row r="762" spans="2:25">
      <c r="B762" t="s">
        <v>1351</v>
      </c>
      <c r="C762" t="s" vm="29">
        <v>1041</v>
      </c>
      <c r="D762" t="s">
        <v>100</v>
      </c>
      <c r="E762" t="s">
        <v>485</v>
      </c>
      <c r="F762" t="s">
        <v>461</v>
      </c>
      <c r="G762" t="s">
        <v>473</v>
      </c>
      <c r="H762">
        <v>1</v>
      </c>
      <c r="I762" t="s">
        <v>456</v>
      </c>
      <c r="J762" t="s">
        <v>463</v>
      </c>
      <c r="K762">
        <v>2</v>
      </c>
      <c r="L762" t="s">
        <v>486</v>
      </c>
      <c r="M762" t="s">
        <v>556</v>
      </c>
      <c r="N762" t="s">
        <v>450</v>
      </c>
      <c r="O762" t="s">
        <v>453</v>
      </c>
      <c r="P762" t="s">
        <v>421</v>
      </c>
      <c r="Q762">
        <v>0</v>
      </c>
      <c r="R762" t="s">
        <v>159</v>
      </c>
      <c r="S762">
        <v>0</v>
      </c>
      <c r="T762" t="s">
        <v>479</v>
      </c>
      <c r="U762" t="s">
        <v>492</v>
      </c>
      <c r="V762" t="s">
        <v>1181</v>
      </c>
      <c r="W762" t="s">
        <v>399</v>
      </c>
      <c r="X762" t="s">
        <v>470</v>
      </c>
      <c r="Y762" t="s">
        <v>1352</v>
      </c>
    </row>
    <row r="763" spans="2:25">
      <c r="B763" t="s">
        <v>1336</v>
      </c>
      <c r="C763" t="s" vm="28">
        <v>1340</v>
      </c>
      <c r="D763" t="s">
        <v>100</v>
      </c>
      <c r="E763" t="s">
        <v>485</v>
      </c>
      <c r="F763" t="s">
        <v>217</v>
      </c>
      <c r="G763" t="s">
        <v>473</v>
      </c>
      <c r="H763">
        <v>1</v>
      </c>
      <c r="I763" t="s">
        <v>460</v>
      </c>
      <c r="J763" t="s">
        <v>462</v>
      </c>
      <c r="K763">
        <v>2</v>
      </c>
      <c r="L763" t="s">
        <v>486</v>
      </c>
      <c r="M763" t="s">
        <v>556</v>
      </c>
      <c r="N763" t="s">
        <v>450</v>
      </c>
      <c r="O763" t="s">
        <v>453</v>
      </c>
      <c r="P763" t="s">
        <v>157</v>
      </c>
      <c r="Q763">
        <v>8</v>
      </c>
      <c r="R763" t="s">
        <v>419</v>
      </c>
      <c r="S763">
        <v>8</v>
      </c>
      <c r="T763" t="s">
        <v>483</v>
      </c>
      <c r="U763" t="s">
        <v>492</v>
      </c>
      <c r="V763" t="s">
        <v>425</v>
      </c>
      <c r="W763" t="s">
        <v>399</v>
      </c>
      <c r="X763" t="s">
        <v>472</v>
      </c>
      <c r="Y763" t="s">
        <v>1337</v>
      </c>
    </row>
    <row r="764" spans="2:25">
      <c r="B764" t="s">
        <v>1336</v>
      </c>
      <c r="C764" t="s" vm="25">
        <v>1303</v>
      </c>
      <c r="D764" t="s">
        <v>100</v>
      </c>
      <c r="E764" t="s">
        <v>485</v>
      </c>
      <c r="F764" t="s">
        <v>217</v>
      </c>
      <c r="G764" t="s">
        <v>473</v>
      </c>
      <c r="H764">
        <v>1</v>
      </c>
      <c r="I764" t="s">
        <v>460</v>
      </c>
      <c r="J764" t="s">
        <v>462</v>
      </c>
      <c r="K764">
        <v>2</v>
      </c>
      <c r="L764" t="s">
        <v>486</v>
      </c>
      <c r="M764" t="s">
        <v>556</v>
      </c>
      <c r="N764" t="s">
        <v>450</v>
      </c>
      <c r="O764" t="s">
        <v>453</v>
      </c>
      <c r="P764" t="s">
        <v>157</v>
      </c>
      <c r="Q764">
        <v>8</v>
      </c>
      <c r="R764" t="s">
        <v>419</v>
      </c>
      <c r="S764">
        <v>8</v>
      </c>
      <c r="T764" t="s">
        <v>483</v>
      </c>
      <c r="U764" t="s">
        <v>492</v>
      </c>
      <c r="V764" t="s">
        <v>425</v>
      </c>
      <c r="W764" t="s">
        <v>399</v>
      </c>
      <c r="X764" t="s">
        <v>472</v>
      </c>
      <c r="Y764" t="s">
        <v>1337</v>
      </c>
    </row>
    <row r="765" spans="2:25">
      <c r="B765" t="s">
        <v>1334</v>
      </c>
      <c r="C765" t="s" vm="27">
        <v>1331</v>
      </c>
      <c r="D765" t="s">
        <v>100</v>
      </c>
      <c r="E765" t="s">
        <v>485</v>
      </c>
      <c r="F765" t="s">
        <v>217</v>
      </c>
      <c r="G765" t="s">
        <v>473</v>
      </c>
      <c r="H765">
        <v>1</v>
      </c>
      <c r="I765" t="s">
        <v>460</v>
      </c>
      <c r="J765" t="s">
        <v>462</v>
      </c>
      <c r="K765">
        <v>2</v>
      </c>
      <c r="L765" t="s">
        <v>486</v>
      </c>
      <c r="M765" t="s">
        <v>556</v>
      </c>
      <c r="N765" t="s">
        <v>450</v>
      </c>
      <c r="O765" t="s">
        <v>453</v>
      </c>
      <c r="P765" t="s">
        <v>158</v>
      </c>
      <c r="Q765">
        <v>8</v>
      </c>
      <c r="R765" t="s">
        <v>416</v>
      </c>
      <c r="S765">
        <v>8</v>
      </c>
      <c r="T765" t="s">
        <v>479</v>
      </c>
      <c r="U765" t="s">
        <v>492</v>
      </c>
      <c r="V765" t="s">
        <v>1183</v>
      </c>
      <c r="W765" t="s">
        <v>399</v>
      </c>
      <c r="X765" t="s">
        <v>472</v>
      </c>
      <c r="Y765" t="s">
        <v>1335</v>
      </c>
    </row>
    <row r="766" spans="2:25">
      <c r="B766" t="s">
        <v>1327</v>
      </c>
      <c r="C766" t="s" vm="25">
        <v>1303</v>
      </c>
      <c r="D766" t="s">
        <v>100</v>
      </c>
      <c r="E766" t="s">
        <v>485</v>
      </c>
      <c r="F766" t="s">
        <v>217</v>
      </c>
      <c r="G766" t="s">
        <v>473</v>
      </c>
      <c r="H766">
        <v>1</v>
      </c>
      <c r="I766" t="s">
        <v>460</v>
      </c>
      <c r="J766" t="s">
        <v>462</v>
      </c>
      <c r="K766">
        <v>2</v>
      </c>
      <c r="L766" t="s">
        <v>486</v>
      </c>
      <c r="M766" t="s">
        <v>556</v>
      </c>
      <c r="N766" t="s">
        <v>450</v>
      </c>
      <c r="O766" t="s">
        <v>453</v>
      </c>
      <c r="P766" t="s">
        <v>157</v>
      </c>
      <c r="Q766">
        <v>8</v>
      </c>
      <c r="R766" t="s">
        <v>416</v>
      </c>
      <c r="S766">
        <v>8</v>
      </c>
      <c r="T766" t="s">
        <v>479</v>
      </c>
      <c r="U766" t="s">
        <v>492</v>
      </c>
      <c r="V766" t="s">
        <v>425</v>
      </c>
      <c r="W766" t="s">
        <v>399</v>
      </c>
      <c r="X766" t="s">
        <v>472</v>
      </c>
      <c r="Y766" t="s">
        <v>1328</v>
      </c>
    </row>
    <row r="767" spans="2:25">
      <c r="B767" t="s">
        <v>1305</v>
      </c>
      <c r="C767" t="s" vm="25">
        <v>1303</v>
      </c>
      <c r="D767" t="s">
        <v>100</v>
      </c>
      <c r="E767" t="s">
        <v>485</v>
      </c>
      <c r="F767" t="s">
        <v>217</v>
      </c>
      <c r="G767" t="s">
        <v>473</v>
      </c>
      <c r="H767">
        <v>1</v>
      </c>
      <c r="I767" t="s">
        <v>460</v>
      </c>
      <c r="J767" t="s">
        <v>462</v>
      </c>
      <c r="K767">
        <v>2</v>
      </c>
      <c r="L767" t="s">
        <v>486</v>
      </c>
      <c r="M767" t="s">
        <v>556</v>
      </c>
      <c r="N767" t="s">
        <v>450</v>
      </c>
      <c r="O767" t="s">
        <v>453</v>
      </c>
      <c r="P767" t="s">
        <v>158</v>
      </c>
      <c r="Q767">
        <v>8</v>
      </c>
      <c r="R767" t="s">
        <v>416</v>
      </c>
      <c r="S767">
        <v>8</v>
      </c>
      <c r="T767" t="s">
        <v>479</v>
      </c>
      <c r="U767" t="s">
        <v>492</v>
      </c>
      <c r="V767" t="s">
        <v>425</v>
      </c>
      <c r="W767" t="s">
        <v>399</v>
      </c>
      <c r="X767" t="s">
        <v>472</v>
      </c>
      <c r="Y767" t="s">
        <v>1306</v>
      </c>
    </row>
    <row r="768" spans="2:25">
      <c r="B768" t="s">
        <v>1296</v>
      </c>
      <c r="C768" t="s" vm="24">
        <v>1117</v>
      </c>
      <c r="D768" t="s">
        <v>100</v>
      </c>
      <c r="E768" t="s">
        <v>485</v>
      </c>
      <c r="F768" t="s">
        <v>217</v>
      </c>
      <c r="G768" t="s">
        <v>473</v>
      </c>
      <c r="H768">
        <v>1</v>
      </c>
      <c r="I768" t="s">
        <v>458</v>
      </c>
      <c r="J768" t="s">
        <v>463</v>
      </c>
      <c r="K768">
        <v>2</v>
      </c>
      <c r="L768" t="s">
        <v>486</v>
      </c>
      <c r="M768" t="s">
        <v>556</v>
      </c>
      <c r="N768" t="s">
        <v>450</v>
      </c>
      <c r="O768" t="s">
        <v>453</v>
      </c>
      <c r="P768" t="s">
        <v>157</v>
      </c>
      <c r="Q768">
        <v>8</v>
      </c>
      <c r="R768" t="s">
        <v>419</v>
      </c>
      <c r="S768">
        <v>8</v>
      </c>
      <c r="T768" t="s">
        <v>479</v>
      </c>
      <c r="U768" t="s">
        <v>492</v>
      </c>
      <c r="V768" t="s">
        <v>1181</v>
      </c>
      <c r="W768" t="s">
        <v>399</v>
      </c>
      <c r="X768" t="s">
        <v>472</v>
      </c>
      <c r="Y768" t="s">
        <v>1297</v>
      </c>
    </row>
    <row r="769" spans="2:25">
      <c r="B769" t="s">
        <v>1295</v>
      </c>
      <c r="C769" t="s" vm="24">
        <v>1117</v>
      </c>
      <c r="D769" t="s">
        <v>100</v>
      </c>
      <c r="E769" t="s">
        <v>485</v>
      </c>
      <c r="F769" t="s">
        <v>217</v>
      </c>
      <c r="G769" t="s">
        <v>473</v>
      </c>
      <c r="H769">
        <v>1</v>
      </c>
      <c r="I769" t="s">
        <v>458</v>
      </c>
      <c r="J769" t="s">
        <v>463</v>
      </c>
      <c r="K769">
        <v>2</v>
      </c>
      <c r="L769" t="s">
        <v>486</v>
      </c>
      <c r="M769" t="s">
        <v>556</v>
      </c>
      <c r="N769" t="s">
        <v>450</v>
      </c>
      <c r="O769" t="s">
        <v>453</v>
      </c>
      <c r="P769" t="s">
        <v>157</v>
      </c>
      <c r="Q769">
        <v>4</v>
      </c>
      <c r="R769" t="s">
        <v>416</v>
      </c>
      <c r="S769">
        <v>8</v>
      </c>
      <c r="T769" t="s">
        <v>479</v>
      </c>
      <c r="U769" t="s">
        <v>492</v>
      </c>
      <c r="V769" t="s">
        <v>1181</v>
      </c>
      <c r="W769" t="s">
        <v>399</v>
      </c>
      <c r="X769" t="s">
        <v>472</v>
      </c>
      <c r="Y769" t="s">
        <v>1292</v>
      </c>
    </row>
    <row r="770" spans="2:25">
      <c r="B770" t="s">
        <v>1291</v>
      </c>
      <c r="C770" t="s" vm="24">
        <v>1117</v>
      </c>
      <c r="D770" t="s">
        <v>100</v>
      </c>
      <c r="E770" t="s">
        <v>485</v>
      </c>
      <c r="F770" t="s">
        <v>217</v>
      </c>
      <c r="G770" t="s">
        <v>473</v>
      </c>
      <c r="H770">
        <v>1</v>
      </c>
      <c r="I770" t="s">
        <v>458</v>
      </c>
      <c r="J770" t="s">
        <v>463</v>
      </c>
      <c r="K770">
        <v>2</v>
      </c>
      <c r="L770" t="s">
        <v>486</v>
      </c>
      <c r="M770" t="s">
        <v>556</v>
      </c>
      <c r="N770" t="s">
        <v>450</v>
      </c>
      <c r="O770" t="s">
        <v>453</v>
      </c>
      <c r="P770" t="s">
        <v>157</v>
      </c>
      <c r="Q770">
        <v>4</v>
      </c>
      <c r="R770" t="s">
        <v>416</v>
      </c>
      <c r="S770">
        <v>8</v>
      </c>
      <c r="T770" t="s">
        <v>479</v>
      </c>
      <c r="U770" t="s">
        <v>492</v>
      </c>
      <c r="V770" t="s">
        <v>1181</v>
      </c>
      <c r="W770" t="s">
        <v>399</v>
      </c>
      <c r="X770" t="s">
        <v>472</v>
      </c>
      <c r="Y770" t="s">
        <v>1292</v>
      </c>
    </row>
    <row r="771" spans="2:25">
      <c r="B771" t="s">
        <v>1289</v>
      </c>
      <c r="C771" t="s" vm="23">
        <v>1288</v>
      </c>
      <c r="D771" t="s">
        <v>333</v>
      </c>
      <c r="E771" t="s">
        <v>485</v>
      </c>
      <c r="F771" t="s">
        <v>217</v>
      </c>
      <c r="G771" t="s">
        <v>473</v>
      </c>
      <c r="H771">
        <v>1</v>
      </c>
      <c r="I771" t="s">
        <v>458</v>
      </c>
      <c r="J771" t="s">
        <v>464</v>
      </c>
      <c r="K771">
        <v>2</v>
      </c>
      <c r="L771" t="s">
        <v>486</v>
      </c>
      <c r="M771" t="s">
        <v>556</v>
      </c>
      <c r="N771" t="s">
        <v>450</v>
      </c>
      <c r="O771" t="s">
        <v>453</v>
      </c>
      <c r="P771" t="s">
        <v>157</v>
      </c>
      <c r="Q771">
        <v>12</v>
      </c>
      <c r="R771" t="s">
        <v>419</v>
      </c>
      <c r="S771">
        <v>12</v>
      </c>
      <c r="T771" t="s">
        <v>479</v>
      </c>
      <c r="U771" t="s">
        <v>492</v>
      </c>
      <c r="V771" t="s">
        <v>1181</v>
      </c>
      <c r="W771" t="s">
        <v>399</v>
      </c>
      <c r="X771" t="s">
        <v>401</v>
      </c>
      <c r="Y771" t="s">
        <v>1290</v>
      </c>
    </row>
    <row r="772" spans="2:25">
      <c r="B772" t="s">
        <v>1289</v>
      </c>
      <c r="C772" t="s" vm="22">
        <v>1266</v>
      </c>
      <c r="D772" t="s">
        <v>333</v>
      </c>
      <c r="E772" t="s">
        <v>485</v>
      </c>
      <c r="F772" t="s">
        <v>217</v>
      </c>
      <c r="G772" t="s">
        <v>473</v>
      </c>
      <c r="H772">
        <v>1</v>
      </c>
      <c r="I772" t="s">
        <v>458</v>
      </c>
      <c r="J772" t="s">
        <v>464</v>
      </c>
      <c r="K772">
        <v>2</v>
      </c>
      <c r="L772" t="s">
        <v>486</v>
      </c>
      <c r="M772" t="s">
        <v>556</v>
      </c>
      <c r="N772" t="s">
        <v>450</v>
      </c>
      <c r="O772" t="s">
        <v>453</v>
      </c>
      <c r="P772" t="s">
        <v>157</v>
      </c>
      <c r="Q772">
        <v>12</v>
      </c>
      <c r="R772" t="s">
        <v>419</v>
      </c>
      <c r="S772">
        <v>12</v>
      </c>
      <c r="T772" t="s">
        <v>479</v>
      </c>
      <c r="U772" t="s">
        <v>492</v>
      </c>
      <c r="V772" t="s">
        <v>1181</v>
      </c>
      <c r="W772" t="s">
        <v>399</v>
      </c>
      <c r="X772" t="s">
        <v>401</v>
      </c>
      <c r="Y772" t="s">
        <v>1290</v>
      </c>
    </row>
    <row r="773" spans="2:25">
      <c r="B773" t="s">
        <v>1261</v>
      </c>
      <c r="C773" t="s" vm="20">
        <v>1259</v>
      </c>
      <c r="D773" t="s">
        <v>100</v>
      </c>
      <c r="E773" t="s">
        <v>485</v>
      </c>
      <c r="F773" t="s">
        <v>461</v>
      </c>
      <c r="G773" t="s">
        <v>487</v>
      </c>
      <c r="H773" t="s">
        <v>123</v>
      </c>
      <c r="I773" t="s">
        <v>456</v>
      </c>
      <c r="J773" t="s">
        <v>463</v>
      </c>
      <c r="K773">
        <v>2</v>
      </c>
      <c r="L773" t="s">
        <v>488</v>
      </c>
      <c r="M773" t="s">
        <v>1260</v>
      </c>
      <c r="N773" t="s">
        <v>496</v>
      </c>
      <c r="O773" t="s">
        <v>453</v>
      </c>
      <c r="P773" t="s">
        <v>421</v>
      </c>
      <c r="Q773">
        <v>0</v>
      </c>
      <c r="R773" t="s">
        <v>159</v>
      </c>
      <c r="S773">
        <v>0</v>
      </c>
      <c r="T773" t="s">
        <v>402</v>
      </c>
      <c r="U773" t="s">
        <v>492</v>
      </c>
      <c r="V773" t="s">
        <v>1181</v>
      </c>
      <c r="W773" t="s">
        <v>399</v>
      </c>
      <c r="X773" t="s">
        <v>472</v>
      </c>
      <c r="Y773" t="s">
        <v>1262</v>
      </c>
    </row>
    <row r="774" spans="2:25">
      <c r="B774" t="s">
        <v>1249</v>
      </c>
      <c r="C774" t="s" vm="19">
        <v>1254</v>
      </c>
      <c r="D774" t="s">
        <v>100</v>
      </c>
      <c r="E774" t="s">
        <v>99</v>
      </c>
      <c r="F774" t="s">
        <v>461</v>
      </c>
      <c r="G774" t="s">
        <v>473</v>
      </c>
      <c r="H774">
        <v>1</v>
      </c>
      <c r="I774" t="s">
        <v>458</v>
      </c>
      <c r="J774" t="s">
        <v>462</v>
      </c>
      <c r="K774">
        <v>2</v>
      </c>
      <c r="L774" t="s">
        <v>486</v>
      </c>
      <c r="M774" t="s">
        <v>556</v>
      </c>
      <c r="N774" t="s">
        <v>496</v>
      </c>
      <c r="O774" t="s">
        <v>453</v>
      </c>
      <c r="P774" t="s">
        <v>157</v>
      </c>
      <c r="Q774">
        <v>8</v>
      </c>
      <c r="R774" t="s">
        <v>419</v>
      </c>
      <c r="S774">
        <v>8</v>
      </c>
      <c r="T774" t="s">
        <v>479</v>
      </c>
      <c r="U774" t="s">
        <v>492</v>
      </c>
      <c r="V774" t="s">
        <v>1179</v>
      </c>
      <c r="W774" t="s">
        <v>399</v>
      </c>
      <c r="X774" t="s">
        <v>472</v>
      </c>
      <c r="Y774" t="s">
        <v>1255</v>
      </c>
    </row>
    <row r="775" spans="2:25">
      <c r="B775" t="s">
        <v>1242</v>
      </c>
      <c r="C775" t="s" vm="18">
        <v>1241</v>
      </c>
      <c r="D775" t="s">
        <v>100</v>
      </c>
      <c r="E775" t="s">
        <v>99</v>
      </c>
      <c r="F775" t="s">
        <v>461</v>
      </c>
      <c r="G775" t="s">
        <v>473</v>
      </c>
      <c r="H775">
        <v>1</v>
      </c>
      <c r="I775" t="s">
        <v>458</v>
      </c>
      <c r="J775" t="s">
        <v>463</v>
      </c>
      <c r="K775">
        <v>2</v>
      </c>
      <c r="L775" t="s">
        <v>488</v>
      </c>
      <c r="M775" t="s">
        <v>492</v>
      </c>
      <c r="N775" t="s">
        <v>496</v>
      </c>
      <c r="O775" t="s">
        <v>453</v>
      </c>
      <c r="P775" t="s">
        <v>157</v>
      </c>
      <c r="Q775">
        <v>8</v>
      </c>
      <c r="R775" t="s">
        <v>415</v>
      </c>
      <c r="S775">
        <v>8</v>
      </c>
      <c r="T775" t="s">
        <v>479</v>
      </c>
      <c r="U775" t="s">
        <v>492</v>
      </c>
      <c r="V775" t="s">
        <v>1179</v>
      </c>
      <c r="W775" t="s">
        <v>399</v>
      </c>
      <c r="X775" t="s">
        <v>472</v>
      </c>
      <c r="Y775" t="s">
        <v>1243</v>
      </c>
    </row>
    <row r="776" spans="2:25">
      <c r="B776" t="s">
        <v>1239</v>
      </c>
      <c r="C776" t="s" vm="17">
        <v>1236</v>
      </c>
      <c r="D776" t="s">
        <v>100</v>
      </c>
      <c r="E776" t="s">
        <v>485</v>
      </c>
      <c r="F776" t="s">
        <v>217</v>
      </c>
      <c r="G776" t="s">
        <v>473</v>
      </c>
      <c r="H776">
        <v>1</v>
      </c>
      <c r="I776" t="s">
        <v>458</v>
      </c>
      <c r="J776" t="s">
        <v>462</v>
      </c>
      <c r="K776">
        <v>1</v>
      </c>
      <c r="L776" t="s">
        <v>486</v>
      </c>
      <c r="M776" t="s">
        <v>556</v>
      </c>
      <c r="N776" t="s">
        <v>450</v>
      </c>
      <c r="O776" t="s">
        <v>453</v>
      </c>
      <c r="P776" t="s">
        <v>157</v>
      </c>
      <c r="Q776">
        <v>8</v>
      </c>
      <c r="R776" t="s">
        <v>419</v>
      </c>
      <c r="S776">
        <v>8</v>
      </c>
      <c r="T776" t="s">
        <v>479</v>
      </c>
      <c r="U776" t="s">
        <v>492</v>
      </c>
      <c r="V776" t="s">
        <v>1179</v>
      </c>
      <c r="W776" t="s">
        <v>399</v>
      </c>
      <c r="X776" t="s">
        <v>472</v>
      </c>
      <c r="Y776" t="s">
        <v>1240</v>
      </c>
    </row>
    <row r="777" spans="2:25">
      <c r="B777" t="s">
        <v>1237</v>
      </c>
      <c r="C777" t="s" vm="17">
        <v>1236</v>
      </c>
      <c r="D777" t="s">
        <v>333</v>
      </c>
      <c r="E777" t="s">
        <v>485</v>
      </c>
      <c r="F777" t="s">
        <v>217</v>
      </c>
      <c r="G777" t="s">
        <v>473</v>
      </c>
      <c r="H777">
        <v>2</v>
      </c>
      <c r="I777" t="s">
        <v>458</v>
      </c>
      <c r="J777" t="s">
        <v>462</v>
      </c>
      <c r="K777">
        <v>1</v>
      </c>
      <c r="L777" t="s">
        <v>486</v>
      </c>
      <c r="M777" t="s">
        <v>556</v>
      </c>
      <c r="N777" t="s">
        <v>450</v>
      </c>
      <c r="O777" t="s">
        <v>453</v>
      </c>
      <c r="P777" t="s">
        <v>157</v>
      </c>
      <c r="Q777">
        <v>12</v>
      </c>
      <c r="R777" t="s">
        <v>419</v>
      </c>
      <c r="S777">
        <v>12</v>
      </c>
      <c r="T777" t="s">
        <v>479</v>
      </c>
      <c r="U777" t="s">
        <v>492</v>
      </c>
      <c r="V777" t="s">
        <v>425</v>
      </c>
      <c r="W777" t="s">
        <v>399</v>
      </c>
      <c r="X777" t="s">
        <v>401</v>
      </c>
      <c r="Y777" t="s">
        <v>1238</v>
      </c>
    </row>
    <row r="778" spans="2:25">
      <c r="B778" t="s">
        <v>1233</v>
      </c>
      <c r="C778" t="s" vm="16">
        <v>729</v>
      </c>
      <c r="D778" t="s">
        <v>100</v>
      </c>
      <c r="E778" t="s">
        <v>485</v>
      </c>
      <c r="F778" t="s">
        <v>461</v>
      </c>
      <c r="G778" t="s">
        <v>473</v>
      </c>
      <c r="H778">
        <v>1</v>
      </c>
      <c r="I778" t="s">
        <v>458</v>
      </c>
      <c r="J778" t="s">
        <v>462</v>
      </c>
      <c r="K778">
        <v>2</v>
      </c>
      <c r="L778" t="s">
        <v>486</v>
      </c>
      <c r="M778" t="s">
        <v>556</v>
      </c>
      <c r="N778" t="s">
        <v>450</v>
      </c>
      <c r="O778" t="s">
        <v>453</v>
      </c>
      <c r="P778" t="s">
        <v>158</v>
      </c>
      <c r="Q778">
        <v>8</v>
      </c>
      <c r="R778" t="s">
        <v>416</v>
      </c>
      <c r="S778">
        <v>8</v>
      </c>
      <c r="T778" t="s">
        <v>402</v>
      </c>
      <c r="U778" t="s">
        <v>492</v>
      </c>
      <c r="V778" t="s">
        <v>1179</v>
      </c>
      <c r="W778" t="s">
        <v>399</v>
      </c>
      <c r="X778" t="s">
        <v>470</v>
      </c>
      <c r="Y778" t="s">
        <v>1234</v>
      </c>
    </row>
    <row r="779" spans="2:25">
      <c r="B779" t="s">
        <v>1231</v>
      </c>
      <c r="C779" t="s" vm="15">
        <v>1228</v>
      </c>
      <c r="D779" t="s">
        <v>102</v>
      </c>
      <c r="E779" t="s">
        <v>485</v>
      </c>
      <c r="F779" t="s">
        <v>461</v>
      </c>
      <c r="G779" t="s">
        <v>473</v>
      </c>
      <c r="H779">
        <v>2</v>
      </c>
      <c r="I779" t="s">
        <v>456</v>
      </c>
      <c r="J779" t="s">
        <v>462</v>
      </c>
      <c r="K779">
        <v>2</v>
      </c>
      <c r="L779" t="s">
        <v>486</v>
      </c>
      <c r="M779" t="s">
        <v>556</v>
      </c>
      <c r="N779" t="s">
        <v>450</v>
      </c>
      <c r="O779" t="s">
        <v>453</v>
      </c>
      <c r="P779" t="s">
        <v>157</v>
      </c>
      <c r="Q779">
        <v>12</v>
      </c>
      <c r="R779" t="s">
        <v>419</v>
      </c>
      <c r="S779">
        <v>12</v>
      </c>
      <c r="T779" t="s">
        <v>479</v>
      </c>
      <c r="U779" t="s">
        <v>492</v>
      </c>
      <c r="V779" t="s">
        <v>1181</v>
      </c>
      <c r="W779" t="s">
        <v>399</v>
      </c>
      <c r="X779" t="s">
        <v>470</v>
      </c>
      <c r="Y779" t="s">
        <v>1232</v>
      </c>
    </row>
    <row r="780" spans="2:25">
      <c r="B780" t="s">
        <v>1229</v>
      </c>
      <c r="C780" t="s" vm="15">
        <v>1228</v>
      </c>
      <c r="D780" t="s">
        <v>102</v>
      </c>
      <c r="E780" t="s">
        <v>485</v>
      </c>
      <c r="F780" t="s">
        <v>461</v>
      </c>
      <c r="G780" t="s">
        <v>473</v>
      </c>
      <c r="H780">
        <v>2</v>
      </c>
      <c r="I780" t="s">
        <v>458</v>
      </c>
      <c r="J780" t="s">
        <v>462</v>
      </c>
      <c r="K780">
        <v>2</v>
      </c>
      <c r="L780" t="s">
        <v>486</v>
      </c>
      <c r="M780" t="s">
        <v>556</v>
      </c>
      <c r="N780" t="s">
        <v>450</v>
      </c>
      <c r="O780" t="s">
        <v>453</v>
      </c>
      <c r="P780" t="s">
        <v>157</v>
      </c>
      <c r="Q780">
        <v>12</v>
      </c>
      <c r="R780" t="s">
        <v>419</v>
      </c>
      <c r="S780">
        <v>12</v>
      </c>
      <c r="T780" t="s">
        <v>479</v>
      </c>
      <c r="U780" t="s">
        <v>492</v>
      </c>
      <c r="V780" t="s">
        <v>1181</v>
      </c>
      <c r="W780" t="s">
        <v>399</v>
      </c>
      <c r="X780" t="s">
        <v>470</v>
      </c>
      <c r="Y780" t="s">
        <v>1230</v>
      </c>
    </row>
    <row r="781" spans="2:25">
      <c r="B781" t="s">
        <v>1225</v>
      </c>
      <c r="C781" t="s" vm="13">
        <v>634</v>
      </c>
      <c r="D781" t="s">
        <v>100</v>
      </c>
      <c r="E781" t="s">
        <v>485</v>
      </c>
      <c r="F781" t="s">
        <v>461</v>
      </c>
      <c r="G781" t="s">
        <v>473</v>
      </c>
      <c r="H781">
        <v>1</v>
      </c>
      <c r="I781" t="s">
        <v>458</v>
      </c>
      <c r="J781" t="s">
        <v>462</v>
      </c>
      <c r="K781">
        <v>2</v>
      </c>
      <c r="L781" t="s">
        <v>486</v>
      </c>
      <c r="M781" t="s">
        <v>556</v>
      </c>
      <c r="N781" t="s">
        <v>450</v>
      </c>
      <c r="O781" t="s">
        <v>453</v>
      </c>
      <c r="P781" t="s">
        <v>157</v>
      </c>
      <c r="Q781">
        <v>4</v>
      </c>
      <c r="R781" t="s">
        <v>416</v>
      </c>
      <c r="S781">
        <v>8</v>
      </c>
      <c r="T781" t="s">
        <v>479</v>
      </c>
      <c r="U781" t="s">
        <v>492</v>
      </c>
      <c r="V781" t="s">
        <v>1181</v>
      </c>
      <c r="W781" t="s">
        <v>399</v>
      </c>
      <c r="X781" t="s">
        <v>470</v>
      </c>
      <c r="Y781" t="s">
        <v>1227</v>
      </c>
    </row>
    <row r="782" spans="2:25">
      <c r="B782" t="s">
        <v>1225</v>
      </c>
      <c r="C782" t="s" vm="14">
        <v>1037</v>
      </c>
      <c r="D782" t="s">
        <v>100</v>
      </c>
      <c r="E782" t="s">
        <v>485</v>
      </c>
      <c r="F782" t="s">
        <v>461</v>
      </c>
      <c r="G782" t="s">
        <v>473</v>
      </c>
      <c r="H782">
        <v>1</v>
      </c>
      <c r="I782" t="s">
        <v>458</v>
      </c>
      <c r="J782" t="s">
        <v>462</v>
      </c>
      <c r="K782">
        <v>2</v>
      </c>
      <c r="L782" t="s">
        <v>486</v>
      </c>
      <c r="M782" t="s">
        <v>556</v>
      </c>
      <c r="N782" t="s">
        <v>450</v>
      </c>
      <c r="O782" t="s">
        <v>453</v>
      </c>
      <c r="P782" t="s">
        <v>421</v>
      </c>
      <c r="Q782">
        <v>0</v>
      </c>
      <c r="R782" t="s">
        <v>159</v>
      </c>
      <c r="S782">
        <v>0</v>
      </c>
      <c r="T782" t="s">
        <v>479</v>
      </c>
      <c r="U782" t="s">
        <v>492</v>
      </c>
      <c r="V782" t="s">
        <v>1181</v>
      </c>
      <c r="W782" t="s">
        <v>399</v>
      </c>
      <c r="X782" t="s">
        <v>470</v>
      </c>
      <c r="Y782" t="s">
        <v>1226</v>
      </c>
    </row>
    <row r="783" spans="2:25">
      <c r="B783" t="s">
        <v>1222</v>
      </c>
      <c r="C783" t="s" vm="12">
        <v>1219</v>
      </c>
      <c r="D783" t="s">
        <v>333</v>
      </c>
      <c r="E783" t="s">
        <v>485</v>
      </c>
      <c r="F783" t="s">
        <v>461</v>
      </c>
      <c r="G783" t="s">
        <v>473</v>
      </c>
      <c r="H783">
        <v>1</v>
      </c>
      <c r="I783" t="s">
        <v>456</v>
      </c>
      <c r="J783" t="s">
        <v>462</v>
      </c>
      <c r="K783">
        <v>2</v>
      </c>
      <c r="L783" t="s">
        <v>486</v>
      </c>
      <c r="M783" t="s">
        <v>556</v>
      </c>
      <c r="N783" t="s">
        <v>450</v>
      </c>
      <c r="O783" t="s">
        <v>453</v>
      </c>
      <c r="P783" t="s">
        <v>421</v>
      </c>
      <c r="Q783">
        <v>0</v>
      </c>
      <c r="R783" t="s">
        <v>159</v>
      </c>
      <c r="S783">
        <v>0</v>
      </c>
      <c r="T783" t="s">
        <v>402</v>
      </c>
      <c r="U783" t="s">
        <v>492</v>
      </c>
      <c r="V783" t="s">
        <v>1181</v>
      </c>
      <c r="W783" t="s">
        <v>399</v>
      </c>
      <c r="X783" t="s">
        <v>401</v>
      </c>
      <c r="Y783" t="s">
        <v>1223</v>
      </c>
    </row>
    <row r="784" spans="2:25">
      <c r="B784" t="s">
        <v>1154</v>
      </c>
      <c r="C784" t="s" vm="12">
        <v>1219</v>
      </c>
      <c r="D784" t="s">
        <v>333</v>
      </c>
      <c r="E784" t="s">
        <v>485</v>
      </c>
      <c r="F784" t="s">
        <v>461</v>
      </c>
      <c r="G784" t="s">
        <v>473</v>
      </c>
      <c r="H784">
        <v>1</v>
      </c>
      <c r="I784" t="s">
        <v>456</v>
      </c>
      <c r="J784" t="s">
        <v>462</v>
      </c>
      <c r="K784">
        <v>2</v>
      </c>
      <c r="L784" t="s">
        <v>486</v>
      </c>
      <c r="M784" t="s">
        <v>556</v>
      </c>
      <c r="N784" t="s">
        <v>450</v>
      </c>
      <c r="O784" t="s">
        <v>453</v>
      </c>
      <c r="P784" t="s">
        <v>421</v>
      </c>
      <c r="Q784">
        <v>0</v>
      </c>
      <c r="R784" t="s">
        <v>159</v>
      </c>
      <c r="S784">
        <v>0</v>
      </c>
      <c r="T784" t="s">
        <v>402</v>
      </c>
      <c r="U784" t="s">
        <v>492</v>
      </c>
      <c r="V784" t="s">
        <v>1181</v>
      </c>
      <c r="W784" t="s">
        <v>399</v>
      </c>
      <c r="X784" t="s">
        <v>401</v>
      </c>
      <c r="Y784" t="s">
        <v>1221</v>
      </c>
    </row>
    <row r="785" spans="2:25">
      <c r="B785" t="s">
        <v>1143</v>
      </c>
      <c r="C785" t="s">
        <v>654</v>
      </c>
      <c r="D785" t="s">
        <v>100</v>
      </c>
      <c r="E785" t="s">
        <v>485</v>
      </c>
      <c r="F785" t="s">
        <v>461</v>
      </c>
      <c r="G785" t="s">
        <v>473</v>
      </c>
      <c r="H785">
        <v>1</v>
      </c>
      <c r="I785" t="s">
        <v>458</v>
      </c>
      <c r="J785" t="s">
        <v>462</v>
      </c>
      <c r="K785">
        <v>2</v>
      </c>
      <c r="L785" t="s">
        <v>486</v>
      </c>
      <c r="M785" t="s">
        <v>556</v>
      </c>
      <c r="N785" t="s">
        <v>450</v>
      </c>
      <c r="O785" t="s">
        <v>453</v>
      </c>
      <c r="P785" t="s">
        <v>421</v>
      </c>
      <c r="Q785">
        <v>0</v>
      </c>
      <c r="R785" t="s">
        <v>159</v>
      </c>
      <c r="S785">
        <v>0</v>
      </c>
      <c r="T785" t="s">
        <v>479</v>
      </c>
      <c r="U785" t="s">
        <v>492</v>
      </c>
      <c r="V785" t="s">
        <v>467</v>
      </c>
      <c r="W785" t="s">
        <v>399</v>
      </c>
      <c r="X785" t="s">
        <v>472</v>
      </c>
      <c r="Y785" t="s">
        <v>1151</v>
      </c>
    </row>
    <row r="786" spans="2:25">
      <c r="B786" t="s">
        <v>1149</v>
      </c>
      <c r="C786" t="s">
        <v>1147</v>
      </c>
      <c r="D786" t="s">
        <v>100</v>
      </c>
      <c r="E786" t="s">
        <v>485</v>
      </c>
      <c r="F786" t="s">
        <v>461</v>
      </c>
      <c r="G786" t="s">
        <v>473</v>
      </c>
      <c r="H786">
        <v>1</v>
      </c>
      <c r="I786" t="s">
        <v>458</v>
      </c>
      <c r="J786" t="s">
        <v>462</v>
      </c>
      <c r="K786">
        <v>2</v>
      </c>
      <c r="L786" t="s">
        <v>486</v>
      </c>
      <c r="M786" t="s">
        <v>556</v>
      </c>
      <c r="N786" t="s">
        <v>450</v>
      </c>
      <c r="O786" t="s">
        <v>453</v>
      </c>
      <c r="P786" t="s">
        <v>421</v>
      </c>
      <c r="Q786">
        <v>0</v>
      </c>
      <c r="R786" t="s">
        <v>159</v>
      </c>
      <c r="S786">
        <v>0</v>
      </c>
      <c r="T786" t="s">
        <v>479</v>
      </c>
      <c r="U786" t="s">
        <v>492</v>
      </c>
      <c r="V786" t="s">
        <v>1148</v>
      </c>
      <c r="W786" t="s">
        <v>399</v>
      </c>
      <c r="X786" t="s">
        <v>470</v>
      </c>
      <c r="Y786" t="s">
        <v>1150</v>
      </c>
    </row>
    <row r="787" spans="2:25">
      <c r="B787" t="s">
        <v>1146</v>
      </c>
      <c r="C787" t="s">
        <v>654</v>
      </c>
      <c r="D787" t="s">
        <v>100</v>
      </c>
      <c r="E787" t="s">
        <v>485</v>
      </c>
      <c r="F787" t="s">
        <v>461</v>
      </c>
      <c r="G787" t="s">
        <v>473</v>
      </c>
      <c r="H787">
        <v>1</v>
      </c>
      <c r="I787" t="s">
        <v>458</v>
      </c>
      <c r="J787" t="s">
        <v>462</v>
      </c>
      <c r="K787">
        <v>2</v>
      </c>
      <c r="L787" t="s">
        <v>486</v>
      </c>
      <c r="M787" t="s">
        <v>556</v>
      </c>
      <c r="N787" t="s">
        <v>450</v>
      </c>
      <c r="O787" t="s">
        <v>453</v>
      </c>
      <c r="P787" t="s">
        <v>421</v>
      </c>
      <c r="Q787">
        <v>0</v>
      </c>
      <c r="R787" t="s">
        <v>159</v>
      </c>
      <c r="S787">
        <v>0</v>
      </c>
      <c r="T787" t="s">
        <v>479</v>
      </c>
      <c r="U787" t="s">
        <v>492</v>
      </c>
      <c r="V787" t="s">
        <v>467</v>
      </c>
      <c r="W787" t="s">
        <v>399</v>
      </c>
      <c r="X787" t="s">
        <v>472</v>
      </c>
      <c r="Y787" t="s">
        <v>1145</v>
      </c>
    </row>
    <row r="788" spans="2:25">
      <c r="B788" t="s">
        <v>1143</v>
      </c>
      <c r="C788" t="s">
        <v>617</v>
      </c>
      <c r="D788" t="s">
        <v>1019</v>
      </c>
      <c r="E788" t="s">
        <v>485</v>
      </c>
      <c r="F788" t="s">
        <v>461</v>
      </c>
      <c r="G788" t="s">
        <v>473</v>
      </c>
      <c r="H788">
        <v>2</v>
      </c>
      <c r="I788" t="s">
        <v>456</v>
      </c>
      <c r="J788" t="s">
        <v>463</v>
      </c>
      <c r="K788">
        <v>2</v>
      </c>
      <c r="L788" t="s">
        <v>486</v>
      </c>
      <c r="M788" t="s">
        <v>556</v>
      </c>
      <c r="N788" t="s">
        <v>450</v>
      </c>
      <c r="O788" t="s">
        <v>454</v>
      </c>
      <c r="P788" t="s">
        <v>421</v>
      </c>
      <c r="Q788">
        <v>0</v>
      </c>
      <c r="R788" t="s">
        <v>159</v>
      </c>
      <c r="S788">
        <v>0</v>
      </c>
      <c r="T788" t="s">
        <v>479</v>
      </c>
      <c r="U788" t="s">
        <v>492</v>
      </c>
      <c r="V788" t="s">
        <v>1142</v>
      </c>
      <c r="W788" t="s">
        <v>399</v>
      </c>
      <c r="X788" t="s">
        <v>401</v>
      </c>
      <c r="Y788" t="s">
        <v>1144</v>
      </c>
    </row>
    <row r="789" spans="2:25">
      <c r="B789" t="s">
        <v>1137</v>
      </c>
      <c r="C789" t="s">
        <v>1136</v>
      </c>
      <c r="D789" t="s">
        <v>1019</v>
      </c>
      <c r="E789" t="s">
        <v>485</v>
      </c>
      <c r="F789" t="s">
        <v>461</v>
      </c>
      <c r="G789" t="s">
        <v>473</v>
      </c>
      <c r="H789">
        <v>2</v>
      </c>
      <c r="I789" t="s">
        <v>456</v>
      </c>
      <c r="J789" t="s">
        <v>463</v>
      </c>
      <c r="K789">
        <v>2</v>
      </c>
      <c r="L789" t="s">
        <v>486</v>
      </c>
      <c r="M789" t="s">
        <v>556</v>
      </c>
      <c r="N789" t="s">
        <v>450</v>
      </c>
      <c r="O789" t="s">
        <v>454</v>
      </c>
      <c r="P789" t="s">
        <v>157</v>
      </c>
      <c r="Q789">
        <v>12</v>
      </c>
      <c r="R789" t="s">
        <v>419</v>
      </c>
      <c r="S789">
        <v>12</v>
      </c>
      <c r="T789" t="s">
        <v>479</v>
      </c>
      <c r="U789" t="s">
        <v>492</v>
      </c>
      <c r="V789" t="s">
        <v>466</v>
      </c>
      <c r="W789" t="s">
        <v>399</v>
      </c>
      <c r="X789" t="s">
        <v>401</v>
      </c>
      <c r="Y789" t="s">
        <v>1138</v>
      </c>
    </row>
    <row r="790" spans="2:25">
      <c r="B790" t="s">
        <v>1032</v>
      </c>
      <c r="C790" t="s">
        <v>1033</v>
      </c>
      <c r="D790" t="s">
        <v>100</v>
      </c>
      <c r="E790" t="s">
        <v>485</v>
      </c>
      <c r="F790" t="s">
        <v>461</v>
      </c>
      <c r="G790" t="s">
        <v>473</v>
      </c>
      <c r="H790">
        <v>1</v>
      </c>
      <c r="I790" t="s">
        <v>456</v>
      </c>
      <c r="J790" t="s">
        <v>464</v>
      </c>
      <c r="K790">
        <v>2</v>
      </c>
      <c r="L790" t="s">
        <v>486</v>
      </c>
      <c r="M790" t="s">
        <v>556</v>
      </c>
      <c r="N790" t="s">
        <v>450</v>
      </c>
      <c r="O790" t="s">
        <v>453</v>
      </c>
      <c r="P790" t="s">
        <v>421</v>
      </c>
      <c r="Q790">
        <v>0</v>
      </c>
      <c r="R790" t="s">
        <v>159</v>
      </c>
      <c r="S790">
        <v>0</v>
      </c>
      <c r="T790" t="s">
        <v>483</v>
      </c>
      <c r="U790" t="s">
        <v>492</v>
      </c>
      <c r="V790" t="s">
        <v>467</v>
      </c>
      <c r="W790" t="s">
        <v>477</v>
      </c>
      <c r="X790" t="s">
        <v>472</v>
      </c>
      <c r="Y790" t="s">
        <v>1036</v>
      </c>
    </row>
    <row r="791" spans="2:25">
      <c r="B791" t="s">
        <v>1027</v>
      </c>
      <c r="C791" t="s">
        <v>1028</v>
      </c>
      <c r="D791" t="s">
        <v>1019</v>
      </c>
      <c r="E791" t="s">
        <v>485</v>
      </c>
      <c r="F791" t="s">
        <v>461</v>
      </c>
      <c r="G791" t="s">
        <v>473</v>
      </c>
      <c r="H791">
        <v>2</v>
      </c>
      <c r="I791" t="s">
        <v>458</v>
      </c>
      <c r="J791" t="s">
        <v>462</v>
      </c>
      <c r="K791">
        <v>2</v>
      </c>
      <c r="L791" t="s">
        <v>486</v>
      </c>
      <c r="M791" t="s">
        <v>1022</v>
      </c>
      <c r="N791" t="s">
        <v>450</v>
      </c>
      <c r="O791" t="s">
        <v>454</v>
      </c>
      <c r="P791" t="s">
        <v>157</v>
      </c>
      <c r="Q791">
        <v>12</v>
      </c>
      <c r="R791" t="s">
        <v>159</v>
      </c>
      <c r="S791">
        <v>0</v>
      </c>
      <c r="T791" t="s">
        <v>479</v>
      </c>
      <c r="U791" t="s">
        <v>492</v>
      </c>
      <c r="V791" t="s">
        <v>467</v>
      </c>
      <c r="W791" t="s">
        <v>399</v>
      </c>
      <c r="X791" t="s">
        <v>401</v>
      </c>
      <c r="Y791" t="s">
        <v>1029</v>
      </c>
    </row>
    <row r="792" spans="2:25">
      <c r="B792" t="s">
        <v>1020</v>
      </c>
      <c r="C792" t="s">
        <v>1018</v>
      </c>
      <c r="D792" t="s">
        <v>1019</v>
      </c>
      <c r="E792" t="s">
        <v>485</v>
      </c>
      <c r="F792" t="s">
        <v>461</v>
      </c>
      <c r="G792" t="s">
        <v>473</v>
      </c>
      <c r="H792">
        <v>1</v>
      </c>
      <c r="I792" t="s">
        <v>456</v>
      </c>
      <c r="J792" t="s">
        <v>462</v>
      </c>
      <c r="K792">
        <v>2</v>
      </c>
      <c r="L792" t="s">
        <v>488</v>
      </c>
      <c r="M792" t="s">
        <v>492</v>
      </c>
      <c r="N792" t="s">
        <v>496</v>
      </c>
      <c r="O792" t="s">
        <v>453</v>
      </c>
      <c r="P792" t="s">
        <v>421</v>
      </c>
      <c r="Q792">
        <v>0</v>
      </c>
      <c r="R792" t="s">
        <v>419</v>
      </c>
      <c r="S792">
        <v>0</v>
      </c>
      <c r="T792" t="s">
        <v>402</v>
      </c>
      <c r="U792" t="s">
        <v>492</v>
      </c>
      <c r="V792" t="s">
        <v>469</v>
      </c>
      <c r="W792" t="s">
        <v>399</v>
      </c>
      <c r="X792" t="s">
        <v>472</v>
      </c>
      <c r="Y792" t="s">
        <v>1021</v>
      </c>
    </row>
    <row r="793" spans="2:25">
      <c r="B793" t="s">
        <v>1006</v>
      </c>
      <c r="C793" t="s">
        <v>716</v>
      </c>
      <c r="D793" t="s">
        <v>333</v>
      </c>
      <c r="E793" t="s">
        <v>99</v>
      </c>
      <c r="F793" t="s">
        <v>217</v>
      </c>
      <c r="G793" t="s">
        <v>473</v>
      </c>
      <c r="H793">
        <v>2</v>
      </c>
      <c r="I793" t="s">
        <v>457</v>
      </c>
      <c r="J793" t="s">
        <v>463</v>
      </c>
      <c r="K793">
        <v>2</v>
      </c>
      <c r="L793" t="s">
        <v>486</v>
      </c>
      <c r="M793" t="s">
        <v>556</v>
      </c>
      <c r="N793" t="s">
        <v>450</v>
      </c>
      <c r="O793" t="s">
        <v>454</v>
      </c>
      <c r="P793" t="s">
        <v>158</v>
      </c>
      <c r="Q793">
        <v>8</v>
      </c>
      <c r="R793" t="s">
        <v>416</v>
      </c>
      <c r="S793">
        <v>8</v>
      </c>
      <c r="T793" t="s">
        <v>482</v>
      </c>
      <c r="U793" t="s">
        <v>492</v>
      </c>
      <c r="V793" t="s">
        <v>466</v>
      </c>
      <c r="W793" t="s">
        <v>399</v>
      </c>
      <c r="X793" t="s">
        <v>472</v>
      </c>
      <c r="Y793" t="s">
        <v>1007</v>
      </c>
    </row>
    <row r="794" spans="2:25">
      <c r="B794" t="s">
        <v>770</v>
      </c>
      <c r="C794" t="s">
        <v>766</v>
      </c>
      <c r="D794" t="s">
        <v>100</v>
      </c>
      <c r="E794" t="s">
        <v>485</v>
      </c>
      <c r="F794" t="s">
        <v>461</v>
      </c>
      <c r="G794" t="s">
        <v>473</v>
      </c>
      <c r="H794">
        <v>1</v>
      </c>
      <c r="I794" t="s">
        <v>456</v>
      </c>
      <c r="J794" t="s">
        <v>463</v>
      </c>
      <c r="K794">
        <v>2</v>
      </c>
      <c r="L794" t="s">
        <v>486</v>
      </c>
      <c r="M794" t="s">
        <v>556</v>
      </c>
      <c r="N794" t="s">
        <v>450</v>
      </c>
      <c r="O794" t="s">
        <v>453</v>
      </c>
      <c r="P794" t="s">
        <v>157</v>
      </c>
      <c r="Q794">
        <v>8</v>
      </c>
      <c r="R794" t="s">
        <v>419</v>
      </c>
      <c r="S794">
        <v>8</v>
      </c>
      <c r="T794" t="s">
        <v>483</v>
      </c>
      <c r="U794" t="s">
        <v>492</v>
      </c>
      <c r="V794" t="s">
        <v>467</v>
      </c>
      <c r="W794" t="s">
        <v>123</v>
      </c>
      <c r="X794" t="s">
        <v>470</v>
      </c>
      <c r="Y794" t="s">
        <v>773</v>
      </c>
    </row>
    <row r="795" spans="2:25">
      <c r="B795" t="s">
        <v>765</v>
      </c>
      <c r="C795" t="s">
        <v>760</v>
      </c>
      <c r="D795" t="s">
        <v>100</v>
      </c>
      <c r="E795" t="s">
        <v>764</v>
      </c>
      <c r="F795" t="s">
        <v>217</v>
      </c>
      <c r="G795" t="s">
        <v>473</v>
      </c>
      <c r="H795">
        <v>1</v>
      </c>
      <c r="I795" t="s">
        <v>457</v>
      </c>
      <c r="J795" t="s">
        <v>464</v>
      </c>
      <c r="K795">
        <v>2</v>
      </c>
      <c r="L795" t="s">
        <v>486</v>
      </c>
      <c r="M795" t="s">
        <v>556</v>
      </c>
      <c r="N795" t="s">
        <v>450</v>
      </c>
      <c r="O795" t="s">
        <v>453</v>
      </c>
      <c r="P795" t="s">
        <v>157</v>
      </c>
      <c r="Q795">
        <v>8</v>
      </c>
      <c r="R795" t="s">
        <v>419</v>
      </c>
      <c r="S795">
        <v>8</v>
      </c>
      <c r="T795" t="s">
        <v>482</v>
      </c>
      <c r="U795" t="s">
        <v>492</v>
      </c>
      <c r="V795" t="s">
        <v>466</v>
      </c>
      <c r="W795" t="s">
        <v>399</v>
      </c>
      <c r="X795" t="s">
        <v>472</v>
      </c>
      <c r="Y795" t="s">
        <v>763</v>
      </c>
    </row>
    <row r="796" spans="2:25">
      <c r="B796" t="s">
        <v>572</v>
      </c>
      <c r="C796" t="s">
        <v>760</v>
      </c>
      <c r="D796" t="s">
        <v>100</v>
      </c>
      <c r="E796" t="s">
        <v>485</v>
      </c>
      <c r="F796" t="s">
        <v>217</v>
      </c>
      <c r="G796" t="s">
        <v>473</v>
      </c>
      <c r="H796">
        <v>1</v>
      </c>
      <c r="I796" t="s">
        <v>457</v>
      </c>
      <c r="J796" t="s">
        <v>464</v>
      </c>
      <c r="K796">
        <v>2</v>
      </c>
      <c r="L796" t="s">
        <v>486</v>
      </c>
      <c r="M796" t="s">
        <v>556</v>
      </c>
      <c r="N796" t="s">
        <v>450</v>
      </c>
      <c r="O796" t="s">
        <v>453</v>
      </c>
      <c r="P796" t="s">
        <v>157</v>
      </c>
      <c r="Q796">
        <v>8</v>
      </c>
      <c r="R796" t="s">
        <v>419</v>
      </c>
      <c r="S796">
        <v>8</v>
      </c>
      <c r="T796" t="s">
        <v>402</v>
      </c>
      <c r="U796" t="s">
        <v>492</v>
      </c>
      <c r="V796" t="s">
        <v>466</v>
      </c>
      <c r="W796" t="s">
        <v>399</v>
      </c>
      <c r="X796" t="s">
        <v>472</v>
      </c>
      <c r="Y796" t="s">
        <v>763</v>
      </c>
    </row>
    <row r="797" spans="2:25">
      <c r="B797" t="s">
        <v>567</v>
      </c>
      <c r="C797" t="s">
        <v>390</v>
      </c>
      <c r="D797" t="s">
        <v>101</v>
      </c>
      <c r="E797" t="s">
        <v>485</v>
      </c>
      <c r="F797" t="s">
        <v>461</v>
      </c>
      <c r="G797" t="s">
        <v>473</v>
      </c>
      <c r="H797">
        <v>1</v>
      </c>
      <c r="I797" t="s">
        <v>457</v>
      </c>
      <c r="J797" t="s">
        <v>464</v>
      </c>
      <c r="K797">
        <v>2</v>
      </c>
      <c r="L797" t="s">
        <v>486</v>
      </c>
      <c r="M797" t="s">
        <v>556</v>
      </c>
      <c r="N797" t="s">
        <v>450</v>
      </c>
      <c r="O797" t="s">
        <v>453</v>
      </c>
      <c r="P797" t="s">
        <v>157</v>
      </c>
      <c r="Q797">
        <v>8</v>
      </c>
      <c r="R797" t="s">
        <v>419</v>
      </c>
      <c r="S797">
        <v>8</v>
      </c>
      <c r="T797" t="s">
        <v>402</v>
      </c>
      <c r="U797" t="s">
        <v>492</v>
      </c>
      <c r="V797" t="s">
        <v>468</v>
      </c>
      <c r="W797" t="s">
        <v>477</v>
      </c>
      <c r="X797" t="s">
        <v>401</v>
      </c>
      <c r="Y797" t="s">
        <v>568</v>
      </c>
    </row>
    <row r="798" spans="2:25">
      <c r="B798" s="251"/>
      <c r="C798" s="251"/>
      <c r="D798" s="251"/>
      <c r="E798" s="251"/>
      <c r="F798" s="251"/>
      <c r="G798" s="251"/>
      <c r="H798" s="251"/>
      <c r="I798" s="251"/>
      <c r="J798" s="251"/>
      <c r="K798" s="251"/>
      <c r="L798" s="251"/>
      <c r="M798" s="251"/>
      <c r="N798" s="251"/>
      <c r="O798" s="251"/>
      <c r="P798" s="251"/>
      <c r="Q798" s="251"/>
      <c r="R798" s="251"/>
      <c r="S798" s="251"/>
      <c r="T798" s="251"/>
      <c r="U798" s="251"/>
      <c r="V798" s="251"/>
      <c r="W798" s="251"/>
      <c r="X798" s="251"/>
      <c r="Y798" s="251"/>
    </row>
  </sheetData>
  <phoneticPr fontId="3"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28002" r:id="rId4" name="CommandButton1">
          <controlPr defaultSize="0" autoLine="0" r:id="rId5">
            <anchor moveWithCells="1">
              <from>
                <xdr:col>7</xdr:col>
                <xdr:colOff>899160</xdr:colOff>
                <xdr:row>2</xdr:row>
                <xdr:rowOff>0</xdr:rowOff>
              </from>
              <to>
                <xdr:col>9</xdr:col>
                <xdr:colOff>228600</xdr:colOff>
                <xdr:row>4</xdr:row>
                <xdr:rowOff>53340</xdr:rowOff>
              </to>
            </anchor>
          </controlPr>
        </control>
      </mc:Choice>
      <mc:Fallback>
        <control shapeId="128002" r:id="rId4" name="CommandButton1"/>
      </mc:Fallback>
    </mc:AlternateContent>
  </controls>
  <tableParts count="1">
    <tablePart r:id="rId6"/>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CEECA-6E45-44E7-9935-460C32567CC7}">
  <sheetPr codeName="Hoja5">
    <tabColor rgb="FF00B050"/>
  </sheetPr>
  <dimension ref="B7:AW25"/>
  <sheetViews>
    <sheetView topLeftCell="U1" zoomScaleNormal="100" workbookViewId="0">
      <selection activeCell="AQ25" sqref="AQ25"/>
    </sheetView>
  </sheetViews>
  <sheetFormatPr baseColWidth="10" defaultRowHeight="14.4"/>
  <cols>
    <col min="1" max="1" width="4" customWidth="1"/>
    <col min="4" max="4" width="1.109375" customWidth="1"/>
    <col min="5" max="6" width="14.5546875" customWidth="1"/>
    <col min="7" max="7" width="1.109375" customWidth="1"/>
    <col min="11" max="11" width="1.109375" customWidth="1"/>
    <col min="14" max="14" width="1.109375" customWidth="1"/>
    <col min="17" max="17" width="1.109375" customWidth="1"/>
    <col min="22" max="22" width="1.109375" customWidth="1"/>
    <col min="23" max="23" width="25.33203125" bestFit="1" customWidth="1"/>
    <col min="24" max="24" width="11.6640625" customWidth="1"/>
    <col min="25" max="25" width="1.109375" customWidth="1"/>
    <col min="28" max="28" width="1.109375" customWidth="1"/>
    <col min="29" max="29" width="12.33203125" customWidth="1"/>
    <col min="30" max="30" width="9.44140625" customWidth="1"/>
    <col min="31" max="31" width="12.33203125" customWidth="1"/>
    <col min="32" max="32" width="1.109375" customWidth="1"/>
    <col min="36" max="36" width="1.109375" customWidth="1"/>
    <col min="40" max="40" width="1.6640625" customWidth="1"/>
    <col min="41" max="41" width="12.33203125" customWidth="1"/>
    <col min="43" max="43" width="12.88671875" customWidth="1"/>
    <col min="44" max="44" width="2" customWidth="1"/>
    <col min="45" max="45" width="13" customWidth="1"/>
    <col min="46" max="46" width="11.33203125" customWidth="1"/>
    <col min="47" max="47" width="5.33203125" customWidth="1"/>
    <col min="48" max="48" width="6.44140625" customWidth="1"/>
    <col min="49" max="49" width="6.109375" customWidth="1"/>
  </cols>
  <sheetData>
    <row r="7" spans="2:49">
      <c r="I7">
        <v>3</v>
      </c>
      <c r="AC7" s="202">
        <v>1</v>
      </c>
      <c r="AH7">
        <v>1</v>
      </c>
      <c r="AL7">
        <v>1</v>
      </c>
    </row>
    <row r="8" spans="2:49">
      <c r="B8" s="128">
        <v>2</v>
      </c>
      <c r="E8" s="128">
        <v>3</v>
      </c>
      <c r="H8" s="128">
        <v>3</v>
      </c>
      <c r="I8" s="128">
        <v>2</v>
      </c>
      <c r="L8" s="128">
        <v>3</v>
      </c>
      <c r="O8" s="128">
        <v>1</v>
      </c>
      <c r="R8" s="128">
        <v>1</v>
      </c>
      <c r="S8" s="128">
        <v>1</v>
      </c>
      <c r="T8" s="128">
        <v>2</v>
      </c>
      <c r="W8" s="128">
        <v>2</v>
      </c>
      <c r="Z8" s="128">
        <v>4</v>
      </c>
      <c r="AC8" s="128">
        <v>1</v>
      </c>
      <c r="AD8" s="128">
        <v>1</v>
      </c>
      <c r="AG8" s="128">
        <v>1</v>
      </c>
      <c r="AH8" s="128">
        <v>9</v>
      </c>
      <c r="AK8" s="128">
        <v>4</v>
      </c>
      <c r="AL8" s="128">
        <v>9</v>
      </c>
    </row>
    <row r="10" spans="2:49">
      <c r="B10" t="s">
        <v>41</v>
      </c>
      <c r="C10" t="s">
        <v>383</v>
      </c>
      <c r="E10" t="s">
        <v>363</v>
      </c>
      <c r="F10" t="s">
        <v>383</v>
      </c>
      <c r="H10" t="s">
        <v>367</v>
      </c>
      <c r="I10" t="s">
        <v>380</v>
      </c>
      <c r="J10" t="s">
        <v>383</v>
      </c>
      <c r="L10" t="s">
        <v>370</v>
      </c>
      <c r="M10" t="s">
        <v>76</v>
      </c>
      <c r="O10" t="s">
        <v>71</v>
      </c>
      <c r="P10" t="s">
        <v>383</v>
      </c>
      <c r="R10" t="s">
        <v>371</v>
      </c>
      <c r="S10" t="s">
        <v>380</v>
      </c>
      <c r="T10" t="s">
        <v>413</v>
      </c>
      <c r="U10" t="s">
        <v>383</v>
      </c>
      <c r="W10" t="s">
        <v>374</v>
      </c>
      <c r="X10" t="s">
        <v>383</v>
      </c>
      <c r="Z10" t="s">
        <v>154</v>
      </c>
      <c r="AA10" t="s">
        <v>383</v>
      </c>
      <c r="AC10" t="s">
        <v>153</v>
      </c>
      <c r="AD10" t="s">
        <v>380</v>
      </c>
      <c r="AE10" t="s">
        <v>383</v>
      </c>
      <c r="AG10" t="s">
        <v>379</v>
      </c>
      <c r="AH10" t="s">
        <v>380</v>
      </c>
      <c r="AI10" t="s">
        <v>383</v>
      </c>
      <c r="AK10" t="s">
        <v>340</v>
      </c>
      <c r="AL10" t="s">
        <v>380</v>
      </c>
      <c r="AM10" t="s">
        <v>383</v>
      </c>
      <c r="AO10" t="s">
        <v>394</v>
      </c>
      <c r="AP10" t="s">
        <v>395</v>
      </c>
      <c r="AQ10" t="s">
        <v>383</v>
      </c>
      <c r="AS10" t="s">
        <v>91</v>
      </c>
      <c r="AT10" t="s">
        <v>2</v>
      </c>
      <c r="AU10" t="s">
        <v>380</v>
      </c>
      <c r="AV10" t="s">
        <v>430</v>
      </c>
      <c r="AW10" t="s">
        <v>431</v>
      </c>
    </row>
    <row r="11" spans="2:49">
      <c r="B11" t="s">
        <v>400</v>
      </c>
      <c r="C11" s="6">
        <v>24421</v>
      </c>
      <c r="E11" t="s">
        <v>400</v>
      </c>
      <c r="F11" s="6">
        <v>23118</v>
      </c>
      <c r="H11" t="s">
        <v>368</v>
      </c>
      <c r="I11">
        <v>1</v>
      </c>
      <c r="J11" s="6">
        <v>6206</v>
      </c>
      <c r="L11" t="s">
        <v>423</v>
      </c>
      <c r="M11" s="6">
        <v>35000</v>
      </c>
      <c r="O11" t="s">
        <v>486</v>
      </c>
      <c r="P11" s="6">
        <v>6240</v>
      </c>
      <c r="R11" t="s">
        <v>369</v>
      </c>
      <c r="S11">
        <v>1</v>
      </c>
      <c r="T11" t="s">
        <v>412</v>
      </c>
      <c r="U11" s="6">
        <v>7100</v>
      </c>
      <c r="W11" t="s">
        <v>375</v>
      </c>
      <c r="X11" s="6">
        <v>6240</v>
      </c>
      <c r="Z11" t="s">
        <v>476</v>
      </c>
      <c r="AA11" s="6">
        <v>2300</v>
      </c>
      <c r="AC11" t="s">
        <v>473</v>
      </c>
      <c r="AD11">
        <v>1</v>
      </c>
      <c r="AE11" s="6">
        <v>15000</v>
      </c>
      <c r="AG11" t="s">
        <v>157</v>
      </c>
      <c r="AH11">
        <v>0</v>
      </c>
      <c r="AI11" s="6">
        <v>2300</v>
      </c>
      <c r="AK11" t="s">
        <v>415</v>
      </c>
      <c r="AL11">
        <v>0</v>
      </c>
      <c r="AM11" s="6">
        <v>3000</v>
      </c>
      <c r="AO11" t="s">
        <v>396</v>
      </c>
      <c r="AS11" t="s">
        <v>403</v>
      </c>
      <c r="AT11" s="153">
        <v>3000</v>
      </c>
      <c r="AU11">
        <v>1</v>
      </c>
      <c r="AV11">
        <v>6</v>
      </c>
    </row>
    <row r="12" spans="2:49">
      <c r="B12" t="s">
        <v>362</v>
      </c>
      <c r="C12" s="6">
        <v>24421</v>
      </c>
      <c r="E12" t="s">
        <v>364</v>
      </c>
      <c r="F12" s="6">
        <v>23118</v>
      </c>
      <c r="H12" t="s">
        <v>362</v>
      </c>
      <c r="I12">
        <v>2</v>
      </c>
      <c r="J12" s="6">
        <v>6206</v>
      </c>
      <c r="L12" t="s">
        <v>424</v>
      </c>
      <c r="M12" s="6">
        <v>35000</v>
      </c>
      <c r="O12" t="s">
        <v>488</v>
      </c>
      <c r="P12" s="6">
        <v>0</v>
      </c>
      <c r="R12" t="s">
        <v>372</v>
      </c>
      <c r="S12">
        <v>2</v>
      </c>
      <c r="T12" t="s">
        <v>410</v>
      </c>
      <c r="U12" s="6">
        <v>8000</v>
      </c>
      <c r="W12" t="s">
        <v>376</v>
      </c>
      <c r="X12" s="6">
        <v>6240</v>
      </c>
      <c r="Z12" t="s">
        <v>477</v>
      </c>
      <c r="AA12" s="6">
        <v>2400</v>
      </c>
      <c r="AC12" t="s">
        <v>487</v>
      </c>
      <c r="AD12">
        <v>2</v>
      </c>
      <c r="AE12" s="6"/>
      <c r="AG12" t="s">
        <v>158</v>
      </c>
      <c r="AH12">
        <v>1</v>
      </c>
      <c r="AI12" s="6">
        <v>3200</v>
      </c>
      <c r="AK12" t="s">
        <v>416</v>
      </c>
      <c r="AL12">
        <v>1</v>
      </c>
      <c r="AM12" s="6">
        <v>4000</v>
      </c>
      <c r="AS12" t="s">
        <v>404</v>
      </c>
      <c r="AT12" s="153">
        <v>5450</v>
      </c>
      <c r="AU12">
        <v>2</v>
      </c>
      <c r="AV12">
        <v>6</v>
      </c>
    </row>
    <row r="13" spans="2:49">
      <c r="B13" t="s">
        <v>243</v>
      </c>
      <c r="C13" s="6"/>
      <c r="E13" t="s">
        <v>362</v>
      </c>
      <c r="F13" s="6">
        <v>23118</v>
      </c>
      <c r="H13" t="s">
        <v>369</v>
      </c>
      <c r="J13" s="6">
        <v>6206</v>
      </c>
      <c r="L13" t="s">
        <v>63</v>
      </c>
      <c r="M13" s="6">
        <v>35000</v>
      </c>
      <c r="R13" t="s">
        <v>373</v>
      </c>
      <c r="U13" s="6">
        <v>8000</v>
      </c>
      <c r="W13" t="s">
        <v>377</v>
      </c>
      <c r="X13" s="6">
        <v>6240</v>
      </c>
      <c r="Z13" t="s">
        <v>478</v>
      </c>
      <c r="AA13" s="6">
        <v>2500</v>
      </c>
      <c r="AC13" t="s">
        <v>123</v>
      </c>
      <c r="AD13" t="s">
        <v>123</v>
      </c>
      <c r="AE13" s="6"/>
      <c r="AG13" t="s">
        <v>421</v>
      </c>
      <c r="AH13">
        <v>2</v>
      </c>
      <c r="AI13" s="6">
        <v>0</v>
      </c>
      <c r="AK13" t="s">
        <v>417</v>
      </c>
      <c r="AL13">
        <v>2</v>
      </c>
      <c r="AM13" s="6">
        <v>3500</v>
      </c>
      <c r="AS13" t="s">
        <v>405</v>
      </c>
      <c r="AT13" s="153">
        <v>2</v>
      </c>
      <c r="AU13">
        <v>3</v>
      </c>
      <c r="AV13">
        <v>6</v>
      </c>
    </row>
    <row r="14" spans="2:49">
      <c r="E14" t="s">
        <v>365</v>
      </c>
      <c r="F14" s="6">
        <v>23118</v>
      </c>
      <c r="H14" t="s">
        <v>243</v>
      </c>
      <c r="J14" s="6"/>
      <c r="L14" t="s">
        <v>425</v>
      </c>
      <c r="M14" s="6">
        <v>35000</v>
      </c>
      <c r="R14" t="s">
        <v>401</v>
      </c>
      <c r="U14" s="6"/>
      <c r="W14" t="s">
        <v>378</v>
      </c>
      <c r="X14" s="6">
        <v>6240</v>
      </c>
      <c r="Z14" t="s">
        <v>399</v>
      </c>
      <c r="AA14" s="6"/>
      <c r="AH14">
        <v>3</v>
      </c>
      <c r="AI14" s="6"/>
      <c r="AK14" t="s">
        <v>418</v>
      </c>
      <c r="AL14">
        <v>3</v>
      </c>
      <c r="AM14" s="6">
        <v>4500</v>
      </c>
      <c r="AS14" t="s">
        <v>406</v>
      </c>
      <c r="AT14" s="153">
        <v>4</v>
      </c>
      <c r="AU14">
        <v>4</v>
      </c>
      <c r="AV14">
        <v>6</v>
      </c>
    </row>
    <row r="15" spans="2:49">
      <c r="E15" t="s">
        <v>366</v>
      </c>
      <c r="F15" s="6">
        <v>23118</v>
      </c>
      <c r="L15" t="s">
        <v>426</v>
      </c>
      <c r="M15" s="6">
        <v>50000</v>
      </c>
      <c r="R15" t="s">
        <v>123</v>
      </c>
      <c r="U15" s="6"/>
      <c r="W15" t="s">
        <v>402</v>
      </c>
      <c r="X15" s="6"/>
      <c r="Z15" t="s">
        <v>123</v>
      </c>
      <c r="AA15" s="6"/>
      <c r="AH15">
        <v>4</v>
      </c>
      <c r="AI15" s="6"/>
      <c r="AK15" t="s">
        <v>419</v>
      </c>
      <c r="AL15">
        <v>4</v>
      </c>
      <c r="AM15" s="6">
        <v>3000</v>
      </c>
      <c r="AS15" t="s">
        <v>407</v>
      </c>
      <c r="AT15" s="153">
        <v>5</v>
      </c>
      <c r="AU15">
        <v>5</v>
      </c>
      <c r="AV15">
        <v>5</v>
      </c>
    </row>
    <row r="16" spans="2:49">
      <c r="L16" t="s">
        <v>427</v>
      </c>
      <c r="M16" s="6">
        <v>35000</v>
      </c>
      <c r="AH16">
        <v>5</v>
      </c>
      <c r="AI16" s="6"/>
      <c r="AK16" t="s">
        <v>420</v>
      </c>
      <c r="AL16">
        <v>5</v>
      </c>
      <c r="AM16" s="6">
        <v>3200</v>
      </c>
      <c r="AT16" s="153"/>
      <c r="AU16">
        <v>6</v>
      </c>
      <c r="AV16">
        <v>6</v>
      </c>
    </row>
    <row r="17" spans="12:47">
      <c r="L17" t="s">
        <v>123</v>
      </c>
      <c r="M17" s="6"/>
      <c r="AH17">
        <v>6</v>
      </c>
      <c r="AI17" s="6"/>
      <c r="AK17" t="s">
        <v>159</v>
      </c>
      <c r="AL17">
        <v>6</v>
      </c>
      <c r="AM17" s="6">
        <v>0</v>
      </c>
      <c r="AT17" s="153"/>
      <c r="AU17">
        <v>7</v>
      </c>
    </row>
    <row r="18" spans="12:47">
      <c r="L18" t="s">
        <v>428</v>
      </c>
      <c r="M18" s="6">
        <v>35000</v>
      </c>
      <c r="AH18">
        <v>7</v>
      </c>
      <c r="AI18" s="6"/>
      <c r="AL18">
        <v>7</v>
      </c>
      <c r="AM18" s="6"/>
      <c r="AT18" s="153"/>
      <c r="AU18">
        <v>8</v>
      </c>
    </row>
    <row r="19" spans="12:47">
      <c r="AH19">
        <v>8</v>
      </c>
      <c r="AI19" s="6"/>
      <c r="AL19">
        <v>8</v>
      </c>
      <c r="AM19" s="6"/>
      <c r="AT19" s="153"/>
      <c r="AU19">
        <v>9</v>
      </c>
    </row>
    <row r="20" spans="12:47">
      <c r="AH20">
        <v>9</v>
      </c>
      <c r="AI20" s="6"/>
      <c r="AL20">
        <v>9</v>
      </c>
      <c r="AM20" s="6"/>
      <c r="AT20" s="153"/>
      <c r="AU20">
        <v>10</v>
      </c>
    </row>
    <row r="21" spans="12:47">
      <c r="AH21">
        <v>10</v>
      </c>
      <c r="AI21" s="6"/>
      <c r="AL21">
        <v>10</v>
      </c>
      <c r="AM21" s="6"/>
    </row>
    <row r="22" spans="12:47">
      <c r="AH22">
        <v>11</v>
      </c>
      <c r="AI22" s="6"/>
      <c r="AL22">
        <v>11</v>
      </c>
      <c r="AM22" s="6"/>
    </row>
    <row r="23" spans="12:47">
      <c r="AH23">
        <v>12</v>
      </c>
      <c r="AI23" s="6"/>
      <c r="AL23">
        <v>12</v>
      </c>
      <c r="AM23" s="6"/>
    </row>
    <row r="24" spans="12:47">
      <c r="AM24" s="6"/>
    </row>
    <row r="25" spans="12:47">
      <c r="AM25" s="6"/>
    </row>
  </sheetData>
  <pageMargins left="0.7" right="0.7" top="0.75" bottom="0.75" header="0.3" footer="0.3"/>
  <tableParts count="13">
    <tablePart r:id="rId1"/>
    <tablePart r:id="rId2"/>
    <tablePart r:id="rId3"/>
    <tablePart r:id="rId4"/>
    <tablePart r:id="rId5"/>
    <tablePart r:id="rId6"/>
    <tablePart r:id="rId7"/>
    <tablePart r:id="rId8"/>
    <tablePart r:id="rId9"/>
    <tablePart r:id="rId10"/>
    <tablePart r:id="rId11"/>
    <tablePart r:id="rId12"/>
    <tablePart r:id="rId1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0ECA3-8F7A-4BE6-8F94-2DB5591B5AEE}">
  <sheetPr codeName="LOBBY1111">
    <tabColor rgb="FF99FFCC"/>
  </sheetPr>
  <dimension ref="B1:AA17"/>
  <sheetViews>
    <sheetView showGridLines="0" workbookViewId="0">
      <selection activeCell="G2" sqref="G2:H2"/>
    </sheetView>
  </sheetViews>
  <sheetFormatPr baseColWidth="10" defaultRowHeight="14.4" outlineLevelCol="1"/>
  <cols>
    <col min="5" max="5" width="8" bestFit="1" customWidth="1"/>
    <col min="6" max="6" width="5.6640625" bestFit="1" customWidth="1"/>
    <col min="7" max="7" width="9.44140625" customWidth="1"/>
    <col min="8" max="8" width="11.109375" customWidth="1"/>
    <col min="9" max="9" width="5.6640625" bestFit="1" customWidth="1"/>
    <col min="12" max="12" width="7.88671875" customWidth="1"/>
    <col min="13" max="26" width="8.44140625" hidden="1" customWidth="1" outlineLevel="1"/>
    <col min="27" max="27" width="11.44140625" collapsed="1"/>
  </cols>
  <sheetData>
    <row r="1" spans="2:25">
      <c r="G1" s="672" t="s">
        <v>109</v>
      </c>
      <c r="H1" s="672"/>
      <c r="I1" s="346">
        <f ca="1">TODAY()</f>
        <v>46287</v>
      </c>
      <c r="M1" t="s">
        <v>99</v>
      </c>
      <c r="P1" t="s">
        <v>109</v>
      </c>
      <c r="Q1" t="str">
        <f ca="1">G2</f>
        <v>PD-22-09-26-0</v>
      </c>
    </row>
    <row r="2" spans="2:25">
      <c r="G2" s="673" t="str">
        <f ca="1">"PD"&amp;"-"&amp;TEXT(I1,"DD-MM-AA")&amp;"-"&amp;I2</f>
        <v>PD-22-09-26-0</v>
      </c>
      <c r="H2" s="673"/>
      <c r="I2" s="9">
        <v>0</v>
      </c>
      <c r="M2" t="s">
        <v>99</v>
      </c>
      <c r="P2" t="s">
        <v>1</v>
      </c>
      <c r="Q2" t="str" vm="54">
        <f>C4</f>
        <v>(Varios elementos)</v>
      </c>
    </row>
    <row r="3" spans="2:25">
      <c r="M3" t="s">
        <v>492</v>
      </c>
      <c r="N3" t="s">
        <v>492</v>
      </c>
      <c r="O3" s="387" t="s">
        <v>492</v>
      </c>
      <c r="P3" t="s">
        <v>560</v>
      </c>
      <c r="Q3" t="str" cm="1">
        <f t="array" ref="Q3">Tabla54[NOMBRE]</f>
        <v>DOLLY 2 3.5 FT</v>
      </c>
    </row>
    <row r="4" spans="2:25">
      <c r="B4" s="4" t="s">
        <v>1</v>
      </c>
      <c r="C4" t="s" vm="54">
        <v>1266</v>
      </c>
      <c r="D4" s="344"/>
      <c r="E4" s="345"/>
      <c r="M4" t="s">
        <v>492</v>
      </c>
      <c r="N4" t="s">
        <v>492</v>
      </c>
      <c r="O4" s="6" t="s">
        <v>492</v>
      </c>
      <c r="P4" t="s">
        <v>380</v>
      </c>
      <c r="Q4" t="str">
        <f>'PRES DOLLY'!H2</f>
        <v>1</v>
      </c>
    </row>
    <row r="5" spans="2:25">
      <c r="M5" t="s">
        <v>492</v>
      </c>
      <c r="N5" t="s">
        <v>492</v>
      </c>
      <c r="O5" s="6" t="s">
        <v>492</v>
      </c>
      <c r="P5" t="s">
        <v>363</v>
      </c>
      <c r="Q5" t="str">
        <f>'PRES DOLLY'!B24</f>
        <v>SUSPENSIÓN ALTA HENDRICKSON</v>
      </c>
    </row>
    <row r="6" spans="2:25">
      <c r="M6" t="s">
        <v>492</v>
      </c>
      <c r="N6" t="s">
        <v>492</v>
      </c>
      <c r="O6" s="6" t="s">
        <v>492</v>
      </c>
      <c r="P6" t="s">
        <v>41</v>
      </c>
      <c r="Q6" t="str">
        <f>'PRES DOLLY'!B25</f>
        <v>EJES FLEET MASTER</v>
      </c>
    </row>
    <row r="7" spans="2:25">
      <c r="M7" t="s">
        <v>558</v>
      </c>
      <c r="N7" t="s">
        <v>485</v>
      </c>
      <c r="P7" t="s">
        <v>379</v>
      </c>
      <c r="Q7" t="str">
        <f>'PRES DOLLY'!G45</f>
        <v>SIN RINES</v>
      </c>
    </row>
    <row r="8" spans="2:25">
      <c r="M8" t="s">
        <v>379</v>
      </c>
      <c r="N8" t="s">
        <v>492</v>
      </c>
      <c r="P8" t="s">
        <v>340</v>
      </c>
      <c r="Q8" t="str">
        <f>'PRES DOLLY'!G47</f>
        <v>SIN LLANTAS</v>
      </c>
    </row>
    <row r="9" spans="2:25">
      <c r="M9" t="s">
        <v>340</v>
      </c>
      <c r="N9" t="s">
        <v>492</v>
      </c>
      <c r="P9" t="s">
        <v>153</v>
      </c>
      <c r="Q9" t="str">
        <f>'PRES DOLLY'!G48</f>
        <v>SISTEMA RETRÁCTIL</v>
      </c>
    </row>
    <row r="10" spans="2:25">
      <c r="M10" t="s">
        <v>153</v>
      </c>
      <c r="N10" t="s">
        <v>492</v>
      </c>
      <c r="P10" t="s">
        <v>1010</v>
      </c>
      <c r="Q10" t="str">
        <f>'PRES DOLLY'!F48</f>
        <v>1</v>
      </c>
    </row>
    <row r="11" spans="2:25">
      <c r="N11" t="s">
        <v>485</v>
      </c>
      <c r="P11" t="s">
        <v>494</v>
      </c>
      <c r="Q11" t="str" cm="1">
        <f t="array" ref="Q11:Y13">'PRES DOLLY'!A3:I5</f>
        <v>PRESUPUESTO DE DOLLY CON 2 EJES FLEET MASTER,  SUSPENSIÓN ALTA HENDRICKSON, 1 SISTEMA RETRÁCTIL,  SIN RINES,  SIN RINES,  SIN LLANTAS</v>
      </c>
      <c r="R11">
        <v>0</v>
      </c>
      <c r="S11">
        <v>0</v>
      </c>
      <c r="T11">
        <v>0</v>
      </c>
      <c r="U11">
        <v>0</v>
      </c>
      <c r="V11">
        <v>0</v>
      </c>
      <c r="W11">
        <v>0</v>
      </c>
      <c r="X11">
        <v>0</v>
      </c>
      <c r="Y11">
        <v>0</v>
      </c>
    </row>
    <row r="12" spans="2:25">
      <c r="Q12">
        <v>0</v>
      </c>
      <c r="R12">
        <v>0</v>
      </c>
      <c r="S12">
        <v>0</v>
      </c>
      <c r="T12">
        <v>0</v>
      </c>
      <c r="U12">
        <v>0</v>
      </c>
      <c r="V12">
        <v>0</v>
      </c>
      <c r="W12">
        <v>0</v>
      </c>
      <c r="X12">
        <v>0</v>
      </c>
      <c r="Y12">
        <v>0</v>
      </c>
    </row>
    <row r="13" spans="2:25">
      <c r="Q13">
        <v>0</v>
      </c>
      <c r="R13">
        <v>0</v>
      </c>
      <c r="S13">
        <v>0</v>
      </c>
      <c r="T13">
        <v>0</v>
      </c>
      <c r="U13">
        <v>0</v>
      </c>
      <c r="V13">
        <v>0</v>
      </c>
      <c r="W13">
        <v>0</v>
      </c>
      <c r="X13">
        <v>0</v>
      </c>
      <c r="Y13">
        <v>0</v>
      </c>
    </row>
    <row r="17" spans="17:17">
      <c r="Q17" t="s">
        <v>487</v>
      </c>
    </row>
  </sheetData>
  <mergeCells count="2">
    <mergeCell ref="G1:H1"/>
    <mergeCell ref="G2:H2"/>
  </mergeCells>
  <pageMargins left="0.7" right="0.7" top="0.75" bottom="0.75" header="0.3" footer="0.3"/>
  <pageSetup paperSize="9" orientation="portrait" r:id="rId2"/>
  <drawing r:id="rId3"/>
  <legacyDrawing r:id="rId4"/>
  <picture r:id="rId5"/>
  <controls>
    <mc:AlternateContent xmlns:mc="http://schemas.openxmlformats.org/markup-compatibility/2006">
      <mc:Choice Requires="x14">
        <control shapeId="70709" r:id="rId6" name="TextBox19">
          <controlPr defaultSize="0" autoLine="0" autoPict="0" linkedCell="N10" r:id="rId7">
            <anchor moveWithCells="1">
              <from>
                <xdr:col>3</xdr:col>
                <xdr:colOff>144780</xdr:colOff>
                <xdr:row>19</xdr:row>
                <xdr:rowOff>182880</xdr:rowOff>
              </from>
              <to>
                <xdr:col>4</xdr:col>
                <xdr:colOff>45720</xdr:colOff>
                <xdr:row>21</xdr:row>
                <xdr:rowOff>30480</xdr:rowOff>
              </to>
            </anchor>
          </controlPr>
        </control>
      </mc:Choice>
      <mc:Fallback>
        <control shapeId="70709" r:id="rId6" name="TextBox19"/>
      </mc:Fallback>
    </mc:AlternateContent>
    <mc:AlternateContent xmlns:mc="http://schemas.openxmlformats.org/markup-compatibility/2006">
      <mc:Choice Requires="x14">
        <control shapeId="70666" r:id="rId8" name="TextBox1">
          <controlPr defaultSize="0" autoLine="0" autoPict="0" linkedCell="M1" r:id="rId9">
            <anchor moveWithCells="1">
              <from>
                <xdr:col>3</xdr:col>
                <xdr:colOff>175260</xdr:colOff>
                <xdr:row>9</xdr:row>
                <xdr:rowOff>99060</xdr:rowOff>
              </from>
              <to>
                <xdr:col>4</xdr:col>
                <xdr:colOff>76200</xdr:colOff>
                <xdr:row>10</xdr:row>
                <xdr:rowOff>129540</xdr:rowOff>
              </to>
            </anchor>
          </controlPr>
        </control>
      </mc:Choice>
      <mc:Fallback>
        <control shapeId="70666" r:id="rId8" name="TextBox1"/>
      </mc:Fallback>
    </mc:AlternateContent>
    <mc:AlternateContent xmlns:mc="http://schemas.openxmlformats.org/markup-compatibility/2006">
      <mc:Choice Requires="x14">
        <control shapeId="70676" r:id="rId10" name="TextBox2">
          <controlPr defaultSize="0" autoLine="0" autoPict="0" linkedCell="M2" r:id="rId11">
            <anchor moveWithCells="1">
              <from>
                <xdr:col>3</xdr:col>
                <xdr:colOff>182880</xdr:colOff>
                <xdr:row>11</xdr:row>
                <xdr:rowOff>60960</xdr:rowOff>
              </from>
              <to>
                <xdr:col>4</xdr:col>
                <xdr:colOff>83820</xdr:colOff>
                <xdr:row>12</xdr:row>
                <xdr:rowOff>121920</xdr:rowOff>
              </to>
            </anchor>
          </controlPr>
        </control>
      </mc:Choice>
      <mc:Fallback>
        <control shapeId="70676" r:id="rId10" name="TextBox2"/>
      </mc:Fallback>
    </mc:AlternateContent>
    <mc:AlternateContent xmlns:mc="http://schemas.openxmlformats.org/markup-compatibility/2006">
      <mc:Choice Requires="x14">
        <control shapeId="70677" r:id="rId12" name="TextBox3">
          <controlPr defaultSize="0" autoLine="0" autoPict="0" linkedCell="M3" r:id="rId13">
            <anchor moveWithCells="1">
              <from>
                <xdr:col>5</xdr:col>
                <xdr:colOff>7620</xdr:colOff>
                <xdr:row>13</xdr:row>
                <xdr:rowOff>152400</xdr:rowOff>
              </from>
              <to>
                <xdr:col>8</xdr:col>
                <xdr:colOff>190500</xdr:colOff>
                <xdr:row>15</xdr:row>
                <xdr:rowOff>22860</xdr:rowOff>
              </to>
            </anchor>
          </controlPr>
        </control>
      </mc:Choice>
      <mc:Fallback>
        <control shapeId="70677" r:id="rId12" name="TextBox3"/>
      </mc:Fallback>
    </mc:AlternateContent>
    <mc:AlternateContent xmlns:mc="http://schemas.openxmlformats.org/markup-compatibility/2006">
      <mc:Choice Requires="x14">
        <control shapeId="70678" r:id="rId14" name="TextBox4">
          <controlPr defaultSize="0" autoLine="0" linkedCell="N3" r:id="rId15">
            <anchor moveWithCells="1">
              <from>
                <xdr:col>8</xdr:col>
                <xdr:colOff>228600</xdr:colOff>
                <xdr:row>13</xdr:row>
                <xdr:rowOff>160020</xdr:rowOff>
              </from>
              <to>
                <xdr:col>9</xdr:col>
                <xdr:colOff>373380</xdr:colOff>
                <xdr:row>15</xdr:row>
                <xdr:rowOff>45720</xdr:rowOff>
              </to>
            </anchor>
          </controlPr>
        </control>
      </mc:Choice>
      <mc:Fallback>
        <control shapeId="70678" r:id="rId14" name="TextBox4"/>
      </mc:Fallback>
    </mc:AlternateContent>
    <mc:AlternateContent xmlns:mc="http://schemas.openxmlformats.org/markup-compatibility/2006">
      <mc:Choice Requires="x14">
        <control shapeId="70679" r:id="rId16" name="TextBox5">
          <controlPr defaultSize="0" autoLine="0" autoPict="0" linkedCell="O3" r:id="rId17">
            <anchor moveWithCells="1">
              <from>
                <xdr:col>9</xdr:col>
                <xdr:colOff>487680</xdr:colOff>
                <xdr:row>13</xdr:row>
                <xdr:rowOff>167640</xdr:rowOff>
              </from>
              <to>
                <xdr:col>10</xdr:col>
                <xdr:colOff>731520</xdr:colOff>
                <xdr:row>15</xdr:row>
                <xdr:rowOff>38100</xdr:rowOff>
              </to>
            </anchor>
          </controlPr>
        </control>
      </mc:Choice>
      <mc:Fallback>
        <control shapeId="70679" r:id="rId16" name="TextBox5"/>
      </mc:Fallback>
    </mc:AlternateContent>
    <mc:AlternateContent xmlns:mc="http://schemas.openxmlformats.org/markup-compatibility/2006">
      <mc:Choice Requires="x14">
        <control shapeId="70680" r:id="rId18" name="TextBox6">
          <controlPr defaultSize="0" autoLine="0" autoPict="0" linkedCell="M4" r:id="rId13">
            <anchor moveWithCells="1">
              <from>
                <xdr:col>5</xdr:col>
                <xdr:colOff>0</xdr:colOff>
                <xdr:row>15</xdr:row>
                <xdr:rowOff>160020</xdr:rowOff>
              </from>
              <to>
                <xdr:col>8</xdr:col>
                <xdr:colOff>175260</xdr:colOff>
                <xdr:row>17</xdr:row>
                <xdr:rowOff>30480</xdr:rowOff>
              </to>
            </anchor>
          </controlPr>
        </control>
      </mc:Choice>
      <mc:Fallback>
        <control shapeId="70680" r:id="rId18" name="TextBox6"/>
      </mc:Fallback>
    </mc:AlternateContent>
    <mc:AlternateContent xmlns:mc="http://schemas.openxmlformats.org/markup-compatibility/2006">
      <mc:Choice Requires="x14">
        <control shapeId="70681" r:id="rId19" name="TextBox7">
          <controlPr defaultSize="0" autoLine="0" autoPict="0" linkedCell="N4" r:id="rId15">
            <anchor moveWithCells="1">
              <from>
                <xdr:col>8</xdr:col>
                <xdr:colOff>213360</xdr:colOff>
                <xdr:row>15</xdr:row>
                <xdr:rowOff>167640</xdr:rowOff>
              </from>
              <to>
                <xdr:col>9</xdr:col>
                <xdr:colOff>381000</xdr:colOff>
                <xdr:row>17</xdr:row>
                <xdr:rowOff>38100</xdr:rowOff>
              </to>
            </anchor>
          </controlPr>
        </control>
      </mc:Choice>
      <mc:Fallback>
        <control shapeId="70681" r:id="rId19" name="TextBox7"/>
      </mc:Fallback>
    </mc:AlternateContent>
    <mc:AlternateContent xmlns:mc="http://schemas.openxmlformats.org/markup-compatibility/2006">
      <mc:Choice Requires="x14">
        <control shapeId="70682" r:id="rId20" name="TextBox8">
          <controlPr defaultSize="0" autoLine="0" autoPict="0" linkedCell="O4" r:id="rId17">
            <anchor moveWithCells="1">
              <from>
                <xdr:col>9</xdr:col>
                <xdr:colOff>480060</xdr:colOff>
                <xdr:row>15</xdr:row>
                <xdr:rowOff>182880</xdr:rowOff>
              </from>
              <to>
                <xdr:col>10</xdr:col>
                <xdr:colOff>723900</xdr:colOff>
                <xdr:row>17</xdr:row>
                <xdr:rowOff>45720</xdr:rowOff>
              </to>
            </anchor>
          </controlPr>
        </control>
      </mc:Choice>
      <mc:Fallback>
        <control shapeId="70682" r:id="rId20" name="TextBox8"/>
      </mc:Fallback>
    </mc:AlternateContent>
    <mc:AlternateContent xmlns:mc="http://schemas.openxmlformats.org/markup-compatibility/2006">
      <mc:Choice Requires="x14">
        <control shapeId="70683" r:id="rId21" name="TextBox9">
          <controlPr defaultSize="0" autoLine="0" autoPict="0" linkedCell="M5" r:id="rId22">
            <anchor moveWithCells="1">
              <from>
                <xdr:col>4</xdr:col>
                <xdr:colOff>548640</xdr:colOff>
                <xdr:row>17</xdr:row>
                <xdr:rowOff>175260</xdr:rowOff>
              </from>
              <to>
                <xdr:col>8</xdr:col>
                <xdr:colOff>175260</xdr:colOff>
                <xdr:row>19</xdr:row>
                <xdr:rowOff>38100</xdr:rowOff>
              </to>
            </anchor>
          </controlPr>
        </control>
      </mc:Choice>
      <mc:Fallback>
        <control shapeId="70683" r:id="rId21" name="TextBox9"/>
      </mc:Fallback>
    </mc:AlternateContent>
    <mc:AlternateContent xmlns:mc="http://schemas.openxmlformats.org/markup-compatibility/2006">
      <mc:Choice Requires="x14">
        <control shapeId="70684" r:id="rId23" name="TextBox10">
          <controlPr defaultSize="0" autoLine="0" autoPict="0" linkedCell="N5" r:id="rId24">
            <anchor moveWithCells="1">
              <from>
                <xdr:col>8</xdr:col>
                <xdr:colOff>213360</xdr:colOff>
                <xdr:row>17</xdr:row>
                <xdr:rowOff>182880</xdr:rowOff>
              </from>
              <to>
                <xdr:col>9</xdr:col>
                <xdr:colOff>373380</xdr:colOff>
                <xdr:row>19</xdr:row>
                <xdr:rowOff>45720</xdr:rowOff>
              </to>
            </anchor>
          </controlPr>
        </control>
      </mc:Choice>
      <mc:Fallback>
        <control shapeId="70684" r:id="rId23" name="TextBox10"/>
      </mc:Fallback>
    </mc:AlternateContent>
    <mc:AlternateContent xmlns:mc="http://schemas.openxmlformats.org/markup-compatibility/2006">
      <mc:Choice Requires="x14">
        <control shapeId="70685" r:id="rId25" name="TextBox11">
          <controlPr defaultSize="0" autoLine="0" autoPict="0" linkedCell="O5" r:id="rId17">
            <anchor moveWithCells="1">
              <from>
                <xdr:col>9</xdr:col>
                <xdr:colOff>472440</xdr:colOff>
                <xdr:row>18</xdr:row>
                <xdr:rowOff>7620</xdr:rowOff>
              </from>
              <to>
                <xdr:col>10</xdr:col>
                <xdr:colOff>716280</xdr:colOff>
                <xdr:row>19</xdr:row>
                <xdr:rowOff>60960</xdr:rowOff>
              </to>
            </anchor>
          </controlPr>
        </control>
      </mc:Choice>
      <mc:Fallback>
        <control shapeId="70685" r:id="rId25" name="TextBox11"/>
      </mc:Fallback>
    </mc:AlternateContent>
    <mc:AlternateContent xmlns:mc="http://schemas.openxmlformats.org/markup-compatibility/2006">
      <mc:Choice Requires="x14">
        <control shapeId="70686" r:id="rId26" name="TextBox12">
          <controlPr defaultSize="0" autoLine="0" autoPict="0" linkedCell="M6" r:id="rId13">
            <anchor moveWithCells="1">
              <from>
                <xdr:col>5</xdr:col>
                <xdr:colOff>0</xdr:colOff>
                <xdr:row>19</xdr:row>
                <xdr:rowOff>137160</xdr:rowOff>
              </from>
              <to>
                <xdr:col>8</xdr:col>
                <xdr:colOff>175260</xdr:colOff>
                <xdr:row>21</xdr:row>
                <xdr:rowOff>0</xdr:rowOff>
              </to>
            </anchor>
          </controlPr>
        </control>
      </mc:Choice>
      <mc:Fallback>
        <control shapeId="70686" r:id="rId26" name="TextBox12"/>
      </mc:Fallback>
    </mc:AlternateContent>
    <mc:AlternateContent xmlns:mc="http://schemas.openxmlformats.org/markup-compatibility/2006">
      <mc:Choice Requires="x14">
        <control shapeId="70687" r:id="rId27" name="TextBox13">
          <controlPr defaultSize="0" autoLine="0" autoPict="0" linkedCell="N6" r:id="rId15">
            <anchor moveWithCells="1">
              <from>
                <xdr:col>8</xdr:col>
                <xdr:colOff>213360</xdr:colOff>
                <xdr:row>19</xdr:row>
                <xdr:rowOff>144780</xdr:rowOff>
              </from>
              <to>
                <xdr:col>9</xdr:col>
                <xdr:colOff>381000</xdr:colOff>
                <xdr:row>21</xdr:row>
                <xdr:rowOff>7620</xdr:rowOff>
              </to>
            </anchor>
          </controlPr>
        </control>
      </mc:Choice>
      <mc:Fallback>
        <control shapeId="70687" r:id="rId27" name="TextBox13"/>
      </mc:Fallback>
    </mc:AlternateContent>
    <mc:AlternateContent xmlns:mc="http://schemas.openxmlformats.org/markup-compatibility/2006">
      <mc:Choice Requires="x14">
        <control shapeId="70688" r:id="rId28" name="TextBox14">
          <controlPr defaultSize="0" autoLine="0" autoPict="0" linkedCell="O6" r:id="rId17">
            <anchor moveWithCells="1">
              <from>
                <xdr:col>9</xdr:col>
                <xdr:colOff>480060</xdr:colOff>
                <xdr:row>19</xdr:row>
                <xdr:rowOff>152400</xdr:rowOff>
              </from>
              <to>
                <xdr:col>10</xdr:col>
                <xdr:colOff>723900</xdr:colOff>
                <xdr:row>21</xdr:row>
                <xdr:rowOff>22860</xdr:rowOff>
              </to>
            </anchor>
          </controlPr>
        </control>
      </mc:Choice>
      <mc:Fallback>
        <control shapeId="70688" r:id="rId28" name="TextBox14"/>
      </mc:Fallback>
    </mc:AlternateContent>
    <mc:AlternateContent xmlns:mc="http://schemas.openxmlformats.org/markup-compatibility/2006">
      <mc:Choice Requires="x14">
        <control shapeId="70692" r:id="rId29" name="TextBox15">
          <controlPr defaultSize="0" autoLine="0" autoPict="0" linkedCell="N7" r:id="rId30">
            <anchor moveWithCells="1">
              <from>
                <xdr:col>3</xdr:col>
                <xdr:colOff>297180</xdr:colOff>
                <xdr:row>5</xdr:row>
                <xdr:rowOff>144780</xdr:rowOff>
              </from>
              <to>
                <xdr:col>4</xdr:col>
                <xdr:colOff>198120</xdr:colOff>
                <xdr:row>6</xdr:row>
                <xdr:rowOff>182880</xdr:rowOff>
              </to>
            </anchor>
          </controlPr>
        </control>
      </mc:Choice>
      <mc:Fallback>
        <control shapeId="70692" r:id="rId29" name="TextBox15"/>
      </mc:Fallback>
    </mc:AlternateContent>
    <mc:AlternateContent xmlns:mc="http://schemas.openxmlformats.org/markup-compatibility/2006">
      <mc:Choice Requires="x14">
        <control shapeId="70695" r:id="rId31" name="eQUIPDOLLYBOTN">
          <controlPr defaultSize="0" autoLine="0" r:id="rId32">
            <anchor moveWithCells="1">
              <from>
                <xdr:col>9</xdr:col>
                <xdr:colOff>68580</xdr:colOff>
                <xdr:row>2</xdr:row>
                <xdr:rowOff>30480</xdr:rowOff>
              </from>
              <to>
                <xdr:col>10</xdr:col>
                <xdr:colOff>586740</xdr:colOff>
                <xdr:row>4</xdr:row>
                <xdr:rowOff>53340</xdr:rowOff>
              </to>
            </anchor>
          </controlPr>
        </control>
      </mc:Choice>
      <mc:Fallback>
        <control shapeId="70695" r:id="rId31" name="eQUIPDOLLYBOTN"/>
      </mc:Fallback>
    </mc:AlternateContent>
    <mc:AlternateContent xmlns:mc="http://schemas.openxmlformats.org/markup-compatibility/2006">
      <mc:Choice Requires="x14">
        <control shapeId="70699" r:id="rId33" name="TextBox16">
          <controlPr defaultSize="0" autoLine="0" autoPict="0" linkedCell="N8" r:id="rId7">
            <anchor moveWithCells="1">
              <from>
                <xdr:col>3</xdr:col>
                <xdr:colOff>160020</xdr:colOff>
                <xdr:row>18</xdr:row>
                <xdr:rowOff>60960</xdr:rowOff>
              </from>
              <to>
                <xdr:col>4</xdr:col>
                <xdr:colOff>60960</xdr:colOff>
                <xdr:row>19</xdr:row>
                <xdr:rowOff>99060</xdr:rowOff>
              </to>
            </anchor>
          </controlPr>
        </control>
      </mc:Choice>
      <mc:Fallback>
        <control shapeId="70699" r:id="rId33" name="TextBox16"/>
      </mc:Fallback>
    </mc:AlternateContent>
    <mc:AlternateContent xmlns:mc="http://schemas.openxmlformats.org/markup-compatibility/2006">
      <mc:Choice Requires="x14">
        <control shapeId="70702" r:id="rId34" name="TextBox17">
          <controlPr defaultSize="0" autoLine="0" autoPict="0" linkedCell="N9" r:id="rId7">
            <anchor moveWithCells="1">
              <from>
                <xdr:col>3</xdr:col>
                <xdr:colOff>167640</xdr:colOff>
                <xdr:row>21</xdr:row>
                <xdr:rowOff>160020</xdr:rowOff>
              </from>
              <to>
                <xdr:col>4</xdr:col>
                <xdr:colOff>68580</xdr:colOff>
                <xdr:row>23</xdr:row>
                <xdr:rowOff>7620</xdr:rowOff>
              </to>
            </anchor>
          </controlPr>
        </control>
      </mc:Choice>
      <mc:Fallback>
        <control shapeId="70702" r:id="rId34" name="TextBox17"/>
      </mc:Fallback>
    </mc:AlternateContent>
    <mc:AlternateContent xmlns:mc="http://schemas.openxmlformats.org/markup-compatibility/2006">
      <mc:Choice Requires="x14">
        <control shapeId="70704" r:id="rId35" name="TextBox18">
          <controlPr defaultSize="0" autoLine="0" autoPict="0" linkedCell="N11" r:id="rId36">
            <anchor moveWithCells="1">
              <from>
                <xdr:col>3</xdr:col>
                <xdr:colOff>137160</xdr:colOff>
                <xdr:row>23</xdr:row>
                <xdr:rowOff>144780</xdr:rowOff>
              </from>
              <to>
                <xdr:col>4</xdr:col>
                <xdr:colOff>38100</xdr:colOff>
                <xdr:row>24</xdr:row>
                <xdr:rowOff>182880</xdr:rowOff>
              </to>
            </anchor>
          </controlPr>
        </control>
      </mc:Choice>
      <mc:Fallback>
        <control shapeId="70704" r:id="rId35" name="TextBox18"/>
      </mc:Fallback>
    </mc:AlternateContent>
    <mc:AlternateContent xmlns:mc="http://schemas.openxmlformats.org/markup-compatibility/2006">
      <mc:Choice Requires="x14">
        <control shapeId="70657" r:id="rId37" name="Drop Down 1">
          <controlPr defaultSize="0" autoLine="0" autoPict="0">
            <anchor moveWithCells="1">
              <from>
                <xdr:col>0</xdr:col>
                <xdr:colOff>76200</xdr:colOff>
                <xdr:row>9</xdr:row>
                <xdr:rowOff>121920</xdr:rowOff>
              </from>
              <to>
                <xdr:col>3</xdr:col>
                <xdr:colOff>99060</xdr:colOff>
                <xdr:row>10</xdr:row>
                <xdr:rowOff>137160</xdr:rowOff>
              </to>
            </anchor>
          </controlPr>
        </control>
      </mc:Choice>
    </mc:AlternateContent>
    <mc:AlternateContent xmlns:mc="http://schemas.openxmlformats.org/markup-compatibility/2006">
      <mc:Choice Requires="x14">
        <control shapeId="70658" r:id="rId38" name="Drop Down 2">
          <controlPr defaultSize="0" autoLine="0" autoPict="0">
            <anchor moveWithCells="1">
              <from>
                <xdr:col>0</xdr:col>
                <xdr:colOff>68580</xdr:colOff>
                <xdr:row>11</xdr:row>
                <xdr:rowOff>60960</xdr:rowOff>
              </from>
              <to>
                <xdr:col>3</xdr:col>
                <xdr:colOff>83820</xdr:colOff>
                <xdr:row>12</xdr:row>
                <xdr:rowOff>91440</xdr:rowOff>
              </to>
            </anchor>
          </controlPr>
        </control>
      </mc:Choice>
    </mc:AlternateContent>
    <mc:AlternateContent xmlns:mc="http://schemas.openxmlformats.org/markup-compatibility/2006">
      <mc:Choice Requires="x14">
        <control shapeId="70691" r:id="rId39" name="Drop Down 35">
          <controlPr defaultSize="0" autoLine="0" autoPict="0">
            <anchor moveWithCells="1">
              <from>
                <xdr:col>0</xdr:col>
                <xdr:colOff>198120</xdr:colOff>
                <xdr:row>5</xdr:row>
                <xdr:rowOff>167640</xdr:rowOff>
              </from>
              <to>
                <xdr:col>3</xdr:col>
                <xdr:colOff>220980</xdr:colOff>
                <xdr:row>6</xdr:row>
                <xdr:rowOff>182880</xdr:rowOff>
              </to>
            </anchor>
          </controlPr>
        </control>
      </mc:Choice>
    </mc:AlternateContent>
    <mc:AlternateContent xmlns:mc="http://schemas.openxmlformats.org/markup-compatibility/2006">
      <mc:Choice Requires="x14">
        <control shapeId="70698" r:id="rId40" name="Drop Down 42">
          <controlPr defaultSize="0" autoLine="0" autoPict="0">
            <anchor moveWithCells="1">
              <from>
                <xdr:col>0</xdr:col>
                <xdr:colOff>38100</xdr:colOff>
                <xdr:row>18</xdr:row>
                <xdr:rowOff>60960</xdr:rowOff>
              </from>
              <to>
                <xdr:col>3</xdr:col>
                <xdr:colOff>60960</xdr:colOff>
                <xdr:row>19</xdr:row>
                <xdr:rowOff>68580</xdr:rowOff>
              </to>
            </anchor>
          </controlPr>
        </control>
      </mc:Choice>
    </mc:AlternateContent>
    <mc:AlternateContent xmlns:mc="http://schemas.openxmlformats.org/markup-compatibility/2006">
      <mc:Choice Requires="x14">
        <control shapeId="70701" r:id="rId41" name="Drop Down 45">
          <controlPr defaultSize="0" autoLine="0" autoPict="0">
            <anchor moveWithCells="1">
              <from>
                <xdr:col>0</xdr:col>
                <xdr:colOff>45720</xdr:colOff>
                <xdr:row>21</xdr:row>
                <xdr:rowOff>160020</xdr:rowOff>
              </from>
              <to>
                <xdr:col>3</xdr:col>
                <xdr:colOff>68580</xdr:colOff>
                <xdr:row>22</xdr:row>
                <xdr:rowOff>167640</xdr:rowOff>
              </to>
            </anchor>
          </controlPr>
        </control>
      </mc:Choice>
    </mc:AlternateContent>
    <mc:AlternateContent xmlns:mc="http://schemas.openxmlformats.org/markup-compatibility/2006">
      <mc:Choice Requires="x14">
        <control shapeId="70703" r:id="rId42" name="Drop Down 47">
          <controlPr defaultSize="0" autoLine="0" autoPict="0">
            <anchor moveWithCells="1">
              <from>
                <xdr:col>0</xdr:col>
                <xdr:colOff>22860</xdr:colOff>
                <xdr:row>23</xdr:row>
                <xdr:rowOff>144780</xdr:rowOff>
              </from>
              <to>
                <xdr:col>3</xdr:col>
                <xdr:colOff>38100</xdr:colOff>
                <xdr:row>24</xdr:row>
                <xdr:rowOff>152400</xdr:rowOff>
              </to>
            </anchor>
          </controlPr>
        </control>
      </mc:Choice>
    </mc:AlternateContent>
    <mc:AlternateContent xmlns:mc="http://schemas.openxmlformats.org/markup-compatibility/2006">
      <mc:Choice Requires="x14">
        <control shapeId="70707" r:id="rId43" name="Button 51">
          <controlPr defaultSize="0" print="0" autoFill="0" autoPict="0" macro="[0]!FORM_DOLLY">
            <anchor moveWithCells="1" sizeWithCells="1">
              <from>
                <xdr:col>8</xdr:col>
                <xdr:colOff>198120</xdr:colOff>
                <xdr:row>4</xdr:row>
                <xdr:rowOff>121920</xdr:rowOff>
              </from>
              <to>
                <xdr:col>10</xdr:col>
                <xdr:colOff>723900</xdr:colOff>
                <xdr:row>6</xdr:row>
                <xdr:rowOff>182880</xdr:rowOff>
              </to>
            </anchor>
          </controlPr>
        </control>
      </mc:Choice>
    </mc:AlternateContent>
    <mc:AlternateContent xmlns:mc="http://schemas.openxmlformats.org/markup-compatibility/2006">
      <mc:Choice Requires="x14">
        <control shapeId="70708" r:id="rId44" name="Drop Down 52">
          <controlPr defaultSize="0" autoLine="0" autoPict="0">
            <anchor moveWithCells="1">
              <from>
                <xdr:col>0</xdr:col>
                <xdr:colOff>30480</xdr:colOff>
                <xdr:row>19</xdr:row>
                <xdr:rowOff>182880</xdr:rowOff>
              </from>
              <to>
                <xdr:col>3</xdr:col>
                <xdr:colOff>45720</xdr:colOff>
                <xdr:row>21</xdr:row>
                <xdr:rowOff>0</xdr:rowOff>
              </to>
            </anchor>
          </controlPr>
        </control>
      </mc:Choice>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A7A64-53A0-4F3A-A256-398D62A0CAA9}">
  <sheetPr codeName="Hoja9">
    <tabColor rgb="FF99FFCC"/>
    <pageSetUpPr fitToPage="1"/>
  </sheetPr>
  <dimension ref="A1:M58"/>
  <sheetViews>
    <sheetView zoomScale="70" zoomScaleNormal="126" workbookViewId="0">
      <pane xSplit="9" ySplit="6" topLeftCell="J26" activePane="bottomRight" state="frozen"/>
      <selection pane="topRight" activeCell="J1" sqref="J1"/>
      <selection pane="bottomLeft" activeCell="A7" sqref="A7"/>
      <selection pane="bottomRight" activeCell="N29" sqref="N29"/>
    </sheetView>
  </sheetViews>
  <sheetFormatPr baseColWidth="10" defaultRowHeight="14.4"/>
  <cols>
    <col min="1" max="1" width="6.6640625" customWidth="1"/>
    <col min="2" max="2" width="38.44140625" bestFit="1" customWidth="1"/>
    <col min="4" max="4" width="15.109375" customWidth="1"/>
    <col min="5" max="5" width="3" customWidth="1"/>
    <col min="6" max="6" width="6.6640625" customWidth="1"/>
    <col min="7" max="7" width="28.109375" bestFit="1" customWidth="1"/>
    <col min="8" max="8" width="12.88671875" customWidth="1"/>
    <col min="9" max="9" width="13.109375" customWidth="1"/>
  </cols>
  <sheetData>
    <row r="1" spans="1:11">
      <c r="A1" s="35" t="str" cm="1">
        <f t="array" ref="A1">INDEX(Tabla54[NOMBRE],PRODUCTOS!CB7)</f>
        <v>DOLLY 2 3.5 FT</v>
      </c>
      <c r="B1" s="23" t="s">
        <v>2288</v>
      </c>
      <c r="D1" t="s">
        <v>497</v>
      </c>
      <c r="G1" s="1" t="s">
        <v>514</v>
      </c>
      <c r="H1" t="s">
        <v>512</v>
      </c>
      <c r="K1" s="35" t="str">
        <f ca="1">_xlfn.CONCAT("PRESUPUESTO","",B2," ",G1,"",G2)</f>
        <v>PRESUPUESTO(Varios elementos) No. FOLIOPD-22-09-26-0</v>
      </c>
    </row>
    <row r="2" spans="1:11">
      <c r="B2" t="str" vm="54">
        <f>'eQUPAMIENTO DOLLY'!Q2</f>
        <v>(Varios elementos)</v>
      </c>
      <c r="D2" s="198">
        <f ca="1">TODAY()</f>
        <v>46287</v>
      </c>
      <c r="G2" s="1" t="str">
        <f ca="1">'eQUPAMIENTO DOLLY'!G2</f>
        <v>PD-22-09-26-0</v>
      </c>
      <c r="H2" s="1" t="str">
        <f>'eQUPAMIENTO DOLLY'!N7</f>
        <v>1</v>
      </c>
    </row>
    <row r="3" spans="1:11">
      <c r="A3" s="671" t="str">
        <f>_xlfn.CONCAT("PRESUPUESTO DE DOLLY"," ","CON"," ",A25," ",B25,", "," ",B24,","," ",F48," ",G48,","," ",F45," ",G45,","," ",F46," ",G46,","," ",F47," ",G47)</f>
        <v>PRESUPUESTO DE DOLLY CON 2 EJES FLEET MASTER,  SUSPENSIÓN ALTA HENDRICKSON, 1 SISTEMA RETRÁCTIL,  SIN RINES,  SIN RINES,  SIN LLANTAS</v>
      </c>
      <c r="B3" s="671"/>
      <c r="C3" s="671"/>
      <c r="D3" s="671"/>
      <c r="E3" s="671"/>
      <c r="F3" s="671"/>
      <c r="G3" s="671"/>
      <c r="H3" s="671"/>
      <c r="I3" s="671"/>
    </row>
    <row r="4" spans="1:11">
      <c r="A4" s="671"/>
      <c r="B4" s="671"/>
      <c r="C4" s="671"/>
      <c r="D4" s="671"/>
      <c r="E4" s="671"/>
      <c r="F4" s="671"/>
      <c r="G4" s="671"/>
      <c r="H4" s="671"/>
      <c r="I4" s="671"/>
    </row>
    <row r="5" spans="1:11">
      <c r="A5" s="671"/>
      <c r="B5" s="671"/>
      <c r="C5" s="671"/>
      <c r="D5" s="671"/>
      <c r="E5" s="671"/>
      <c r="F5" s="671"/>
      <c r="G5" s="671"/>
      <c r="H5" s="671"/>
      <c r="I5" s="671"/>
    </row>
    <row r="7" spans="1:11">
      <c r="A7" s="678" t="s">
        <v>502</v>
      </c>
      <c r="B7" s="678"/>
      <c r="C7" s="678"/>
      <c r="D7" s="678"/>
      <c r="F7" s="674" t="s">
        <v>506</v>
      </c>
      <c r="G7" s="674"/>
      <c r="H7" s="674"/>
      <c r="I7" s="674"/>
    </row>
    <row r="8" spans="1:11">
      <c r="A8" s="209" t="s">
        <v>50</v>
      </c>
      <c r="B8" s="209" t="s">
        <v>77</v>
      </c>
      <c r="C8" s="209" t="s">
        <v>408</v>
      </c>
      <c r="D8" s="209" t="s">
        <v>2</v>
      </c>
      <c r="F8" s="209" t="s">
        <v>50</v>
      </c>
      <c r="G8" s="215" t="s">
        <v>77</v>
      </c>
      <c r="H8" s="222" t="s">
        <v>408</v>
      </c>
      <c r="I8" s="215" t="s">
        <v>2</v>
      </c>
    </row>
    <row r="9" spans="1:11">
      <c r="A9" s="210">
        <v>2</v>
      </c>
      <c r="B9" s="211" t="s">
        <v>1244</v>
      </c>
      <c r="C9" s="212">
        <v>1736.25</v>
      </c>
      <c r="D9" s="213">
        <f>A9*C9</f>
        <v>3472.5</v>
      </c>
      <c r="F9" s="211">
        <v>4</v>
      </c>
      <c r="G9" s="212" t="s">
        <v>229</v>
      </c>
      <c r="H9" s="212">
        <f>INDEX(Tabla62[],MATCH('PRES DOLLY'!G9,Tabla62[MATERIAL / ACCESORIO],0),MATCH('PRES DOLLY'!$H$8,Tabla62[#Headers],0))</f>
        <v>2146</v>
      </c>
      <c r="I9" s="212">
        <f>F9*H9</f>
        <v>8584</v>
      </c>
    </row>
    <row r="10" spans="1:11">
      <c r="A10" s="210" t="s">
        <v>1307</v>
      </c>
      <c r="B10" s="211" t="s">
        <v>1245</v>
      </c>
      <c r="C10" s="212">
        <v>67.77</v>
      </c>
      <c r="D10" s="213">
        <f>C10</f>
        <v>67.77</v>
      </c>
      <c r="F10" s="211">
        <v>4</v>
      </c>
      <c r="G10" s="212" t="s">
        <v>230</v>
      </c>
      <c r="H10" s="212">
        <f>INDEX(Tabla62[],MATCH('PRES DOLLY'!G10,Tabla62[MATERIAL / ACCESORIO],0),MATCH('PRES DOLLY'!$H$8,Tabla62[#Headers],0))</f>
        <v>2146</v>
      </c>
      <c r="I10" s="212">
        <f>F10*H10</f>
        <v>8584</v>
      </c>
    </row>
    <row r="11" spans="1:11">
      <c r="A11" s="210">
        <v>6.2</v>
      </c>
      <c r="B11" s="211" t="s">
        <v>1246</v>
      </c>
      <c r="C11" s="212">
        <v>100</v>
      </c>
      <c r="D11" s="213">
        <f>C11*A11</f>
        <v>620</v>
      </c>
      <c r="F11" s="211">
        <v>2</v>
      </c>
      <c r="G11" s="212" t="s">
        <v>231</v>
      </c>
      <c r="H11" s="212">
        <f>INDEX(Tabla62[],MATCH('PRES DOLLY'!G11,Tabla62[MATERIAL / ACCESORIO],0),MATCH('PRES DOLLY'!$H$8,Tabla62[#Headers],0))</f>
        <v>986</v>
      </c>
      <c r="I11" s="212">
        <f>F11*H11</f>
        <v>1972</v>
      </c>
    </row>
    <row r="12" spans="1:11">
      <c r="A12" s="210">
        <v>1</v>
      </c>
      <c r="B12" s="211" t="s">
        <v>1309</v>
      </c>
      <c r="C12" s="212">
        <v>1250</v>
      </c>
      <c r="D12" s="213">
        <f t="shared" ref="D12:D17" si="0">C12*A12</f>
        <v>1250</v>
      </c>
      <c r="H12" s="214" t="s">
        <v>84</v>
      </c>
      <c r="I12" s="215">
        <f>SUM(I9:I11)</f>
        <v>19140</v>
      </c>
    </row>
    <row r="13" spans="1:11">
      <c r="A13" s="210">
        <v>1</v>
      </c>
      <c r="B13" s="216" t="s">
        <v>1308</v>
      </c>
      <c r="C13" s="212">
        <v>587.73</v>
      </c>
      <c r="D13" s="213">
        <f t="shared" si="0"/>
        <v>587.73</v>
      </c>
    </row>
    <row r="14" spans="1:11">
      <c r="A14" s="210">
        <v>1</v>
      </c>
      <c r="B14" s="211" t="s">
        <v>171</v>
      </c>
      <c r="C14" s="212">
        <v>145</v>
      </c>
      <c r="D14" s="213">
        <f t="shared" si="0"/>
        <v>145</v>
      </c>
      <c r="F14" s="674" t="s">
        <v>508</v>
      </c>
      <c r="G14" s="674"/>
      <c r="H14" s="674"/>
      <c r="I14" s="674"/>
    </row>
    <row r="15" spans="1:11">
      <c r="A15" s="210">
        <v>4</v>
      </c>
      <c r="B15" s="211" t="s">
        <v>1311</v>
      </c>
      <c r="C15" s="212">
        <v>197.8</v>
      </c>
      <c r="D15" s="213">
        <f t="shared" si="0"/>
        <v>791.2</v>
      </c>
      <c r="F15" s="214" t="s">
        <v>50</v>
      </c>
      <c r="G15" s="214" t="s">
        <v>77</v>
      </c>
      <c r="H15" s="220" t="s">
        <v>408</v>
      </c>
      <c r="I15" s="214" t="s">
        <v>2</v>
      </c>
    </row>
    <row r="16" spans="1:11">
      <c r="A16" s="362">
        <v>2</v>
      </c>
      <c r="B16" s="363" t="s">
        <v>1310</v>
      </c>
      <c r="C16" s="364">
        <v>86</v>
      </c>
      <c r="D16" s="365">
        <f t="shared" si="0"/>
        <v>172</v>
      </c>
      <c r="F16" s="211">
        <v>6</v>
      </c>
      <c r="G16" s="211" t="s">
        <v>232</v>
      </c>
      <c r="H16" s="212">
        <f>INDEX(Tabla60[],MATCH('PRES DOLLY'!G16,Tabla60[MATERIAL / ACCESORIO],0),MATCH('PRES DOLLY'!$H$15,Tabla60[#Headers],0))</f>
        <v>278.39999999999998</v>
      </c>
      <c r="I16" s="381">
        <f>F16*H16</f>
        <v>1670.3999999999999</v>
      </c>
    </row>
    <row r="17" spans="1:9" ht="15.6">
      <c r="A17" s="370">
        <v>1</v>
      </c>
      <c r="B17" s="371" t="s">
        <v>1312</v>
      </c>
      <c r="C17" s="372">
        <v>417.1</v>
      </c>
      <c r="D17" s="373">
        <f t="shared" si="0"/>
        <v>417.1</v>
      </c>
      <c r="F17" s="211"/>
      <c r="G17" s="211"/>
      <c r="H17" s="212"/>
      <c r="I17" s="212"/>
    </row>
    <row r="18" spans="1:9" ht="15.6">
      <c r="A18" s="374">
        <v>1</v>
      </c>
      <c r="B18" s="375" t="s">
        <v>1313</v>
      </c>
      <c r="C18" s="376">
        <v>178.45</v>
      </c>
      <c r="D18" s="377">
        <f>A18*C18</f>
        <v>178.45</v>
      </c>
      <c r="H18" s="214" t="s">
        <v>84</v>
      </c>
      <c r="I18" s="215">
        <f>SUM(I16:I17)</f>
        <v>1670.3999999999999</v>
      </c>
    </row>
    <row r="19" spans="1:9">
      <c r="A19" s="366">
        <v>1</v>
      </c>
      <c r="B19" s="367" t="s">
        <v>201</v>
      </c>
      <c r="C19" s="368">
        <v>14482.4</v>
      </c>
      <c r="D19" s="369">
        <f>A19*C19</f>
        <v>14482.4</v>
      </c>
    </row>
    <row r="20" spans="1:9">
      <c r="C20" s="214" t="s">
        <v>84</v>
      </c>
      <c r="D20" s="215">
        <f>SUM(D9:D19)</f>
        <v>22184.15</v>
      </c>
      <c r="F20" s="674" t="s">
        <v>509</v>
      </c>
      <c r="G20" s="674"/>
      <c r="H20" s="674"/>
      <c r="I20" s="674"/>
    </row>
    <row r="21" spans="1:9">
      <c r="F21" s="214" t="s">
        <v>50</v>
      </c>
      <c r="G21" s="217" t="s">
        <v>77</v>
      </c>
      <c r="H21" s="219" t="s">
        <v>408</v>
      </c>
      <c r="I21" s="217" t="s">
        <v>2</v>
      </c>
    </row>
    <row r="22" spans="1:9">
      <c r="A22" s="677" t="s">
        <v>503</v>
      </c>
      <c r="B22" s="677"/>
      <c r="C22" s="677"/>
      <c r="D22" s="677"/>
      <c r="F22" s="211">
        <v>1</v>
      </c>
      <c r="G22" s="212" t="s">
        <v>233</v>
      </c>
      <c r="H22" s="212">
        <f>INDEX(Tabla59[],MATCH('PRES DOLLY'!G22,Tabla59[MATERIAL / ACCESORIO],0),MATCH('PRES DOLLY'!$H$21,Tabla59[#Headers],0))</f>
        <v>1500</v>
      </c>
      <c r="I22" s="212">
        <f>F22*H22</f>
        <v>1500</v>
      </c>
    </row>
    <row r="23" spans="1:9">
      <c r="A23" s="209" t="s">
        <v>50</v>
      </c>
      <c r="B23" s="209" t="s">
        <v>77</v>
      </c>
      <c r="C23" s="209" t="s">
        <v>408</v>
      </c>
      <c r="D23" s="209" t="s">
        <v>2</v>
      </c>
      <c r="F23" s="211">
        <v>1</v>
      </c>
      <c r="G23" s="212" t="s">
        <v>234</v>
      </c>
      <c r="H23" s="212">
        <f>INDEX(Tabla59[],MATCH('PRES DOLLY'!G23,Tabla59[MATERIAL / ACCESORIO],0),MATCH('PRES DOLLY'!$H$21,Tabla59[#Headers],0))</f>
        <v>8000</v>
      </c>
      <c r="I23" s="212">
        <f>F23*H23</f>
        <v>8000</v>
      </c>
    </row>
    <row r="24" spans="1:9">
      <c r="A24" s="210" t="str">
        <f>'eQUPAMIENTO DOLLY'!M1</f>
        <v>2</v>
      </c>
      <c r="B24" s="211" t="str" cm="1">
        <f t="array" ref="B24">INDEX(SUSPENSIÓN[MATERIAL / ACCESORIO],TARIFARIO!A81)</f>
        <v>SUSPENSIÓN ALTA HENDRICKSON</v>
      </c>
      <c r="C24" s="212">
        <f>INDEX(SUSPENSIÓN[],MATCH('PRES DOLLY'!B24,SUSPENSIÓN[MATERIAL / ACCESORIO],0),MATCH('PRES DOLLY'!$C$23,SUSPENSIÓN[#Headers],0))</f>
        <v>43700</v>
      </c>
      <c r="D24" s="213">
        <f>A24*C24</f>
        <v>87400</v>
      </c>
      <c r="F24" s="211">
        <v>1</v>
      </c>
      <c r="G24" s="212" t="s">
        <v>1250</v>
      </c>
      <c r="H24" s="212">
        <v>2300</v>
      </c>
      <c r="I24" s="212">
        <f>F24*H24</f>
        <v>2300</v>
      </c>
    </row>
    <row r="25" spans="1:9">
      <c r="A25" s="210" t="str">
        <f>'eQUPAMIENTO DOLLY'!$M$2</f>
        <v>2</v>
      </c>
      <c r="B25" s="211" t="str" cm="1">
        <f t="array" ref="B25">INDEX(Tabla39[MATERIAL / ACCESORIO],TARIFARIO!A90)</f>
        <v>EJES FLEET MASTER</v>
      </c>
      <c r="C25" s="212">
        <f>INDEX(Tabla39[],MATCH('PRES DOLLY'!B25,Tabla39[MATERIAL / ACCESORIO],0),MATCH('PRES DOLLY'!$C$23,Tabla39[#Headers],0))</f>
        <v>20099.990000000002</v>
      </c>
      <c r="D25" s="213">
        <f t="shared" ref="D25:D31" si="1">A25*C25</f>
        <v>40199.980000000003</v>
      </c>
      <c r="F25" s="211">
        <v>2</v>
      </c>
      <c r="G25" s="212" t="s">
        <v>1251</v>
      </c>
      <c r="H25" s="212">
        <v>100</v>
      </c>
      <c r="I25" s="212">
        <f>F25*H25</f>
        <v>200</v>
      </c>
    </row>
    <row r="26" spans="1:9">
      <c r="A26" s="210">
        <v>1</v>
      </c>
      <c r="B26" s="211" t="s">
        <v>218</v>
      </c>
      <c r="C26" s="212">
        <v>29998.81</v>
      </c>
      <c r="D26" s="213">
        <f>A26*C26</f>
        <v>29998.81</v>
      </c>
      <c r="F26" s="211">
        <v>1</v>
      </c>
      <c r="G26" s="212" t="s">
        <v>163</v>
      </c>
      <c r="H26" s="212">
        <f>INDEX(Tabla59[],MATCH('PRES DOLLY'!G26,Tabla59[MATERIAL / ACCESORIO],0),MATCH('PRES DOLLY'!$H$21,Tabla59[#Headers],0))</f>
        <v>15000</v>
      </c>
      <c r="I26" s="212">
        <f>F26*H26</f>
        <v>15000</v>
      </c>
    </row>
    <row r="27" spans="1:9">
      <c r="A27" s="210">
        <v>1</v>
      </c>
      <c r="B27" s="211" t="s">
        <v>219</v>
      </c>
      <c r="C27" s="212">
        <f>INDEX(Tabla55[],MATCH('PRES DOLLY'!B27,Tabla55[MATERIAL / ACCESORIO],0),MATCH('PRES DOLLY'!$C$23,Tabla55[#Headers],0))</f>
        <v>4400</v>
      </c>
      <c r="D27" s="213">
        <f t="shared" si="1"/>
        <v>4400</v>
      </c>
      <c r="H27" s="214" t="s">
        <v>84</v>
      </c>
      <c r="I27" s="215">
        <f>SUM(I22:I26)</f>
        <v>27000</v>
      </c>
    </row>
    <row r="28" spans="1:9">
      <c r="A28" s="210">
        <v>1</v>
      </c>
      <c r="B28" s="211" t="s">
        <v>220</v>
      </c>
      <c r="C28" s="212">
        <f>INDEX(Tabla55[],MATCH('PRES DOLLY'!B28,Tabla55[MATERIAL / ACCESORIO],0),MATCH('PRES DOLLY'!$C$23,Tabla55[#Headers],0))</f>
        <v>650</v>
      </c>
      <c r="D28" s="213">
        <f t="shared" si="1"/>
        <v>650</v>
      </c>
      <c r="F28" s="674"/>
      <c r="G28" s="674"/>
      <c r="H28" s="674"/>
      <c r="I28" s="674"/>
    </row>
    <row r="29" spans="1:9">
      <c r="A29" s="210">
        <v>1</v>
      </c>
      <c r="B29" s="216" t="s">
        <v>221</v>
      </c>
      <c r="C29" s="212">
        <f>INDEX(Tabla55[],MATCH('PRES DOLLY'!B29,Tabla55[MATERIAL / ACCESORIO],0),MATCH('PRES DOLLY'!$C$23,Tabla55[#Headers],0))</f>
        <v>23000</v>
      </c>
      <c r="D29" s="213">
        <f t="shared" si="1"/>
        <v>23000</v>
      </c>
      <c r="F29" s="214" t="s">
        <v>50</v>
      </c>
      <c r="G29" s="217" t="s">
        <v>77</v>
      </c>
      <c r="H29" s="219" t="s">
        <v>408</v>
      </c>
      <c r="I29" s="217" t="s">
        <v>2</v>
      </c>
    </row>
    <row r="30" spans="1:9">
      <c r="A30" s="210">
        <v>1</v>
      </c>
      <c r="B30" s="211" t="s">
        <v>48</v>
      </c>
      <c r="C30" s="212">
        <v>948</v>
      </c>
      <c r="D30" s="213">
        <f t="shared" si="1"/>
        <v>948</v>
      </c>
      <c r="F30">
        <v>1</v>
      </c>
      <c r="G30" t="s">
        <v>1252</v>
      </c>
      <c r="H30" s="23">
        <v>80</v>
      </c>
      <c r="I30" s="246">
        <f>F30*H30</f>
        <v>80</v>
      </c>
    </row>
    <row r="31" spans="1:9">
      <c r="A31" s="210">
        <v>1</v>
      </c>
      <c r="B31" s="211" t="s">
        <v>61</v>
      </c>
      <c r="C31" s="212">
        <v>670</v>
      </c>
      <c r="D31" s="213">
        <f t="shared" si="1"/>
        <v>670</v>
      </c>
      <c r="F31">
        <v>2</v>
      </c>
      <c r="G31" t="s">
        <v>1253</v>
      </c>
      <c r="H31" s="23">
        <v>600</v>
      </c>
      <c r="I31" s="246">
        <f>F31*H31</f>
        <v>1200</v>
      </c>
    </row>
    <row r="32" spans="1:9">
      <c r="C32" s="217" t="s">
        <v>84</v>
      </c>
      <c r="D32" s="215">
        <f>SUM(D24:D31)</f>
        <v>187266.79</v>
      </c>
      <c r="H32" s="217" t="s">
        <v>84</v>
      </c>
      <c r="I32" s="217">
        <f>SUM(I30:I31)</f>
        <v>1280</v>
      </c>
    </row>
    <row r="34" spans="1:9">
      <c r="A34" s="674" t="s">
        <v>505</v>
      </c>
      <c r="B34" s="674"/>
      <c r="C34" s="674"/>
      <c r="D34" s="674"/>
      <c r="F34" s="674" t="s">
        <v>510</v>
      </c>
      <c r="G34" s="674"/>
      <c r="H34" s="674"/>
      <c r="I34" s="674"/>
    </row>
    <row r="35" spans="1:9">
      <c r="A35" s="209" t="s">
        <v>50</v>
      </c>
      <c r="B35" s="209" t="s">
        <v>77</v>
      </c>
      <c r="C35" s="209" t="s">
        <v>408</v>
      </c>
      <c r="D35" s="209" t="s">
        <v>2</v>
      </c>
      <c r="F35" s="209" t="s">
        <v>50</v>
      </c>
      <c r="G35" s="209" t="s">
        <v>77</v>
      </c>
      <c r="H35" s="209" t="s">
        <v>408</v>
      </c>
      <c r="I35" s="209" t="s">
        <v>2</v>
      </c>
    </row>
    <row r="36" spans="1:9">
      <c r="A36" s="211">
        <v>1</v>
      </c>
      <c r="B36" s="211" t="s">
        <v>53</v>
      </c>
      <c r="C36" s="212">
        <v>550</v>
      </c>
      <c r="D36" s="212">
        <f>A36*C36</f>
        <v>550</v>
      </c>
      <c r="F36" s="211">
        <v>1</v>
      </c>
      <c r="G36" s="211" t="s">
        <v>235</v>
      </c>
      <c r="H36" s="212">
        <f>INDEX(Tabla58[],MATCH('PRES DOLLY'!G36,Tabla58[MATERIAL / ACCESORIO],0),MATCH('PRES DOLLY'!$H$35,Tabla58[#Headers],0))</f>
        <v>300</v>
      </c>
      <c r="I36" s="213">
        <f t="shared" ref="I36:I41" si="2">F36*H36</f>
        <v>300</v>
      </c>
    </row>
    <row r="37" spans="1:9">
      <c r="A37" s="211">
        <v>1</v>
      </c>
      <c r="B37" s="211" t="s">
        <v>222</v>
      </c>
      <c r="C37" s="212">
        <v>995</v>
      </c>
      <c r="D37" s="212">
        <f t="shared" ref="D37:D42" si="3">A37*C37</f>
        <v>995</v>
      </c>
      <c r="F37" s="211">
        <v>1</v>
      </c>
      <c r="G37" s="211" t="s">
        <v>236</v>
      </c>
      <c r="H37" s="212">
        <f>INDEX(Tabla58[],MATCH('PRES DOLLY'!G37,Tabla58[MATERIAL / ACCESORIO],0),MATCH('PRES DOLLY'!$H$35,Tabla58[#Headers],0))</f>
        <v>800</v>
      </c>
      <c r="I37" s="213">
        <f t="shared" si="2"/>
        <v>800</v>
      </c>
    </row>
    <row r="38" spans="1:9">
      <c r="A38" s="211">
        <v>1</v>
      </c>
      <c r="B38" s="216" t="s">
        <v>223</v>
      </c>
      <c r="C38" s="212">
        <v>643</v>
      </c>
      <c r="D38" s="212">
        <f t="shared" si="3"/>
        <v>643</v>
      </c>
      <c r="F38" s="211">
        <v>1</v>
      </c>
      <c r="G38" s="211" t="s">
        <v>237</v>
      </c>
      <c r="H38" s="212">
        <f>INDEX(Tabla58[],MATCH('PRES DOLLY'!G38,Tabla58[MATERIAL / ACCESORIO],0),MATCH('PRES DOLLY'!$H$35,Tabla58[#Headers],0))</f>
        <v>2000</v>
      </c>
      <c r="I38" s="213">
        <f t="shared" si="2"/>
        <v>2000</v>
      </c>
    </row>
    <row r="39" spans="1:9">
      <c r="A39" s="211">
        <v>1</v>
      </c>
      <c r="B39" s="211" t="s">
        <v>224</v>
      </c>
      <c r="C39" s="212">
        <v>300</v>
      </c>
      <c r="D39" s="212">
        <f t="shared" si="3"/>
        <v>300</v>
      </c>
      <c r="F39" s="211">
        <v>1</v>
      </c>
      <c r="G39" s="211" t="s">
        <v>0</v>
      </c>
      <c r="H39" s="212">
        <f>INDEX(Tabla58[],MATCH('PRES DOLLY'!G39,Tabla58[MATERIAL / ACCESORIO],0),MATCH('PRES DOLLY'!$H$35,Tabla58[#Headers],0))</f>
        <v>15000</v>
      </c>
      <c r="I39" s="213">
        <f t="shared" si="2"/>
        <v>15000</v>
      </c>
    </row>
    <row r="40" spans="1:9">
      <c r="A40" s="211">
        <v>1</v>
      </c>
      <c r="B40" s="211" t="s">
        <v>225</v>
      </c>
      <c r="C40" s="212">
        <v>700</v>
      </c>
      <c r="D40" s="212">
        <f t="shared" si="3"/>
        <v>700</v>
      </c>
      <c r="F40" s="211">
        <v>1</v>
      </c>
      <c r="G40" s="211" t="s">
        <v>238</v>
      </c>
      <c r="H40" s="212">
        <f>INDEX(Tabla58[],MATCH('PRES DOLLY'!G40,Tabla58[MATERIAL / ACCESORIO],0),MATCH('PRES DOLLY'!$H$35,Tabla58[#Headers],0))</f>
        <v>300</v>
      </c>
      <c r="I40" s="213">
        <f t="shared" si="2"/>
        <v>300</v>
      </c>
    </row>
    <row r="41" spans="1:9">
      <c r="A41" s="211">
        <v>1</v>
      </c>
      <c r="B41" s="211" t="s">
        <v>226</v>
      </c>
      <c r="C41" s="212">
        <v>350</v>
      </c>
      <c r="D41" s="212">
        <f t="shared" si="3"/>
        <v>350</v>
      </c>
      <c r="F41" s="211">
        <v>1</v>
      </c>
      <c r="G41" s="211" t="s">
        <v>239</v>
      </c>
      <c r="H41" s="212">
        <f>INDEX(Tabla58[],MATCH('PRES DOLLY'!G41,Tabla58[MATERIAL / ACCESORIO],0),MATCH('PRES DOLLY'!$H$35,Tabla58[#Headers],0))</f>
        <v>1200</v>
      </c>
      <c r="I41" s="213">
        <f t="shared" si="2"/>
        <v>1200</v>
      </c>
    </row>
    <row r="42" spans="1:9">
      <c r="A42" s="211">
        <v>1</v>
      </c>
      <c r="B42" s="211" t="s">
        <v>68</v>
      </c>
      <c r="C42" s="212">
        <v>2500</v>
      </c>
      <c r="D42" s="212">
        <f t="shared" si="3"/>
        <v>2500</v>
      </c>
      <c r="H42" s="217" t="s">
        <v>84</v>
      </c>
      <c r="I42" s="217">
        <f>SUM(I36:I41)</f>
        <v>19600</v>
      </c>
    </row>
    <row r="43" spans="1:9">
      <c r="C43" s="214" t="s">
        <v>84</v>
      </c>
      <c r="D43" s="215">
        <f>SUM(D36:D42)</f>
        <v>6038</v>
      </c>
      <c r="H43" s="242"/>
      <c r="I43" s="242"/>
    </row>
    <row r="44" spans="1:9">
      <c r="F44" s="202"/>
      <c r="G44" s="202" t="s">
        <v>557</v>
      </c>
      <c r="H44" s="243" t="s">
        <v>408</v>
      </c>
      <c r="I44" s="243" t="s">
        <v>2</v>
      </c>
    </row>
    <row r="45" spans="1:9">
      <c r="A45" s="674" t="s">
        <v>507</v>
      </c>
      <c r="B45" s="674"/>
      <c r="C45" s="674"/>
      <c r="D45" s="674"/>
      <c r="F45" s="1" t="str">
        <f>'eQUPAMIENTO DOLLY'!N8</f>
        <v/>
      </c>
      <c r="G45" t="str" cm="1">
        <f t="array" ref="G45">INDEX(Tabla50[MATERIAL / ACCESORIO],TARIFARIO!A181)</f>
        <v>SIN RINES</v>
      </c>
      <c r="H45" s="245">
        <f>INDEX(Tabla50[],MATCH('PRES DOLLY'!G45,Tabla50[MATERIAL / ACCESORIO],0),MATCH('PRES DOLLY'!H44,Tabla50[#Headers],0))</f>
        <v>0</v>
      </c>
      <c r="I45" s="245" t="str">
        <f>IFERROR(F45*H45,"")</f>
        <v/>
      </c>
    </row>
    <row r="46" spans="1:9">
      <c r="A46" s="214" t="s">
        <v>50</v>
      </c>
      <c r="B46" s="214" t="s">
        <v>77</v>
      </c>
      <c r="C46" s="220" t="s">
        <v>408</v>
      </c>
      <c r="D46" s="214" t="s">
        <v>2</v>
      </c>
      <c r="F46" s="1" t="str">
        <f>'eQUPAMIENTO DOLLY'!N10</f>
        <v/>
      </c>
      <c r="G46" t="str" cm="1">
        <f t="array" ref="G46">INDEX(Tabla50[MATERIAL / ACCESORIO],TARIFARIO!A182)</f>
        <v>SIN RINES</v>
      </c>
      <c r="H46" s="245">
        <f>INDEX(Tabla50[],MATCH('PRES DOLLY'!G46,Tabla50[MATERIAL / ACCESORIO],0),MATCH('PRES DOLLY'!H44,Tabla50[#Headers],0))</f>
        <v>0</v>
      </c>
      <c r="I46" s="245" t="str">
        <f>IFERROR(F46*H46,"")</f>
        <v/>
      </c>
    </row>
    <row r="47" spans="1:9">
      <c r="A47" s="211">
        <v>1</v>
      </c>
      <c r="B47" s="211" t="s">
        <v>65</v>
      </c>
      <c r="C47" s="212">
        <f>INDEX(Tabla61[],MATCH('PRES DOLLY'!B47,Tabla61[MATERIAL / ACCESORIO],0),MATCH('PRES DOLLY'!$C$46,Tabla61[#Headers],0))</f>
        <v>6000</v>
      </c>
      <c r="D47" s="213">
        <f>A47*C47</f>
        <v>6000</v>
      </c>
      <c r="F47" s="1" t="str">
        <f>'eQUPAMIENTO DOLLY'!$N$9</f>
        <v/>
      </c>
      <c r="G47" t="str" cm="1">
        <f t="array" ref="G47">INDEX(Tabla51[MATERIAL / ACCESORIO],TARIFARIO!A187)</f>
        <v>SIN LLANTAS</v>
      </c>
      <c r="H47" s="245">
        <f>INDEX(Tabla51[],MATCH('PRES DOLLY'!G47,Tabla51[MATERIAL / ACCESORIO],0),MATCH('PRES DOLLY'!H44,Tabla51[#Headers],0))</f>
        <v>0</v>
      </c>
      <c r="I47" s="245" t="str">
        <f>IFERROR(F47*H47,"")</f>
        <v/>
      </c>
    </row>
    <row r="48" spans="1:9">
      <c r="A48" s="211"/>
      <c r="B48" s="221"/>
      <c r="C48" s="211"/>
      <c r="D48" s="211"/>
      <c r="F48" s="1" t="str">
        <f>'eQUPAMIENTO DOLLY'!N11</f>
        <v>1</v>
      </c>
      <c r="G48" t="str" cm="1">
        <f t="array" ref="G48">INDEX(RETRACTIL[RETRACTIL],'DATOS DE EQUIPAMIENTO'!AC7)</f>
        <v>SISTEMA RETRÁCTIL</v>
      </c>
      <c r="H48" s="245">
        <f>INDEX(Tabla47[],MATCH('PRES DOLLY'!G48,Tabla47[MATERIAL / ACCESORIO],0),MATCH('PRES DOLLY'!H44,Tabla47[#Headers],0))</f>
        <v>15000</v>
      </c>
      <c r="I48" s="245">
        <f>IFERROR(F48*H48,"")</f>
        <v>15000</v>
      </c>
    </row>
    <row r="49" spans="2:13">
      <c r="C49" s="214" t="s">
        <v>84</v>
      </c>
      <c r="D49" s="215">
        <f>SUM(D47:D48)</f>
        <v>6000</v>
      </c>
      <c r="H49" s="23" t="s">
        <v>84</v>
      </c>
      <c r="I49" s="246">
        <f>SUM(I45:I48)</f>
        <v>15000</v>
      </c>
    </row>
    <row r="50" spans="2:13">
      <c r="M50" t="s">
        <v>252</v>
      </c>
    </row>
    <row r="51" spans="2:13">
      <c r="F51" s="674" t="s">
        <v>511</v>
      </c>
      <c r="G51" s="674"/>
      <c r="H51" s="674"/>
      <c r="I51" s="674"/>
    </row>
    <row r="52" spans="2:13">
      <c r="F52" s="207" t="s">
        <v>50</v>
      </c>
      <c r="G52" s="207" t="s">
        <v>77</v>
      </c>
      <c r="H52" s="207" t="s">
        <v>408</v>
      </c>
      <c r="I52" s="207" t="s">
        <v>2</v>
      </c>
    </row>
    <row r="53" spans="2:13">
      <c r="F53" s="218" t="str">
        <f>'eQUPAMIENTO DOLLY'!N3</f>
        <v/>
      </c>
      <c r="G53" s="211" t="str">
        <f>'eQUPAMIENTO DOLLY'!M3</f>
        <v/>
      </c>
      <c r="H53" s="386" t="str">
        <f>'eQUPAMIENTO DOLLY'!O3</f>
        <v/>
      </c>
      <c r="I53" s="212" t="str">
        <f>IFERROR(F53*H53,"$")</f>
        <v>$</v>
      </c>
    </row>
    <row r="54" spans="2:13">
      <c r="B54" s="339" t="s">
        <v>513</v>
      </c>
      <c r="C54" s="675">
        <f>G58*H2</f>
        <v>305179.33999999997</v>
      </c>
      <c r="D54" s="675"/>
      <c r="F54" s="218" t="str">
        <f>'eQUPAMIENTO DOLLY'!N4</f>
        <v/>
      </c>
      <c r="G54" s="211" t="str">
        <f>'eQUPAMIENTO DOLLY'!M4</f>
        <v/>
      </c>
      <c r="H54" s="386" t="str">
        <f>'eQUPAMIENTO DOLLY'!O4</f>
        <v/>
      </c>
      <c r="I54" s="212" t="str">
        <f>IFERROR(F54*H54,"$")</f>
        <v>$</v>
      </c>
    </row>
    <row r="55" spans="2:13">
      <c r="F55" s="218" t="str">
        <f>'eQUPAMIENTO DOLLY'!N5</f>
        <v/>
      </c>
      <c r="G55" s="211" t="str">
        <f>'eQUPAMIENTO DOLLY'!M5</f>
        <v/>
      </c>
      <c r="H55" s="386" t="str">
        <f>'eQUPAMIENTO DOLLY'!O5</f>
        <v/>
      </c>
      <c r="I55" s="212" t="str">
        <f>IFERROR(F55*H55,"$")</f>
        <v>$</v>
      </c>
    </row>
    <row r="56" spans="2:13">
      <c r="B56" s="339" t="s">
        <v>2243</v>
      </c>
      <c r="C56" s="676">
        <f>C54+40000</f>
        <v>345179.33999999997</v>
      </c>
      <c r="D56" s="676"/>
      <c r="F56" s="218" t="str">
        <f>'eQUPAMIENTO DOLLY'!N6</f>
        <v/>
      </c>
      <c r="G56" s="211" t="str">
        <f>'eQUPAMIENTO DOLLY'!M6</f>
        <v/>
      </c>
      <c r="H56" s="386" t="str">
        <f>'eQUPAMIENTO DOLLY'!O6</f>
        <v/>
      </c>
      <c r="I56" s="212" t="str">
        <f>IFERROR(F56*H56,"$")</f>
        <v>$</v>
      </c>
    </row>
    <row r="57" spans="2:13">
      <c r="H57" s="214" t="s">
        <v>84</v>
      </c>
      <c r="I57" s="217">
        <f>SUM(I53:I56)</f>
        <v>0</v>
      </c>
    </row>
    <row r="58" spans="2:13">
      <c r="G58" s="208">
        <f>SUM(D20,D32,D43,I12,D49,I18,I27,I42,I57,I49,I32)</f>
        <v>305179.33999999997</v>
      </c>
    </row>
  </sheetData>
  <mergeCells count="13">
    <mergeCell ref="F51:I51"/>
    <mergeCell ref="C54:D54"/>
    <mergeCell ref="C56:D56"/>
    <mergeCell ref="A3:I5"/>
    <mergeCell ref="A34:D34"/>
    <mergeCell ref="A22:D22"/>
    <mergeCell ref="A7:D7"/>
    <mergeCell ref="F7:I7"/>
    <mergeCell ref="A45:D45"/>
    <mergeCell ref="F14:I14"/>
    <mergeCell ref="F20:I20"/>
    <mergeCell ref="F34:I34"/>
    <mergeCell ref="F28:I28"/>
  </mergeCells>
  <pageMargins left="0.23622047244094491" right="0.23622047244094491" top="0.74803149606299213" bottom="0.74803149606299213" header="0.31496062992125984" footer="0.31496062992125984"/>
  <pageSetup scale="76" fitToHeight="0" orientation="portrait" r:id="rId1"/>
  <headerFooter>
    <oddHeader>&amp;C&amp;G</oddHeader>
  </headerFooter>
  <drawing r:id="rId2"/>
  <legacyDrawing r:id="rId3"/>
  <legacyDrawingHF r:id="rId4"/>
  <controls>
    <mc:AlternateContent xmlns:mc="http://schemas.openxmlformats.org/markup-compatibility/2006">
      <mc:Choice Requires="x14">
        <control shapeId="67587" r:id="rId5" name="PRESDOLLYBTON">
          <controlPr defaultSize="0" autoLine="0" r:id="rId6">
            <anchor moveWithCells="1">
              <from>
                <xdr:col>9</xdr:col>
                <xdr:colOff>601980</xdr:colOff>
                <xdr:row>0</xdr:row>
                <xdr:rowOff>121920</xdr:rowOff>
              </from>
              <to>
                <xdr:col>11</xdr:col>
                <xdr:colOff>411480</xdr:colOff>
                <xdr:row>2</xdr:row>
                <xdr:rowOff>175260</xdr:rowOff>
              </to>
            </anchor>
          </controlPr>
        </control>
      </mc:Choice>
      <mc:Fallback>
        <control shapeId="67587" r:id="rId5" name="PRESDOLLYBTON"/>
      </mc:Fallback>
    </mc:AlternateContent>
    <mc:AlternateContent xmlns:mc="http://schemas.openxmlformats.org/markup-compatibility/2006">
      <mc:Choice Requires="x14">
        <control shapeId="67588" r:id="rId7" name="PDFPRESUPDOLLY">
          <controlPr defaultSize="0" autoLine="0" r:id="rId8">
            <anchor moveWithCells="1">
              <from>
                <xdr:col>9</xdr:col>
                <xdr:colOff>655320</xdr:colOff>
                <xdr:row>3</xdr:row>
                <xdr:rowOff>152400</xdr:rowOff>
              </from>
              <to>
                <xdr:col>11</xdr:col>
                <xdr:colOff>365760</xdr:colOff>
                <xdr:row>5</xdr:row>
                <xdr:rowOff>114300</xdr:rowOff>
              </to>
            </anchor>
          </controlPr>
        </control>
      </mc:Choice>
      <mc:Fallback>
        <control shapeId="67588" r:id="rId7" name="PDFPRESUPDOLLY"/>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BB2FA-AB78-4E5D-8709-A187622144A6}">
  <sheetPr codeName="Hoja22">
    <tabColor rgb="FF66FFCC"/>
  </sheetPr>
  <dimension ref="B7:L202"/>
  <sheetViews>
    <sheetView workbookViewId="0">
      <selection activeCell="B7" sqref="B7"/>
    </sheetView>
  </sheetViews>
  <sheetFormatPr baseColWidth="10" defaultRowHeight="14.4"/>
  <cols>
    <col min="2" max="2" width="17.109375" bestFit="1" customWidth="1"/>
    <col min="3" max="3" width="15.88671875" bestFit="1" customWidth="1"/>
    <col min="4" max="4" width="13.33203125" bestFit="1" customWidth="1"/>
    <col min="5" max="5" width="12.44140625" customWidth="1"/>
    <col min="6" max="6" width="25.88671875" bestFit="1" customWidth="1"/>
    <col min="7" max="7" width="17.6640625" bestFit="1" customWidth="1"/>
    <col min="9" max="9" width="14.5546875" bestFit="1" customWidth="1"/>
    <col min="10" max="10" width="18.33203125" bestFit="1" customWidth="1"/>
    <col min="11" max="11" width="17.5546875" customWidth="1"/>
  </cols>
  <sheetData>
    <row r="7" spans="2:12">
      <c r="B7" t="s">
        <v>109</v>
      </c>
      <c r="C7" t="s">
        <v>1</v>
      </c>
      <c r="D7" t="s">
        <v>560</v>
      </c>
      <c r="E7" t="s">
        <v>380</v>
      </c>
      <c r="F7" t="s">
        <v>363</v>
      </c>
      <c r="G7" t="s">
        <v>41</v>
      </c>
      <c r="H7" t="s">
        <v>379</v>
      </c>
      <c r="I7" t="s">
        <v>340</v>
      </c>
      <c r="J7" t="s">
        <v>153</v>
      </c>
      <c r="K7" t="s">
        <v>1010</v>
      </c>
      <c r="L7" t="s">
        <v>494</v>
      </c>
    </row>
    <row r="8" spans="2:12">
      <c r="B8" t="s">
        <v>2634</v>
      </c>
      <c r="C8" t="s" vm="54">
        <v>1266</v>
      </c>
      <c r="D8" t="s">
        <v>332</v>
      </c>
      <c r="E8" t="s">
        <v>485</v>
      </c>
      <c r="F8" t="s">
        <v>460</v>
      </c>
      <c r="G8" t="s">
        <v>461</v>
      </c>
      <c r="H8" t="s">
        <v>421</v>
      </c>
      <c r="I8" t="s">
        <v>159</v>
      </c>
      <c r="J8" t="s">
        <v>473</v>
      </c>
      <c r="K8" t="s">
        <v>485</v>
      </c>
      <c r="L8" t="s">
        <v>2363</v>
      </c>
    </row>
    <row r="9" spans="2:12">
      <c r="B9" t="s">
        <v>2627</v>
      </c>
      <c r="C9" t="s" vm="54">
        <v>1266</v>
      </c>
      <c r="D9" t="s">
        <v>332</v>
      </c>
      <c r="E9" t="s">
        <v>485</v>
      </c>
      <c r="F9" t="s">
        <v>456</v>
      </c>
      <c r="G9" t="s">
        <v>461</v>
      </c>
      <c r="H9" t="s">
        <v>421</v>
      </c>
      <c r="I9" t="s">
        <v>159</v>
      </c>
      <c r="J9" t="s">
        <v>473</v>
      </c>
      <c r="K9" t="s">
        <v>485</v>
      </c>
      <c r="L9" t="s">
        <v>1631</v>
      </c>
    </row>
    <row r="10" spans="2:12">
      <c r="B10" t="s">
        <v>2624</v>
      </c>
      <c r="C10" t="s" vm="54">
        <v>1266</v>
      </c>
      <c r="D10" t="s">
        <v>332</v>
      </c>
      <c r="E10" t="s">
        <v>485</v>
      </c>
      <c r="F10" t="s">
        <v>456</v>
      </c>
      <c r="G10" t="s">
        <v>461</v>
      </c>
      <c r="H10" t="s">
        <v>157</v>
      </c>
      <c r="I10" t="s">
        <v>419</v>
      </c>
      <c r="J10" t="s">
        <v>473</v>
      </c>
      <c r="K10" t="s">
        <v>485</v>
      </c>
      <c r="L10" t="s">
        <v>2351</v>
      </c>
    </row>
    <row r="11" spans="2:12">
      <c r="B11" t="s">
        <v>2617</v>
      </c>
      <c r="C11" t="s" vm="54">
        <v>1266</v>
      </c>
      <c r="D11" t="s">
        <v>332</v>
      </c>
      <c r="E11" t="s">
        <v>485</v>
      </c>
      <c r="F11" t="s">
        <v>458</v>
      </c>
      <c r="G11" t="s">
        <v>461</v>
      </c>
      <c r="H11" t="s">
        <v>157</v>
      </c>
      <c r="I11" t="s">
        <v>419</v>
      </c>
      <c r="J11" t="s">
        <v>473</v>
      </c>
      <c r="K11" t="s">
        <v>485</v>
      </c>
      <c r="L11" t="s">
        <v>2620</v>
      </c>
    </row>
    <row r="12" spans="2:12">
      <c r="B12" t="s">
        <v>2617</v>
      </c>
      <c r="C12" t="s" vm="54">
        <v>1266</v>
      </c>
      <c r="D12" t="s">
        <v>332</v>
      </c>
      <c r="E12" t="s">
        <v>485</v>
      </c>
      <c r="F12" t="s">
        <v>456</v>
      </c>
      <c r="G12" t="s">
        <v>461</v>
      </c>
      <c r="H12" t="s">
        <v>157</v>
      </c>
      <c r="I12" t="s">
        <v>419</v>
      </c>
      <c r="J12" t="s">
        <v>473</v>
      </c>
      <c r="K12" t="s">
        <v>485</v>
      </c>
      <c r="L12" t="s">
        <v>2351</v>
      </c>
    </row>
    <row r="13" spans="2:12">
      <c r="B13" t="s">
        <v>2616</v>
      </c>
      <c r="C13" t="s" vm="54">
        <v>1266</v>
      </c>
      <c r="D13" t="s">
        <v>332</v>
      </c>
      <c r="E13" t="s">
        <v>485</v>
      </c>
      <c r="F13" t="s">
        <v>456</v>
      </c>
      <c r="G13" t="s">
        <v>461</v>
      </c>
      <c r="H13" t="s">
        <v>421</v>
      </c>
      <c r="I13" t="s">
        <v>159</v>
      </c>
      <c r="J13" t="s">
        <v>487</v>
      </c>
      <c r="K13" t="s">
        <v>492</v>
      </c>
      <c r="L13" t="s">
        <v>1729</v>
      </c>
    </row>
    <row r="14" spans="2:12">
      <c r="B14" t="s">
        <v>2604</v>
      </c>
      <c r="C14" t="s" vm="54">
        <v>1266</v>
      </c>
      <c r="D14" t="s">
        <v>332</v>
      </c>
      <c r="E14" t="s">
        <v>485</v>
      </c>
      <c r="F14" t="s">
        <v>460</v>
      </c>
      <c r="G14" t="s">
        <v>461</v>
      </c>
      <c r="H14" t="s">
        <v>158</v>
      </c>
      <c r="I14" t="s">
        <v>416</v>
      </c>
      <c r="J14" t="s">
        <v>473</v>
      </c>
      <c r="K14" t="s">
        <v>485</v>
      </c>
      <c r="L14" t="s">
        <v>1671</v>
      </c>
    </row>
    <row r="15" spans="2:12">
      <c r="B15" t="s">
        <v>2604</v>
      </c>
      <c r="C15" t="s" vm="54">
        <v>1266</v>
      </c>
      <c r="D15" t="s">
        <v>332</v>
      </c>
      <c r="E15" t="s">
        <v>485</v>
      </c>
      <c r="F15" t="s">
        <v>460</v>
      </c>
      <c r="G15" t="s">
        <v>461</v>
      </c>
      <c r="H15" t="s">
        <v>158</v>
      </c>
      <c r="I15" t="s">
        <v>416</v>
      </c>
      <c r="J15" t="s">
        <v>473</v>
      </c>
      <c r="K15" t="s">
        <v>485</v>
      </c>
      <c r="L15" t="s">
        <v>2608</v>
      </c>
    </row>
    <row r="16" spans="2:12">
      <c r="B16" t="s">
        <v>2604</v>
      </c>
      <c r="C16" t="s" vm="54">
        <v>1266</v>
      </c>
      <c r="D16" t="s">
        <v>332</v>
      </c>
      <c r="E16" t="s">
        <v>485</v>
      </c>
      <c r="F16" t="s">
        <v>460</v>
      </c>
      <c r="G16" t="s">
        <v>461</v>
      </c>
      <c r="H16" t="s">
        <v>158</v>
      </c>
      <c r="I16" t="s">
        <v>1494</v>
      </c>
      <c r="J16" t="s">
        <v>473</v>
      </c>
      <c r="K16" t="s">
        <v>485</v>
      </c>
      <c r="L16" t="s">
        <v>2607</v>
      </c>
    </row>
    <row r="17" spans="2:12">
      <c r="B17" t="s">
        <v>2604</v>
      </c>
      <c r="C17" t="s" vm="54">
        <v>1266</v>
      </c>
      <c r="D17" t="s">
        <v>332</v>
      </c>
      <c r="E17" t="s">
        <v>485</v>
      </c>
      <c r="F17" t="s">
        <v>460</v>
      </c>
      <c r="G17" t="s">
        <v>461</v>
      </c>
      <c r="H17" t="s">
        <v>158</v>
      </c>
      <c r="I17" t="s">
        <v>1494</v>
      </c>
      <c r="J17" t="s">
        <v>473</v>
      </c>
      <c r="K17" t="s">
        <v>485</v>
      </c>
      <c r="L17" t="s">
        <v>2607</v>
      </c>
    </row>
    <row r="18" spans="2:12">
      <c r="B18" t="s">
        <v>2604</v>
      </c>
      <c r="C18" t="s" vm="54">
        <v>1266</v>
      </c>
      <c r="D18" t="s">
        <v>332</v>
      </c>
      <c r="E18" t="s">
        <v>485</v>
      </c>
      <c r="F18" t="s">
        <v>458</v>
      </c>
      <c r="G18" t="s">
        <v>461</v>
      </c>
      <c r="H18" t="s">
        <v>158</v>
      </c>
      <c r="I18" t="s">
        <v>1494</v>
      </c>
      <c r="J18" t="s">
        <v>473</v>
      </c>
      <c r="K18" t="s">
        <v>485</v>
      </c>
      <c r="L18" t="s">
        <v>2606</v>
      </c>
    </row>
    <row r="19" spans="2:12">
      <c r="B19" t="s">
        <v>2604</v>
      </c>
      <c r="C19" t="s" vm="54">
        <v>1266</v>
      </c>
      <c r="D19" t="s">
        <v>332</v>
      </c>
      <c r="E19" t="s">
        <v>485</v>
      </c>
      <c r="F19" t="s">
        <v>458</v>
      </c>
      <c r="G19" t="s">
        <v>461</v>
      </c>
      <c r="H19" t="s">
        <v>158</v>
      </c>
      <c r="I19" t="s">
        <v>1494</v>
      </c>
      <c r="J19" t="s">
        <v>473</v>
      </c>
      <c r="K19" t="s">
        <v>485</v>
      </c>
      <c r="L19" t="s">
        <v>1721</v>
      </c>
    </row>
    <row r="20" spans="2:12">
      <c r="B20" t="s">
        <v>2604</v>
      </c>
      <c r="C20" t="s" vm="54">
        <v>1266</v>
      </c>
      <c r="D20" t="s">
        <v>332</v>
      </c>
      <c r="E20" t="s">
        <v>485</v>
      </c>
      <c r="F20" t="s">
        <v>458</v>
      </c>
      <c r="G20" t="s">
        <v>461</v>
      </c>
      <c r="H20" t="s">
        <v>158</v>
      </c>
      <c r="I20" t="s">
        <v>416</v>
      </c>
      <c r="J20" t="s">
        <v>473</v>
      </c>
      <c r="K20" t="s">
        <v>485</v>
      </c>
      <c r="L20" t="s">
        <v>1809</v>
      </c>
    </row>
    <row r="21" spans="2:12">
      <c r="B21" t="s">
        <v>2604</v>
      </c>
      <c r="C21" t="s" vm="54">
        <v>1266</v>
      </c>
      <c r="D21" t="s">
        <v>332</v>
      </c>
      <c r="E21" t="s">
        <v>485</v>
      </c>
      <c r="F21" t="s">
        <v>456</v>
      </c>
      <c r="G21" t="s">
        <v>461</v>
      </c>
      <c r="H21" t="s">
        <v>157</v>
      </c>
      <c r="I21" t="s">
        <v>419</v>
      </c>
      <c r="J21" t="s">
        <v>473</v>
      </c>
      <c r="K21" t="s">
        <v>485</v>
      </c>
      <c r="L21" t="s">
        <v>2351</v>
      </c>
    </row>
    <row r="22" spans="2:12">
      <c r="B22" t="s">
        <v>2602</v>
      </c>
      <c r="C22" t="s" vm="54">
        <v>1266</v>
      </c>
      <c r="D22" t="s">
        <v>332</v>
      </c>
      <c r="E22" t="s">
        <v>485</v>
      </c>
      <c r="F22" t="s">
        <v>460</v>
      </c>
      <c r="G22" t="s">
        <v>461</v>
      </c>
      <c r="H22" t="s">
        <v>158</v>
      </c>
      <c r="I22" t="s">
        <v>1494</v>
      </c>
      <c r="J22" t="s">
        <v>473</v>
      </c>
      <c r="K22" t="s">
        <v>485</v>
      </c>
      <c r="L22" t="s">
        <v>2603</v>
      </c>
    </row>
    <row r="23" spans="2:12">
      <c r="B23" t="s">
        <v>2602</v>
      </c>
      <c r="C23" t="s" vm="54">
        <v>1266</v>
      </c>
      <c r="D23" t="s">
        <v>332</v>
      </c>
      <c r="E23" t="s">
        <v>485</v>
      </c>
      <c r="F23" t="s">
        <v>460</v>
      </c>
      <c r="G23" t="s">
        <v>461</v>
      </c>
      <c r="H23" t="s">
        <v>158</v>
      </c>
      <c r="I23" t="s">
        <v>1494</v>
      </c>
      <c r="J23" t="s">
        <v>473</v>
      </c>
      <c r="K23" t="s">
        <v>485</v>
      </c>
      <c r="L23" t="s">
        <v>2603</v>
      </c>
    </row>
    <row r="24" spans="2:12">
      <c r="B24" t="s">
        <v>2597</v>
      </c>
      <c r="C24" t="s" vm="54">
        <v>1266</v>
      </c>
      <c r="D24" t="s">
        <v>332</v>
      </c>
      <c r="E24" t="s">
        <v>485</v>
      </c>
      <c r="F24" t="s">
        <v>460</v>
      </c>
      <c r="G24" t="s">
        <v>461</v>
      </c>
      <c r="H24" t="s">
        <v>157</v>
      </c>
      <c r="I24" t="s">
        <v>1494</v>
      </c>
      <c r="J24" t="s">
        <v>473</v>
      </c>
      <c r="K24" t="s">
        <v>485</v>
      </c>
      <c r="L24" t="s">
        <v>2598</v>
      </c>
    </row>
    <row r="25" spans="2:12">
      <c r="B25" t="s">
        <v>2594</v>
      </c>
      <c r="C25" t="s" vm="54">
        <v>1266</v>
      </c>
      <c r="D25" t="s">
        <v>332</v>
      </c>
      <c r="E25" t="s">
        <v>485</v>
      </c>
      <c r="F25" t="s">
        <v>456</v>
      </c>
      <c r="G25" t="s">
        <v>461</v>
      </c>
      <c r="H25" t="s">
        <v>421</v>
      </c>
      <c r="I25" t="s">
        <v>159</v>
      </c>
      <c r="J25" t="s">
        <v>473</v>
      </c>
      <c r="K25" t="s">
        <v>485</v>
      </c>
      <c r="L25" t="s">
        <v>1631</v>
      </c>
    </row>
    <row r="26" spans="2:12">
      <c r="B26" t="s">
        <v>2567</v>
      </c>
      <c r="C26" t="s" vm="54">
        <v>1266</v>
      </c>
      <c r="D26" t="s">
        <v>332</v>
      </c>
      <c r="E26" t="s">
        <v>485</v>
      </c>
      <c r="F26" t="s">
        <v>456</v>
      </c>
      <c r="G26" t="s">
        <v>461</v>
      </c>
      <c r="H26" t="s">
        <v>157</v>
      </c>
      <c r="I26" t="s">
        <v>419</v>
      </c>
      <c r="J26" t="s">
        <v>473</v>
      </c>
      <c r="K26" t="s">
        <v>485</v>
      </c>
      <c r="L26" t="s">
        <v>2351</v>
      </c>
    </row>
    <row r="27" spans="2:12">
      <c r="B27" t="s">
        <v>2561</v>
      </c>
      <c r="C27" t="s" vm="54">
        <v>1266</v>
      </c>
      <c r="D27" t="s">
        <v>332</v>
      </c>
      <c r="E27" t="s">
        <v>485</v>
      </c>
      <c r="F27" t="s">
        <v>456</v>
      </c>
      <c r="G27" t="s">
        <v>461</v>
      </c>
      <c r="H27" t="s">
        <v>421</v>
      </c>
      <c r="I27" t="s">
        <v>159</v>
      </c>
      <c r="J27" t="s">
        <v>473</v>
      </c>
      <c r="K27" t="s">
        <v>485</v>
      </c>
      <c r="L27" t="s">
        <v>1631</v>
      </c>
    </row>
    <row r="28" spans="2:12">
      <c r="B28" t="s">
        <v>2561</v>
      </c>
      <c r="C28" t="s" vm="54">
        <v>1266</v>
      </c>
      <c r="D28" t="s">
        <v>332</v>
      </c>
      <c r="E28" t="s">
        <v>485</v>
      </c>
      <c r="F28" t="s">
        <v>456</v>
      </c>
      <c r="G28" t="s">
        <v>461</v>
      </c>
      <c r="H28" t="s">
        <v>157</v>
      </c>
      <c r="I28" t="s">
        <v>419</v>
      </c>
      <c r="J28" t="s">
        <v>473</v>
      </c>
      <c r="K28" t="s">
        <v>485</v>
      </c>
      <c r="L28" t="s">
        <v>2351</v>
      </c>
    </row>
    <row r="29" spans="2:12">
      <c r="B29" t="s">
        <v>2558</v>
      </c>
      <c r="C29" t="s" vm="54">
        <v>1266</v>
      </c>
      <c r="D29" t="s">
        <v>332</v>
      </c>
      <c r="E29" t="s">
        <v>485</v>
      </c>
      <c r="F29" t="s">
        <v>458</v>
      </c>
      <c r="G29" t="s">
        <v>217</v>
      </c>
      <c r="H29" t="s">
        <v>157</v>
      </c>
      <c r="I29" t="s">
        <v>419</v>
      </c>
      <c r="J29" t="s">
        <v>473</v>
      </c>
      <c r="K29" t="s">
        <v>485</v>
      </c>
      <c r="L29" t="s">
        <v>2031</v>
      </c>
    </row>
    <row r="30" spans="2:12">
      <c r="B30" t="s">
        <v>2540</v>
      </c>
      <c r="C30" t="s" vm="54">
        <v>1266</v>
      </c>
      <c r="D30" t="s">
        <v>332</v>
      </c>
      <c r="E30" t="s">
        <v>485</v>
      </c>
      <c r="F30" t="s">
        <v>456</v>
      </c>
      <c r="G30" t="s">
        <v>461</v>
      </c>
      <c r="H30" t="s">
        <v>157</v>
      </c>
      <c r="I30" t="s">
        <v>419</v>
      </c>
      <c r="J30" t="s">
        <v>473</v>
      </c>
      <c r="K30" t="s">
        <v>485</v>
      </c>
      <c r="L30" t="s">
        <v>2351</v>
      </c>
    </row>
    <row r="31" spans="2:12">
      <c r="B31" t="s">
        <v>2516</v>
      </c>
      <c r="C31" t="s" vm="54">
        <v>1266</v>
      </c>
      <c r="D31" t="s">
        <v>332</v>
      </c>
      <c r="E31" t="s">
        <v>485</v>
      </c>
      <c r="F31" t="s">
        <v>456</v>
      </c>
      <c r="G31" t="s">
        <v>461</v>
      </c>
      <c r="H31" t="s">
        <v>158</v>
      </c>
      <c r="I31" t="s">
        <v>419</v>
      </c>
      <c r="J31" t="s">
        <v>473</v>
      </c>
      <c r="K31" t="s">
        <v>485</v>
      </c>
      <c r="L31" t="s">
        <v>1716</v>
      </c>
    </row>
    <row r="32" spans="2:12">
      <c r="B32" t="s">
        <v>2516</v>
      </c>
      <c r="C32" t="s" vm="54">
        <v>1266</v>
      </c>
      <c r="D32" t="s">
        <v>332</v>
      </c>
      <c r="E32" t="s">
        <v>485</v>
      </c>
      <c r="F32" t="s">
        <v>456</v>
      </c>
      <c r="G32" t="s">
        <v>461</v>
      </c>
      <c r="H32" t="s">
        <v>158</v>
      </c>
      <c r="I32" t="s">
        <v>419</v>
      </c>
      <c r="J32" t="s">
        <v>473</v>
      </c>
      <c r="K32" t="s">
        <v>485</v>
      </c>
      <c r="L32" t="s">
        <v>1716</v>
      </c>
    </row>
    <row r="33" spans="2:12">
      <c r="B33" t="s">
        <v>2516</v>
      </c>
      <c r="C33" t="s" vm="54">
        <v>1266</v>
      </c>
      <c r="D33" t="s">
        <v>332</v>
      </c>
      <c r="E33" t="s">
        <v>485</v>
      </c>
      <c r="F33" t="s">
        <v>456</v>
      </c>
      <c r="G33" t="s">
        <v>461</v>
      </c>
      <c r="H33" t="s">
        <v>157</v>
      </c>
      <c r="I33" t="s">
        <v>419</v>
      </c>
      <c r="J33" t="s">
        <v>473</v>
      </c>
      <c r="K33" t="s">
        <v>485</v>
      </c>
      <c r="L33" t="s">
        <v>2351</v>
      </c>
    </row>
    <row r="34" spans="2:12">
      <c r="B34" t="s">
        <v>2504</v>
      </c>
      <c r="C34" t="s" vm="54">
        <v>1266</v>
      </c>
      <c r="D34" t="s">
        <v>332</v>
      </c>
      <c r="E34" t="s">
        <v>485</v>
      </c>
      <c r="F34" t="s">
        <v>456</v>
      </c>
      <c r="G34" t="s">
        <v>461</v>
      </c>
      <c r="H34" t="s">
        <v>421</v>
      </c>
      <c r="I34" t="s">
        <v>159</v>
      </c>
      <c r="J34" t="s">
        <v>473</v>
      </c>
      <c r="K34" t="s">
        <v>485</v>
      </c>
      <c r="L34" t="s">
        <v>1631</v>
      </c>
    </row>
    <row r="35" spans="2:12">
      <c r="B35" t="s">
        <v>2500</v>
      </c>
      <c r="C35" t="s" vm="54">
        <v>1266</v>
      </c>
      <c r="D35" t="s">
        <v>332</v>
      </c>
      <c r="E35" t="s">
        <v>485</v>
      </c>
      <c r="F35" t="s">
        <v>458</v>
      </c>
      <c r="G35" t="s">
        <v>461</v>
      </c>
      <c r="H35" t="s">
        <v>157</v>
      </c>
      <c r="I35" t="s">
        <v>419</v>
      </c>
      <c r="J35" t="s">
        <v>473</v>
      </c>
      <c r="K35" t="s">
        <v>485</v>
      </c>
      <c r="L35" t="s">
        <v>1439</v>
      </c>
    </row>
    <row r="36" spans="2:12">
      <c r="B36" t="s">
        <v>2500</v>
      </c>
      <c r="C36" t="s" vm="54">
        <v>1266</v>
      </c>
      <c r="D36" t="s">
        <v>332</v>
      </c>
      <c r="E36" t="s">
        <v>485</v>
      </c>
      <c r="F36" t="s">
        <v>456</v>
      </c>
      <c r="G36" t="s">
        <v>461</v>
      </c>
      <c r="H36" t="s">
        <v>157</v>
      </c>
      <c r="I36" t="s">
        <v>419</v>
      </c>
      <c r="J36" t="s">
        <v>473</v>
      </c>
      <c r="K36" t="s">
        <v>485</v>
      </c>
      <c r="L36" t="s">
        <v>2351</v>
      </c>
    </row>
    <row r="37" spans="2:12">
      <c r="B37" t="s">
        <v>2485</v>
      </c>
      <c r="C37" t="s" vm="54">
        <v>1266</v>
      </c>
      <c r="D37" t="s">
        <v>332</v>
      </c>
      <c r="E37" t="s">
        <v>485</v>
      </c>
      <c r="F37" t="s">
        <v>458</v>
      </c>
      <c r="G37" t="s">
        <v>461</v>
      </c>
      <c r="H37" t="s">
        <v>421</v>
      </c>
      <c r="I37" t="s">
        <v>159</v>
      </c>
      <c r="J37" t="s">
        <v>473</v>
      </c>
      <c r="K37" t="s">
        <v>485</v>
      </c>
      <c r="L37" t="s">
        <v>1779</v>
      </c>
    </row>
    <row r="38" spans="2:12">
      <c r="B38" t="s">
        <v>2485</v>
      </c>
      <c r="C38" t="s" vm="54">
        <v>1266</v>
      </c>
      <c r="D38" t="s">
        <v>332</v>
      </c>
      <c r="E38" t="s">
        <v>485</v>
      </c>
      <c r="F38" t="s">
        <v>460</v>
      </c>
      <c r="G38" t="s">
        <v>461</v>
      </c>
      <c r="H38" t="s">
        <v>421</v>
      </c>
      <c r="I38" t="s">
        <v>159</v>
      </c>
      <c r="J38" t="s">
        <v>473</v>
      </c>
      <c r="K38" t="s">
        <v>485</v>
      </c>
      <c r="L38" t="s">
        <v>2363</v>
      </c>
    </row>
    <row r="39" spans="2:12">
      <c r="B39" t="s">
        <v>2485</v>
      </c>
      <c r="C39" t="s" vm="54">
        <v>1266</v>
      </c>
      <c r="D39" t="s">
        <v>332</v>
      </c>
      <c r="E39" t="s">
        <v>485</v>
      </c>
      <c r="F39" t="s">
        <v>458</v>
      </c>
      <c r="G39" t="s">
        <v>461</v>
      </c>
      <c r="H39" t="s">
        <v>421</v>
      </c>
      <c r="I39" t="s">
        <v>159</v>
      </c>
      <c r="J39" t="s">
        <v>473</v>
      </c>
      <c r="K39" t="s">
        <v>485</v>
      </c>
      <c r="L39" t="s">
        <v>1779</v>
      </c>
    </row>
    <row r="40" spans="2:12">
      <c r="B40" t="s">
        <v>2480</v>
      </c>
      <c r="C40" t="s" vm="54">
        <v>1266</v>
      </c>
      <c r="D40" t="s">
        <v>332</v>
      </c>
      <c r="E40" t="s">
        <v>485</v>
      </c>
      <c r="F40" t="s">
        <v>460</v>
      </c>
      <c r="G40" t="s">
        <v>461</v>
      </c>
      <c r="H40" t="s">
        <v>421</v>
      </c>
      <c r="I40" t="s">
        <v>159</v>
      </c>
      <c r="J40" t="s">
        <v>473</v>
      </c>
      <c r="K40" t="s">
        <v>492</v>
      </c>
      <c r="L40" t="s">
        <v>2481</v>
      </c>
    </row>
    <row r="41" spans="2:12">
      <c r="B41" t="s">
        <v>2441</v>
      </c>
      <c r="C41" t="s" vm="54">
        <v>1266</v>
      </c>
      <c r="D41" t="s">
        <v>332</v>
      </c>
      <c r="E41" t="s">
        <v>485</v>
      </c>
      <c r="F41" t="s">
        <v>456</v>
      </c>
      <c r="G41" t="s">
        <v>461</v>
      </c>
      <c r="H41" t="s">
        <v>157</v>
      </c>
      <c r="I41" t="s">
        <v>1494</v>
      </c>
      <c r="J41" t="s">
        <v>473</v>
      </c>
      <c r="K41" t="s">
        <v>485</v>
      </c>
      <c r="L41" t="s">
        <v>2442</v>
      </c>
    </row>
    <row r="42" spans="2:12">
      <c r="B42" t="s">
        <v>2441</v>
      </c>
      <c r="C42" t="s" vm="54">
        <v>1266</v>
      </c>
      <c r="D42" t="s">
        <v>332</v>
      </c>
      <c r="E42" t="s">
        <v>485</v>
      </c>
      <c r="F42" t="s">
        <v>458</v>
      </c>
      <c r="G42" t="s">
        <v>461</v>
      </c>
      <c r="H42" t="s">
        <v>157</v>
      </c>
      <c r="I42" t="s">
        <v>1494</v>
      </c>
      <c r="J42" t="s">
        <v>473</v>
      </c>
      <c r="K42" t="s">
        <v>485</v>
      </c>
      <c r="L42" t="s">
        <v>2275</v>
      </c>
    </row>
    <row r="43" spans="2:12">
      <c r="B43" t="s">
        <v>2441</v>
      </c>
      <c r="C43" t="s" vm="54">
        <v>1266</v>
      </c>
      <c r="D43" t="s">
        <v>332</v>
      </c>
      <c r="E43" t="s">
        <v>485</v>
      </c>
      <c r="F43" t="s">
        <v>456</v>
      </c>
      <c r="G43" t="s">
        <v>461</v>
      </c>
      <c r="H43" t="s">
        <v>157</v>
      </c>
      <c r="I43" t="s">
        <v>1494</v>
      </c>
      <c r="J43" t="s">
        <v>473</v>
      </c>
      <c r="K43" t="s">
        <v>485</v>
      </c>
      <c r="L43" t="s">
        <v>2442</v>
      </c>
    </row>
    <row r="44" spans="2:12">
      <c r="B44" t="s">
        <v>2432</v>
      </c>
      <c r="C44" t="s" vm="54">
        <v>1266</v>
      </c>
      <c r="D44" t="s">
        <v>332</v>
      </c>
      <c r="E44" t="s">
        <v>485</v>
      </c>
      <c r="F44" t="s">
        <v>456</v>
      </c>
      <c r="G44" t="s">
        <v>461</v>
      </c>
      <c r="H44" t="s">
        <v>421</v>
      </c>
      <c r="I44" t="s">
        <v>159</v>
      </c>
      <c r="J44" t="s">
        <v>487</v>
      </c>
      <c r="K44" t="s">
        <v>492</v>
      </c>
      <c r="L44" t="s">
        <v>1729</v>
      </c>
    </row>
    <row r="45" spans="2:12">
      <c r="B45" t="s">
        <v>2388</v>
      </c>
      <c r="C45" t="s" vm="54">
        <v>1266</v>
      </c>
      <c r="D45" t="s">
        <v>332</v>
      </c>
      <c r="E45" t="s">
        <v>485</v>
      </c>
      <c r="F45" t="s">
        <v>458</v>
      </c>
      <c r="G45" t="s">
        <v>461</v>
      </c>
      <c r="H45" t="s">
        <v>157</v>
      </c>
      <c r="I45" t="s">
        <v>419</v>
      </c>
      <c r="J45" t="s">
        <v>473</v>
      </c>
      <c r="K45" t="s">
        <v>485</v>
      </c>
      <c r="L45" t="s">
        <v>1439</v>
      </c>
    </row>
    <row r="46" spans="2:12">
      <c r="B46" t="s">
        <v>2386</v>
      </c>
      <c r="C46" t="s" vm="54">
        <v>1266</v>
      </c>
      <c r="D46" t="s">
        <v>332</v>
      </c>
      <c r="E46" t="s">
        <v>485</v>
      </c>
      <c r="F46" t="s">
        <v>458</v>
      </c>
      <c r="G46" t="s">
        <v>461</v>
      </c>
      <c r="H46" t="s">
        <v>157</v>
      </c>
      <c r="I46" t="s">
        <v>419</v>
      </c>
      <c r="J46" t="s">
        <v>123</v>
      </c>
      <c r="K46" t="s">
        <v>492</v>
      </c>
      <c r="L46" t="s">
        <v>2387</v>
      </c>
    </row>
    <row r="47" spans="2:12">
      <c r="B47" t="s">
        <v>2386</v>
      </c>
      <c r="C47" t="s" vm="54">
        <v>1266</v>
      </c>
      <c r="D47" t="s">
        <v>332</v>
      </c>
      <c r="E47" t="s">
        <v>485</v>
      </c>
      <c r="F47" t="s">
        <v>456</v>
      </c>
      <c r="G47" t="s">
        <v>461</v>
      </c>
      <c r="H47" t="s">
        <v>421</v>
      </c>
      <c r="I47" t="s">
        <v>159</v>
      </c>
      <c r="J47" t="s">
        <v>473</v>
      </c>
      <c r="K47" t="s">
        <v>485</v>
      </c>
      <c r="L47" t="s">
        <v>1631</v>
      </c>
    </row>
    <row r="48" spans="2:12">
      <c r="B48" t="s">
        <v>2386</v>
      </c>
      <c r="C48" t="s" vm="54">
        <v>1266</v>
      </c>
      <c r="D48" t="s">
        <v>332</v>
      </c>
      <c r="E48" t="s">
        <v>485</v>
      </c>
      <c r="F48" t="s">
        <v>456</v>
      </c>
      <c r="G48" t="s">
        <v>461</v>
      </c>
      <c r="H48" t="s">
        <v>421</v>
      </c>
      <c r="I48" t="s">
        <v>159</v>
      </c>
      <c r="J48" t="s">
        <v>487</v>
      </c>
      <c r="K48" t="s">
        <v>492</v>
      </c>
      <c r="L48" t="s">
        <v>1729</v>
      </c>
    </row>
    <row r="49" spans="2:12">
      <c r="B49" t="s">
        <v>2378</v>
      </c>
      <c r="C49" t="s" vm="54">
        <v>1266</v>
      </c>
      <c r="D49" t="s">
        <v>332</v>
      </c>
      <c r="E49" t="s">
        <v>485</v>
      </c>
      <c r="F49" t="s">
        <v>456</v>
      </c>
      <c r="G49" t="s">
        <v>461</v>
      </c>
      <c r="H49" t="s">
        <v>157</v>
      </c>
      <c r="I49" t="s">
        <v>419</v>
      </c>
      <c r="J49" t="s">
        <v>487</v>
      </c>
      <c r="K49" t="s">
        <v>492</v>
      </c>
      <c r="L49" t="s">
        <v>2379</v>
      </c>
    </row>
    <row r="50" spans="2:12">
      <c r="B50" t="s">
        <v>2378</v>
      </c>
      <c r="C50" t="s" vm="54">
        <v>1266</v>
      </c>
      <c r="D50" t="s">
        <v>332</v>
      </c>
      <c r="E50" t="s">
        <v>485</v>
      </c>
      <c r="F50" t="s">
        <v>456</v>
      </c>
      <c r="G50" t="s">
        <v>461</v>
      </c>
      <c r="H50" t="s">
        <v>157</v>
      </c>
      <c r="I50" t="s">
        <v>419</v>
      </c>
      <c r="J50" t="s">
        <v>473</v>
      </c>
      <c r="K50" t="s">
        <v>485</v>
      </c>
      <c r="L50" t="s">
        <v>2351</v>
      </c>
    </row>
    <row r="51" spans="2:12">
      <c r="B51" t="s">
        <v>2365</v>
      </c>
      <c r="C51" t="s" vm="54">
        <v>1266</v>
      </c>
      <c r="D51" t="s">
        <v>332</v>
      </c>
      <c r="E51" t="s">
        <v>485</v>
      </c>
      <c r="F51" t="s">
        <v>456</v>
      </c>
      <c r="G51" t="s">
        <v>461</v>
      </c>
      <c r="H51" t="s">
        <v>421</v>
      </c>
      <c r="I51" t="s">
        <v>159</v>
      </c>
      <c r="J51" t="s">
        <v>473</v>
      </c>
      <c r="K51" t="s">
        <v>485</v>
      </c>
      <c r="L51" t="s">
        <v>1631</v>
      </c>
    </row>
    <row r="52" spans="2:12">
      <c r="B52" t="s">
        <v>2365</v>
      </c>
      <c r="C52" t="s" vm="54">
        <v>1266</v>
      </c>
      <c r="D52" t="s">
        <v>332</v>
      </c>
      <c r="E52" t="s">
        <v>485</v>
      </c>
      <c r="F52" t="s">
        <v>460</v>
      </c>
      <c r="G52" t="s">
        <v>461</v>
      </c>
      <c r="H52" t="s">
        <v>421</v>
      </c>
      <c r="I52" t="s">
        <v>159</v>
      </c>
      <c r="J52" t="s">
        <v>473</v>
      </c>
      <c r="K52" t="s">
        <v>485</v>
      </c>
      <c r="L52" t="s">
        <v>2363</v>
      </c>
    </row>
    <row r="53" spans="2:12">
      <c r="B53" t="s">
        <v>2365</v>
      </c>
      <c r="C53" t="s" vm="54">
        <v>1266</v>
      </c>
      <c r="D53" t="s">
        <v>332</v>
      </c>
      <c r="E53" t="s">
        <v>485</v>
      </c>
      <c r="F53" t="s">
        <v>456</v>
      </c>
      <c r="G53" t="s">
        <v>461</v>
      </c>
      <c r="H53" t="s">
        <v>421</v>
      </c>
      <c r="I53" t="s">
        <v>159</v>
      </c>
      <c r="J53" t="s">
        <v>473</v>
      </c>
      <c r="K53" t="s">
        <v>485</v>
      </c>
      <c r="L53" t="s">
        <v>1631</v>
      </c>
    </row>
    <row r="54" spans="2:12">
      <c r="B54" t="s">
        <v>2362</v>
      </c>
      <c r="C54" t="s" vm="54">
        <v>1266</v>
      </c>
      <c r="D54" t="s">
        <v>332</v>
      </c>
      <c r="E54" t="s">
        <v>485</v>
      </c>
      <c r="F54" t="s">
        <v>460</v>
      </c>
      <c r="G54" t="s">
        <v>461</v>
      </c>
      <c r="H54" t="s">
        <v>421</v>
      </c>
      <c r="I54" t="s">
        <v>159</v>
      </c>
      <c r="J54" t="s">
        <v>473</v>
      </c>
      <c r="K54" t="s">
        <v>485</v>
      </c>
      <c r="L54" t="s">
        <v>2363</v>
      </c>
    </row>
    <row r="55" spans="2:12">
      <c r="B55" t="s">
        <v>2362</v>
      </c>
      <c r="C55" t="s" vm="54">
        <v>1266</v>
      </c>
      <c r="D55" t="s">
        <v>332</v>
      </c>
      <c r="E55" t="s">
        <v>485</v>
      </c>
      <c r="F55" t="s">
        <v>460</v>
      </c>
      <c r="G55" t="s">
        <v>461</v>
      </c>
      <c r="H55" t="s">
        <v>421</v>
      </c>
      <c r="I55" t="s">
        <v>159</v>
      </c>
      <c r="J55" t="s">
        <v>473</v>
      </c>
      <c r="K55" t="s">
        <v>485</v>
      </c>
      <c r="L55" t="s">
        <v>2363</v>
      </c>
    </row>
    <row r="56" spans="2:12">
      <c r="B56" t="s">
        <v>2350</v>
      </c>
      <c r="C56" t="s" vm="54">
        <v>1266</v>
      </c>
      <c r="D56" t="s">
        <v>332</v>
      </c>
      <c r="E56" t="s">
        <v>485</v>
      </c>
      <c r="F56" t="s">
        <v>456</v>
      </c>
      <c r="G56" t="s">
        <v>461</v>
      </c>
      <c r="H56" t="s">
        <v>157</v>
      </c>
      <c r="I56" t="s">
        <v>419</v>
      </c>
      <c r="J56" t="s">
        <v>473</v>
      </c>
      <c r="K56" t="s">
        <v>485</v>
      </c>
      <c r="L56" t="s">
        <v>2351</v>
      </c>
    </row>
    <row r="57" spans="2:12">
      <c r="B57" t="s">
        <v>2333</v>
      </c>
      <c r="C57" t="s" vm="54">
        <v>1266</v>
      </c>
      <c r="D57" t="s">
        <v>332</v>
      </c>
      <c r="E57" t="s">
        <v>485</v>
      </c>
      <c r="F57" t="s">
        <v>456</v>
      </c>
      <c r="G57" t="s">
        <v>461</v>
      </c>
      <c r="H57" t="s">
        <v>421</v>
      </c>
      <c r="I57" t="s">
        <v>159</v>
      </c>
      <c r="J57" t="s">
        <v>473</v>
      </c>
      <c r="K57" t="s">
        <v>485</v>
      </c>
      <c r="L57" t="s">
        <v>2307</v>
      </c>
    </row>
    <row r="58" spans="2:12">
      <c r="B58" t="s">
        <v>2333</v>
      </c>
      <c r="C58" t="s" vm="54">
        <v>1266</v>
      </c>
      <c r="D58" t="s">
        <v>332</v>
      </c>
      <c r="E58" t="s">
        <v>485</v>
      </c>
      <c r="F58" t="s">
        <v>456</v>
      </c>
      <c r="G58" t="s">
        <v>461</v>
      </c>
      <c r="H58" t="s">
        <v>421</v>
      </c>
      <c r="I58" t="s">
        <v>159</v>
      </c>
      <c r="J58" t="s">
        <v>473</v>
      </c>
      <c r="K58" t="s">
        <v>485</v>
      </c>
      <c r="L58" t="s">
        <v>2307</v>
      </c>
    </row>
    <row r="59" spans="2:12">
      <c r="B59" t="s">
        <v>2326</v>
      </c>
      <c r="C59" t="s" vm="54">
        <v>1266</v>
      </c>
      <c r="D59" t="s">
        <v>332</v>
      </c>
      <c r="E59" t="s">
        <v>485</v>
      </c>
      <c r="F59" t="s">
        <v>456</v>
      </c>
      <c r="G59" t="s">
        <v>461</v>
      </c>
      <c r="H59" t="s">
        <v>157</v>
      </c>
      <c r="I59" t="s">
        <v>159</v>
      </c>
      <c r="J59" t="s">
        <v>473</v>
      </c>
      <c r="K59" t="s">
        <v>485</v>
      </c>
      <c r="L59" t="s">
        <v>2327</v>
      </c>
    </row>
    <row r="60" spans="2:12">
      <c r="B60" t="s">
        <v>2303</v>
      </c>
      <c r="C60" t="s" vm="54">
        <v>1266</v>
      </c>
      <c r="D60" t="s">
        <v>332</v>
      </c>
      <c r="E60" t="s">
        <v>485</v>
      </c>
      <c r="F60" t="s">
        <v>456</v>
      </c>
      <c r="G60" t="s">
        <v>461</v>
      </c>
      <c r="H60" t="s">
        <v>421</v>
      </c>
      <c r="I60" t="s">
        <v>159</v>
      </c>
      <c r="J60" t="s">
        <v>473</v>
      </c>
      <c r="K60" t="s">
        <v>485</v>
      </c>
      <c r="L60" t="s">
        <v>2307</v>
      </c>
    </row>
    <row r="61" spans="2:12">
      <c r="B61" t="s">
        <v>2303</v>
      </c>
      <c r="C61" t="s" vm="54">
        <v>1266</v>
      </c>
      <c r="D61" t="s">
        <v>332</v>
      </c>
      <c r="E61" t="s">
        <v>485</v>
      </c>
      <c r="F61" t="s">
        <v>456</v>
      </c>
      <c r="G61" t="s">
        <v>461</v>
      </c>
      <c r="H61" t="s">
        <v>421</v>
      </c>
      <c r="I61" t="s">
        <v>159</v>
      </c>
      <c r="J61" t="s">
        <v>123</v>
      </c>
      <c r="K61" t="s">
        <v>492</v>
      </c>
      <c r="L61" t="s">
        <v>2306</v>
      </c>
    </row>
    <row r="62" spans="2:12">
      <c r="B62" t="s">
        <v>2303</v>
      </c>
      <c r="C62" t="s" vm="54">
        <v>1266</v>
      </c>
      <c r="D62" t="s">
        <v>332</v>
      </c>
      <c r="E62" t="s">
        <v>485</v>
      </c>
      <c r="F62" t="s">
        <v>456</v>
      </c>
      <c r="G62" t="s">
        <v>461</v>
      </c>
      <c r="H62" t="s">
        <v>157</v>
      </c>
      <c r="I62" t="s">
        <v>419</v>
      </c>
      <c r="J62" t="s">
        <v>123</v>
      </c>
      <c r="K62" t="s">
        <v>492</v>
      </c>
      <c r="L62" t="s">
        <v>2304</v>
      </c>
    </row>
    <row r="63" spans="2:12">
      <c r="B63" t="s">
        <v>2273</v>
      </c>
      <c r="C63" t="s" vm="54">
        <v>1266</v>
      </c>
      <c r="D63" t="s">
        <v>332</v>
      </c>
      <c r="E63" t="s">
        <v>485</v>
      </c>
      <c r="F63" t="s">
        <v>458</v>
      </c>
      <c r="G63" t="s">
        <v>217</v>
      </c>
      <c r="H63" t="s">
        <v>421</v>
      </c>
      <c r="I63" t="s">
        <v>159</v>
      </c>
      <c r="J63" t="s">
        <v>123</v>
      </c>
      <c r="K63" t="s">
        <v>492</v>
      </c>
      <c r="L63" t="s">
        <v>2278</v>
      </c>
    </row>
    <row r="64" spans="2:12">
      <c r="B64" t="s">
        <v>2273</v>
      </c>
      <c r="C64" t="s" vm="54">
        <v>1266</v>
      </c>
      <c r="D64" t="s">
        <v>332</v>
      </c>
      <c r="E64" t="s">
        <v>485</v>
      </c>
      <c r="F64" t="s">
        <v>458</v>
      </c>
      <c r="G64" t="s">
        <v>217</v>
      </c>
      <c r="H64" t="s">
        <v>157</v>
      </c>
      <c r="I64" t="s">
        <v>418</v>
      </c>
      <c r="J64" t="s">
        <v>123</v>
      </c>
      <c r="K64" t="s">
        <v>492</v>
      </c>
      <c r="L64" t="s">
        <v>2277</v>
      </c>
    </row>
    <row r="65" spans="2:12">
      <c r="B65" t="s">
        <v>2273</v>
      </c>
      <c r="C65" t="s" vm="54">
        <v>1266</v>
      </c>
      <c r="D65" t="s">
        <v>332</v>
      </c>
      <c r="E65" t="s">
        <v>485</v>
      </c>
      <c r="F65" t="s">
        <v>458</v>
      </c>
      <c r="G65" t="s">
        <v>461</v>
      </c>
      <c r="H65" t="s">
        <v>157</v>
      </c>
      <c r="I65" t="s">
        <v>1494</v>
      </c>
      <c r="J65" t="s">
        <v>473</v>
      </c>
      <c r="K65" t="s">
        <v>485</v>
      </c>
      <c r="L65" t="s">
        <v>2275</v>
      </c>
    </row>
    <row r="66" spans="2:12">
      <c r="B66" t="s">
        <v>2273</v>
      </c>
      <c r="C66" t="s" vm="54">
        <v>1266</v>
      </c>
      <c r="D66" t="s">
        <v>332</v>
      </c>
      <c r="E66" t="s">
        <v>485</v>
      </c>
      <c r="F66" t="s">
        <v>456</v>
      </c>
      <c r="G66" t="s">
        <v>461</v>
      </c>
      <c r="H66" t="s">
        <v>157</v>
      </c>
      <c r="I66" t="s">
        <v>1494</v>
      </c>
      <c r="J66" t="s">
        <v>487</v>
      </c>
      <c r="K66" t="s">
        <v>492</v>
      </c>
      <c r="L66" t="s">
        <v>2274</v>
      </c>
    </row>
    <row r="67" spans="2:12">
      <c r="B67" t="s">
        <v>2265</v>
      </c>
      <c r="C67" t="s" vm="54">
        <v>1266</v>
      </c>
      <c r="D67" t="s">
        <v>332</v>
      </c>
      <c r="E67" t="s">
        <v>485</v>
      </c>
      <c r="F67" t="s">
        <v>458</v>
      </c>
      <c r="G67" t="s">
        <v>461</v>
      </c>
      <c r="H67" t="s">
        <v>421</v>
      </c>
      <c r="I67" t="s">
        <v>123</v>
      </c>
      <c r="J67" t="s">
        <v>123</v>
      </c>
      <c r="K67" t="s">
        <v>492</v>
      </c>
      <c r="L67" t="s">
        <v>2266</v>
      </c>
    </row>
    <row r="68" spans="2:12">
      <c r="B68" t="s">
        <v>2265</v>
      </c>
      <c r="C68" t="s" vm="54">
        <v>1266</v>
      </c>
      <c r="D68" t="s">
        <v>332</v>
      </c>
      <c r="E68" t="s">
        <v>485</v>
      </c>
      <c r="F68" t="s">
        <v>458</v>
      </c>
      <c r="G68" t="s">
        <v>461</v>
      </c>
      <c r="H68" t="s">
        <v>421</v>
      </c>
      <c r="I68" t="s">
        <v>123</v>
      </c>
      <c r="J68" t="s">
        <v>123</v>
      </c>
      <c r="K68" t="s">
        <v>492</v>
      </c>
      <c r="L68" t="s">
        <v>2266</v>
      </c>
    </row>
    <row r="69" spans="2:12">
      <c r="B69" t="s">
        <v>2265</v>
      </c>
      <c r="C69" t="s" vm="54">
        <v>1266</v>
      </c>
      <c r="D69" t="s">
        <v>332</v>
      </c>
      <c r="E69" t="s">
        <v>485</v>
      </c>
      <c r="F69" t="s">
        <v>456</v>
      </c>
      <c r="G69" t="s">
        <v>461</v>
      </c>
      <c r="H69" t="s">
        <v>421</v>
      </c>
      <c r="I69" t="s">
        <v>123</v>
      </c>
      <c r="J69" t="s">
        <v>123</v>
      </c>
      <c r="K69" t="s">
        <v>492</v>
      </c>
      <c r="L69" t="s">
        <v>1681</v>
      </c>
    </row>
    <row r="70" spans="2:12">
      <c r="B70" t="s">
        <v>2252</v>
      </c>
      <c r="C70" t="s" vm="54">
        <v>1266</v>
      </c>
      <c r="D70" t="s">
        <v>332</v>
      </c>
      <c r="E70" t="s">
        <v>485</v>
      </c>
      <c r="F70" t="s">
        <v>501</v>
      </c>
      <c r="G70" t="s">
        <v>461</v>
      </c>
      <c r="H70" t="s">
        <v>421</v>
      </c>
      <c r="I70" t="s">
        <v>123</v>
      </c>
      <c r="J70" t="s">
        <v>123</v>
      </c>
      <c r="K70" t="s">
        <v>492</v>
      </c>
      <c r="L70" t="s">
        <v>2258</v>
      </c>
    </row>
    <row r="71" spans="2:12">
      <c r="B71" t="s">
        <v>2252</v>
      </c>
      <c r="C71" t="s" vm="54">
        <v>1266</v>
      </c>
      <c r="D71" t="s">
        <v>332</v>
      </c>
      <c r="E71" t="s">
        <v>485</v>
      </c>
      <c r="F71" t="s">
        <v>501</v>
      </c>
      <c r="G71" t="s">
        <v>461</v>
      </c>
      <c r="H71" t="s">
        <v>421</v>
      </c>
      <c r="I71" t="s">
        <v>123</v>
      </c>
      <c r="J71" t="s">
        <v>123</v>
      </c>
      <c r="K71" t="s">
        <v>492</v>
      </c>
      <c r="L71" t="s">
        <v>2258</v>
      </c>
    </row>
    <row r="72" spans="2:12">
      <c r="B72" t="s">
        <v>2252</v>
      </c>
      <c r="C72" t="s" vm="54">
        <v>1266</v>
      </c>
      <c r="D72" t="s">
        <v>332</v>
      </c>
      <c r="E72" t="s">
        <v>485</v>
      </c>
      <c r="F72" t="s">
        <v>501</v>
      </c>
      <c r="G72" t="s">
        <v>461</v>
      </c>
      <c r="H72" t="s">
        <v>421</v>
      </c>
      <c r="I72" t="s">
        <v>123</v>
      </c>
      <c r="J72" t="s">
        <v>123</v>
      </c>
      <c r="K72" t="s">
        <v>492</v>
      </c>
      <c r="L72" t="s">
        <v>2257</v>
      </c>
    </row>
    <row r="73" spans="2:12">
      <c r="B73" t="s">
        <v>2252</v>
      </c>
      <c r="C73" t="s" vm="54">
        <v>1266</v>
      </c>
      <c r="D73" t="s">
        <v>332</v>
      </c>
      <c r="E73" t="s">
        <v>485</v>
      </c>
      <c r="F73" t="s">
        <v>501</v>
      </c>
      <c r="G73" t="s">
        <v>461</v>
      </c>
      <c r="H73" t="s">
        <v>421</v>
      </c>
      <c r="I73" t="s">
        <v>123</v>
      </c>
      <c r="J73" t="s">
        <v>123</v>
      </c>
      <c r="K73" t="s">
        <v>492</v>
      </c>
      <c r="L73" t="s">
        <v>2256</v>
      </c>
    </row>
    <row r="74" spans="2:12">
      <c r="B74" t="s">
        <v>2252</v>
      </c>
      <c r="C74" t="s" vm="54">
        <v>1266</v>
      </c>
      <c r="D74" t="s">
        <v>332</v>
      </c>
      <c r="E74" t="s">
        <v>485</v>
      </c>
      <c r="F74" t="s">
        <v>501</v>
      </c>
      <c r="G74" t="s">
        <v>461</v>
      </c>
      <c r="H74" t="s">
        <v>421</v>
      </c>
      <c r="I74" t="s">
        <v>123</v>
      </c>
      <c r="J74" t="s">
        <v>123</v>
      </c>
      <c r="K74" t="s">
        <v>492</v>
      </c>
      <c r="L74" t="s">
        <v>2255</v>
      </c>
    </row>
    <row r="75" spans="2:12">
      <c r="B75" t="s">
        <v>2252</v>
      </c>
      <c r="C75" t="s" vm="54">
        <v>1266</v>
      </c>
      <c r="D75" t="s">
        <v>332</v>
      </c>
      <c r="E75" t="s">
        <v>485</v>
      </c>
      <c r="F75" t="s">
        <v>501</v>
      </c>
      <c r="G75" t="s">
        <v>461</v>
      </c>
      <c r="H75" t="s">
        <v>421</v>
      </c>
      <c r="I75" t="s">
        <v>159</v>
      </c>
      <c r="J75" t="s">
        <v>123</v>
      </c>
      <c r="K75" t="s">
        <v>492</v>
      </c>
      <c r="L75" t="s">
        <v>2254</v>
      </c>
    </row>
    <row r="76" spans="2:12">
      <c r="B76" t="s">
        <v>2252</v>
      </c>
      <c r="C76" t="s" vm="54">
        <v>1266</v>
      </c>
      <c r="D76" t="s">
        <v>332</v>
      </c>
      <c r="E76" t="s">
        <v>485</v>
      </c>
      <c r="F76" t="s">
        <v>501</v>
      </c>
      <c r="G76" t="s">
        <v>461</v>
      </c>
      <c r="H76" t="s">
        <v>421</v>
      </c>
      <c r="I76" t="s">
        <v>159</v>
      </c>
      <c r="J76" t="s">
        <v>473</v>
      </c>
      <c r="K76" t="s">
        <v>492</v>
      </c>
      <c r="L76" t="s">
        <v>2253</v>
      </c>
    </row>
    <row r="77" spans="2:12">
      <c r="B77" t="s">
        <v>2241</v>
      </c>
      <c r="C77" t="s" vm="54">
        <v>1266</v>
      </c>
      <c r="D77" t="s">
        <v>332</v>
      </c>
      <c r="E77" t="s">
        <v>485</v>
      </c>
      <c r="F77" t="s">
        <v>456</v>
      </c>
      <c r="G77" t="s">
        <v>461</v>
      </c>
      <c r="H77" t="s">
        <v>421</v>
      </c>
      <c r="I77" t="s">
        <v>159</v>
      </c>
      <c r="J77" t="s">
        <v>473</v>
      </c>
      <c r="K77" t="s">
        <v>492</v>
      </c>
      <c r="L77" t="s">
        <v>2232</v>
      </c>
    </row>
    <row r="78" spans="2:12">
      <c r="B78" t="s">
        <v>2231</v>
      </c>
      <c r="C78" t="s" vm="54">
        <v>1266</v>
      </c>
      <c r="D78" t="s">
        <v>332</v>
      </c>
      <c r="E78" t="s">
        <v>485</v>
      </c>
      <c r="F78" t="s">
        <v>456</v>
      </c>
      <c r="G78" t="s">
        <v>461</v>
      </c>
      <c r="H78" t="s">
        <v>421</v>
      </c>
      <c r="I78" t="s">
        <v>159</v>
      </c>
      <c r="J78" t="s">
        <v>473</v>
      </c>
      <c r="K78" t="s">
        <v>492</v>
      </c>
      <c r="L78" t="s">
        <v>2232</v>
      </c>
    </row>
    <row r="79" spans="2:12">
      <c r="B79" t="s">
        <v>2226</v>
      </c>
      <c r="C79" t="s" vm="54">
        <v>1266</v>
      </c>
      <c r="D79" t="s">
        <v>332</v>
      </c>
      <c r="E79" t="s">
        <v>485</v>
      </c>
      <c r="F79" t="s">
        <v>458</v>
      </c>
      <c r="G79" t="s">
        <v>461</v>
      </c>
      <c r="H79" t="s">
        <v>158</v>
      </c>
      <c r="I79" t="s">
        <v>416</v>
      </c>
      <c r="J79" t="s">
        <v>473</v>
      </c>
      <c r="K79" t="s">
        <v>485</v>
      </c>
      <c r="L79" t="s">
        <v>1809</v>
      </c>
    </row>
    <row r="80" spans="2:12">
      <c r="B80" t="s">
        <v>2220</v>
      </c>
      <c r="C80" t="s" vm="54">
        <v>1266</v>
      </c>
      <c r="D80" t="s">
        <v>332</v>
      </c>
      <c r="E80" t="s">
        <v>485</v>
      </c>
      <c r="F80" t="s">
        <v>456</v>
      </c>
      <c r="G80" t="s">
        <v>461</v>
      </c>
      <c r="H80" t="s">
        <v>158</v>
      </c>
      <c r="I80" t="s">
        <v>416</v>
      </c>
      <c r="J80" t="s">
        <v>473</v>
      </c>
      <c r="K80" t="s">
        <v>485</v>
      </c>
      <c r="L80" t="s">
        <v>2015</v>
      </c>
    </row>
    <row r="81" spans="2:12">
      <c r="B81" t="s">
        <v>2194</v>
      </c>
      <c r="C81" t="s" vm="54">
        <v>1266</v>
      </c>
      <c r="D81" t="s">
        <v>332</v>
      </c>
      <c r="E81" t="s">
        <v>485</v>
      </c>
      <c r="F81" t="s">
        <v>456</v>
      </c>
      <c r="G81" t="s">
        <v>461</v>
      </c>
      <c r="H81" t="s">
        <v>158</v>
      </c>
      <c r="I81" t="s">
        <v>416</v>
      </c>
      <c r="J81" t="s">
        <v>473</v>
      </c>
      <c r="K81" t="s">
        <v>485</v>
      </c>
      <c r="L81" t="s">
        <v>1814</v>
      </c>
    </row>
    <row r="82" spans="2:12">
      <c r="B82" t="s">
        <v>2194</v>
      </c>
      <c r="C82" t="s" vm="54">
        <v>1266</v>
      </c>
      <c r="D82" t="s">
        <v>332</v>
      </c>
      <c r="E82" t="s">
        <v>485</v>
      </c>
      <c r="F82" t="s">
        <v>458</v>
      </c>
      <c r="G82" t="s">
        <v>217</v>
      </c>
      <c r="H82" t="s">
        <v>158</v>
      </c>
      <c r="I82" t="s">
        <v>416</v>
      </c>
      <c r="J82" t="s">
        <v>473</v>
      </c>
      <c r="K82" t="s">
        <v>485</v>
      </c>
      <c r="L82" t="s">
        <v>2195</v>
      </c>
    </row>
    <row r="83" spans="2:12">
      <c r="B83" t="s">
        <v>2191</v>
      </c>
      <c r="C83" t="s" vm="54">
        <v>1266</v>
      </c>
      <c r="D83" t="s">
        <v>332</v>
      </c>
      <c r="E83" t="s">
        <v>485</v>
      </c>
      <c r="F83" t="s">
        <v>456</v>
      </c>
      <c r="G83" t="s">
        <v>461</v>
      </c>
      <c r="H83" t="s">
        <v>158</v>
      </c>
      <c r="I83" t="s">
        <v>1494</v>
      </c>
      <c r="J83" t="s">
        <v>473</v>
      </c>
      <c r="K83" t="s">
        <v>485</v>
      </c>
      <c r="L83" t="s">
        <v>1892</v>
      </c>
    </row>
    <row r="84" spans="2:12">
      <c r="B84" t="s">
        <v>2169</v>
      </c>
      <c r="C84" t="s" vm="54">
        <v>1266</v>
      </c>
      <c r="D84" t="s">
        <v>332</v>
      </c>
      <c r="E84" t="s">
        <v>485</v>
      </c>
      <c r="F84" t="s">
        <v>458</v>
      </c>
      <c r="G84" t="s">
        <v>461</v>
      </c>
      <c r="H84" t="s">
        <v>158</v>
      </c>
      <c r="I84" t="s">
        <v>1494</v>
      </c>
      <c r="J84" t="s">
        <v>473</v>
      </c>
      <c r="K84" t="s">
        <v>485</v>
      </c>
      <c r="L84" t="s">
        <v>1721</v>
      </c>
    </row>
    <row r="85" spans="2:12">
      <c r="B85" t="s">
        <v>2152</v>
      </c>
      <c r="C85" t="s" vm="54">
        <v>1266</v>
      </c>
      <c r="D85" t="s">
        <v>332</v>
      </c>
      <c r="E85" t="s">
        <v>485</v>
      </c>
      <c r="F85" t="s">
        <v>456</v>
      </c>
      <c r="G85" t="s">
        <v>461</v>
      </c>
      <c r="H85" t="s">
        <v>157</v>
      </c>
      <c r="I85" t="s">
        <v>416</v>
      </c>
      <c r="J85" t="s">
        <v>473</v>
      </c>
      <c r="K85" t="s">
        <v>485</v>
      </c>
      <c r="L85" t="s">
        <v>2115</v>
      </c>
    </row>
    <row r="86" spans="2:12">
      <c r="B86" t="s">
        <v>2152</v>
      </c>
      <c r="C86" t="s" vm="54">
        <v>1266</v>
      </c>
      <c r="D86" t="s">
        <v>332</v>
      </c>
      <c r="E86" t="s">
        <v>485</v>
      </c>
      <c r="F86" t="s">
        <v>460</v>
      </c>
      <c r="G86" t="s">
        <v>461</v>
      </c>
      <c r="H86" t="s">
        <v>157</v>
      </c>
      <c r="I86" t="s">
        <v>416</v>
      </c>
      <c r="J86" t="s">
        <v>473</v>
      </c>
      <c r="K86" t="s">
        <v>485</v>
      </c>
      <c r="L86" t="s">
        <v>2161</v>
      </c>
    </row>
    <row r="87" spans="2:12">
      <c r="B87" t="s">
        <v>2152</v>
      </c>
      <c r="C87" t="s" vm="54">
        <v>1266</v>
      </c>
      <c r="D87" t="s">
        <v>332</v>
      </c>
      <c r="E87" t="s">
        <v>485</v>
      </c>
      <c r="F87" t="s">
        <v>458</v>
      </c>
      <c r="G87" t="s">
        <v>461</v>
      </c>
      <c r="H87" t="s">
        <v>157</v>
      </c>
      <c r="I87" t="s">
        <v>416</v>
      </c>
      <c r="J87" t="s">
        <v>473</v>
      </c>
      <c r="K87" t="s">
        <v>485</v>
      </c>
      <c r="L87" t="s">
        <v>2087</v>
      </c>
    </row>
    <row r="88" spans="2:12">
      <c r="B88" t="s">
        <v>2152</v>
      </c>
      <c r="C88" t="s" vm="54">
        <v>1266</v>
      </c>
      <c r="D88" t="s">
        <v>332</v>
      </c>
      <c r="E88" t="s">
        <v>485</v>
      </c>
      <c r="F88" t="s">
        <v>458</v>
      </c>
      <c r="G88" t="s">
        <v>461</v>
      </c>
      <c r="H88" t="s">
        <v>157</v>
      </c>
      <c r="I88" t="s">
        <v>416</v>
      </c>
      <c r="J88" t="s">
        <v>473</v>
      </c>
      <c r="K88" t="s">
        <v>485</v>
      </c>
      <c r="L88" t="s">
        <v>2087</v>
      </c>
    </row>
    <row r="89" spans="2:12">
      <c r="B89" t="s">
        <v>2152</v>
      </c>
      <c r="C89" t="s" vm="54">
        <v>1266</v>
      </c>
      <c r="D89" t="s">
        <v>332</v>
      </c>
      <c r="E89" t="s">
        <v>485</v>
      </c>
      <c r="F89" t="s">
        <v>456</v>
      </c>
      <c r="G89" t="s">
        <v>461</v>
      </c>
      <c r="H89" t="s">
        <v>157</v>
      </c>
      <c r="I89" t="s">
        <v>416</v>
      </c>
      <c r="J89" t="s">
        <v>487</v>
      </c>
      <c r="K89" t="s">
        <v>492</v>
      </c>
      <c r="L89" t="s">
        <v>1548</v>
      </c>
    </row>
    <row r="90" spans="2:12">
      <c r="B90" t="s">
        <v>2152</v>
      </c>
      <c r="C90" t="s" vm="54">
        <v>1266</v>
      </c>
      <c r="D90" t="s">
        <v>332</v>
      </c>
      <c r="E90" t="s">
        <v>485</v>
      </c>
      <c r="F90" t="s">
        <v>456</v>
      </c>
      <c r="G90" t="s">
        <v>461</v>
      </c>
      <c r="H90" t="s">
        <v>158</v>
      </c>
      <c r="I90" t="s">
        <v>416</v>
      </c>
      <c r="J90" t="s">
        <v>473</v>
      </c>
      <c r="K90" t="s">
        <v>485</v>
      </c>
      <c r="L90" t="s">
        <v>2015</v>
      </c>
    </row>
    <row r="91" spans="2:12">
      <c r="B91" t="s">
        <v>2145</v>
      </c>
      <c r="C91" t="s" vm="54">
        <v>1266</v>
      </c>
      <c r="D91" t="s">
        <v>332</v>
      </c>
      <c r="E91" t="s">
        <v>485</v>
      </c>
      <c r="F91" t="s">
        <v>456</v>
      </c>
      <c r="G91" t="s">
        <v>461</v>
      </c>
      <c r="H91" t="s">
        <v>158</v>
      </c>
      <c r="I91" t="s">
        <v>416</v>
      </c>
      <c r="J91" t="s">
        <v>487</v>
      </c>
      <c r="K91" t="s">
        <v>492</v>
      </c>
      <c r="L91" t="s">
        <v>1941</v>
      </c>
    </row>
    <row r="92" spans="2:12">
      <c r="B92" t="s">
        <v>2140</v>
      </c>
      <c r="C92" t="s" vm="54">
        <v>1266</v>
      </c>
      <c r="D92" t="s">
        <v>332</v>
      </c>
      <c r="E92" t="s">
        <v>485</v>
      </c>
      <c r="F92" t="s">
        <v>456</v>
      </c>
      <c r="G92" t="s">
        <v>461</v>
      </c>
      <c r="H92" t="s">
        <v>157</v>
      </c>
      <c r="I92" t="s">
        <v>1494</v>
      </c>
      <c r="J92" t="s">
        <v>473</v>
      </c>
      <c r="K92" t="s">
        <v>485</v>
      </c>
      <c r="L92" t="s">
        <v>2141</v>
      </c>
    </row>
    <row r="93" spans="2:12">
      <c r="B93" t="s">
        <v>2140</v>
      </c>
      <c r="C93" t="s" vm="54">
        <v>1266</v>
      </c>
      <c r="D93" t="s">
        <v>332</v>
      </c>
      <c r="E93" t="s">
        <v>485</v>
      </c>
      <c r="F93" t="s">
        <v>456</v>
      </c>
      <c r="G93" t="s">
        <v>461</v>
      </c>
      <c r="H93" t="s">
        <v>157</v>
      </c>
      <c r="I93" t="s">
        <v>1494</v>
      </c>
      <c r="J93" t="s">
        <v>473</v>
      </c>
      <c r="K93" t="s">
        <v>485</v>
      </c>
      <c r="L93" t="s">
        <v>2142</v>
      </c>
    </row>
    <row r="94" spans="2:12">
      <c r="B94" t="s">
        <v>2140</v>
      </c>
      <c r="C94" t="s" vm="54">
        <v>1266</v>
      </c>
      <c r="D94" t="s">
        <v>332</v>
      </c>
      <c r="E94" t="s">
        <v>485</v>
      </c>
      <c r="F94" t="s">
        <v>456</v>
      </c>
      <c r="G94" t="s">
        <v>461</v>
      </c>
      <c r="H94" t="s">
        <v>157</v>
      </c>
      <c r="I94" t="s">
        <v>1494</v>
      </c>
      <c r="J94" t="s">
        <v>473</v>
      </c>
      <c r="K94" t="s">
        <v>485</v>
      </c>
      <c r="L94" t="s">
        <v>2142</v>
      </c>
    </row>
    <row r="95" spans="2:12">
      <c r="B95" t="s">
        <v>2140</v>
      </c>
      <c r="C95" t="s" vm="54">
        <v>1266</v>
      </c>
      <c r="D95" t="s">
        <v>332</v>
      </c>
      <c r="E95" t="s">
        <v>485</v>
      </c>
      <c r="F95" t="s">
        <v>456</v>
      </c>
      <c r="G95" t="s">
        <v>461</v>
      </c>
      <c r="H95" t="s">
        <v>157</v>
      </c>
      <c r="I95" t="s">
        <v>1494</v>
      </c>
      <c r="J95" t="s">
        <v>473</v>
      </c>
      <c r="K95" t="s">
        <v>485</v>
      </c>
      <c r="L95" t="s">
        <v>2141</v>
      </c>
    </row>
    <row r="96" spans="2:12">
      <c r="B96" t="s">
        <v>2114</v>
      </c>
      <c r="C96" t="s" vm="54">
        <v>1266</v>
      </c>
      <c r="D96" t="s">
        <v>332</v>
      </c>
      <c r="E96" t="s">
        <v>485</v>
      </c>
      <c r="F96" t="s">
        <v>456</v>
      </c>
      <c r="G96" t="s">
        <v>461</v>
      </c>
      <c r="H96" t="s">
        <v>157</v>
      </c>
      <c r="I96" t="s">
        <v>416</v>
      </c>
      <c r="J96" t="s">
        <v>473</v>
      </c>
      <c r="K96" t="s">
        <v>485</v>
      </c>
      <c r="L96" t="s">
        <v>2115</v>
      </c>
    </row>
    <row r="97" spans="2:12">
      <c r="B97" t="s">
        <v>2086</v>
      </c>
      <c r="C97" t="s" vm="54">
        <v>1266</v>
      </c>
      <c r="D97" t="s">
        <v>332</v>
      </c>
      <c r="E97" t="s">
        <v>485</v>
      </c>
      <c r="F97" t="s">
        <v>458</v>
      </c>
      <c r="G97" t="s">
        <v>461</v>
      </c>
      <c r="H97" t="s">
        <v>157</v>
      </c>
      <c r="I97" t="s">
        <v>416</v>
      </c>
      <c r="J97" t="s">
        <v>473</v>
      </c>
      <c r="K97" t="s">
        <v>485</v>
      </c>
      <c r="L97" t="s">
        <v>2087</v>
      </c>
    </row>
    <row r="98" spans="2:12">
      <c r="B98" t="s">
        <v>2075</v>
      </c>
      <c r="C98" t="s" vm="54">
        <v>1266</v>
      </c>
      <c r="D98" t="s">
        <v>332</v>
      </c>
      <c r="E98" t="s">
        <v>485</v>
      </c>
      <c r="F98" t="s">
        <v>458</v>
      </c>
      <c r="G98" t="s">
        <v>461</v>
      </c>
      <c r="H98" t="s">
        <v>157</v>
      </c>
      <c r="I98" t="s">
        <v>416</v>
      </c>
      <c r="J98" t="s">
        <v>473</v>
      </c>
      <c r="K98" t="s">
        <v>485</v>
      </c>
      <c r="L98" t="s">
        <v>1710</v>
      </c>
    </row>
    <row r="99" spans="2:12">
      <c r="B99" t="s">
        <v>2075</v>
      </c>
      <c r="C99" t="s" vm="54">
        <v>1266</v>
      </c>
      <c r="D99" t="s">
        <v>332</v>
      </c>
      <c r="E99" t="s">
        <v>485</v>
      </c>
      <c r="F99" t="s">
        <v>458</v>
      </c>
      <c r="G99" t="s">
        <v>461</v>
      </c>
      <c r="H99" t="s">
        <v>157</v>
      </c>
      <c r="I99" t="s">
        <v>416</v>
      </c>
      <c r="J99" t="s">
        <v>473</v>
      </c>
      <c r="K99" t="s">
        <v>485</v>
      </c>
      <c r="L99" t="s">
        <v>1710</v>
      </c>
    </row>
    <row r="100" spans="2:12">
      <c r="B100" t="s">
        <v>2075</v>
      </c>
      <c r="C100" t="s" vm="54">
        <v>1266</v>
      </c>
      <c r="D100" t="s">
        <v>332</v>
      </c>
      <c r="E100" t="s">
        <v>485</v>
      </c>
      <c r="F100" t="s">
        <v>458</v>
      </c>
      <c r="G100" t="s">
        <v>461</v>
      </c>
      <c r="H100" t="s">
        <v>421</v>
      </c>
      <c r="I100" t="s">
        <v>159</v>
      </c>
      <c r="J100" t="s">
        <v>487</v>
      </c>
      <c r="K100" t="s">
        <v>492</v>
      </c>
      <c r="L100" t="s">
        <v>1609</v>
      </c>
    </row>
    <row r="101" spans="2:12">
      <c r="B101" t="s">
        <v>2068</v>
      </c>
      <c r="C101" t="s" vm="54">
        <v>1266</v>
      </c>
      <c r="D101" t="s">
        <v>332</v>
      </c>
      <c r="E101" t="s">
        <v>485</v>
      </c>
      <c r="F101" t="s">
        <v>456</v>
      </c>
      <c r="G101" t="s">
        <v>461</v>
      </c>
      <c r="H101" t="s">
        <v>421</v>
      </c>
      <c r="I101" t="s">
        <v>159</v>
      </c>
      <c r="J101" t="s">
        <v>473</v>
      </c>
      <c r="K101" t="s">
        <v>485</v>
      </c>
      <c r="L101" t="s">
        <v>1631</v>
      </c>
    </row>
    <row r="102" spans="2:12">
      <c r="B102" t="s">
        <v>2063</v>
      </c>
      <c r="C102" t="s" vm="54">
        <v>1266</v>
      </c>
      <c r="D102" t="s">
        <v>332</v>
      </c>
      <c r="E102" t="s">
        <v>485</v>
      </c>
      <c r="F102" t="s">
        <v>456</v>
      </c>
      <c r="G102" t="s">
        <v>461</v>
      </c>
      <c r="H102" t="s">
        <v>421</v>
      </c>
      <c r="I102" t="s">
        <v>159</v>
      </c>
      <c r="J102" t="s">
        <v>473</v>
      </c>
      <c r="K102" t="s">
        <v>485</v>
      </c>
      <c r="L102" t="s">
        <v>2016</v>
      </c>
    </row>
    <row r="103" spans="2:12">
      <c r="B103" t="s">
        <v>2055</v>
      </c>
      <c r="C103" t="s" vm="54">
        <v>1266</v>
      </c>
      <c r="D103" t="s">
        <v>332</v>
      </c>
      <c r="E103" t="s">
        <v>485</v>
      </c>
      <c r="F103" t="s">
        <v>458</v>
      </c>
      <c r="G103" t="s">
        <v>461</v>
      </c>
      <c r="H103" t="s">
        <v>421</v>
      </c>
      <c r="I103" t="s">
        <v>159</v>
      </c>
      <c r="J103" t="s">
        <v>487</v>
      </c>
      <c r="K103" t="s">
        <v>492</v>
      </c>
      <c r="L103" t="s">
        <v>2056</v>
      </c>
    </row>
    <row r="104" spans="2:12">
      <c r="B104" t="s">
        <v>2052</v>
      </c>
      <c r="C104" t="s" vm="54">
        <v>1266</v>
      </c>
      <c r="D104" t="s">
        <v>332</v>
      </c>
      <c r="E104" t="s">
        <v>485</v>
      </c>
      <c r="F104" t="s">
        <v>460</v>
      </c>
      <c r="G104" t="s">
        <v>461</v>
      </c>
      <c r="H104" t="s">
        <v>158</v>
      </c>
      <c r="I104" t="s">
        <v>416</v>
      </c>
      <c r="J104" t="s">
        <v>473</v>
      </c>
      <c r="K104" t="s">
        <v>485</v>
      </c>
      <c r="L104" t="s">
        <v>1671</v>
      </c>
    </row>
    <row r="105" spans="2:12">
      <c r="B105" t="s">
        <v>2052</v>
      </c>
      <c r="C105" t="s" vm="54">
        <v>1266</v>
      </c>
      <c r="D105" t="s">
        <v>332</v>
      </c>
      <c r="E105" t="s">
        <v>485</v>
      </c>
      <c r="F105" t="s">
        <v>460</v>
      </c>
      <c r="G105" t="s">
        <v>461</v>
      </c>
      <c r="H105" t="s">
        <v>158</v>
      </c>
      <c r="I105" t="s">
        <v>416</v>
      </c>
      <c r="J105" t="s">
        <v>473</v>
      </c>
      <c r="K105" t="s">
        <v>485</v>
      </c>
      <c r="L105" t="s">
        <v>1671</v>
      </c>
    </row>
    <row r="106" spans="2:12">
      <c r="B106" t="s">
        <v>2040</v>
      </c>
      <c r="C106" t="s" vm="54">
        <v>1266</v>
      </c>
      <c r="D106" t="s">
        <v>332</v>
      </c>
      <c r="E106" t="s">
        <v>485</v>
      </c>
      <c r="F106" t="s">
        <v>456</v>
      </c>
      <c r="G106" t="s">
        <v>461</v>
      </c>
      <c r="H106" t="s">
        <v>158</v>
      </c>
      <c r="I106" t="s">
        <v>416</v>
      </c>
      <c r="J106" t="s">
        <v>487</v>
      </c>
      <c r="K106" t="s">
        <v>492</v>
      </c>
      <c r="L106" t="s">
        <v>1941</v>
      </c>
    </row>
    <row r="107" spans="2:12">
      <c r="B107" t="s">
        <v>2030</v>
      </c>
      <c r="C107" t="s" vm="54">
        <v>1266</v>
      </c>
      <c r="D107" t="s">
        <v>332</v>
      </c>
      <c r="E107" t="s">
        <v>485</v>
      </c>
      <c r="F107" t="s">
        <v>458</v>
      </c>
      <c r="G107" t="s">
        <v>461</v>
      </c>
      <c r="H107" t="s">
        <v>421</v>
      </c>
      <c r="I107" t="s">
        <v>159</v>
      </c>
      <c r="J107" t="s">
        <v>473</v>
      </c>
      <c r="K107" t="s">
        <v>485</v>
      </c>
      <c r="L107" t="s">
        <v>1779</v>
      </c>
    </row>
    <row r="108" spans="2:12">
      <c r="B108" t="s">
        <v>2030</v>
      </c>
      <c r="C108" t="s" vm="54">
        <v>1266</v>
      </c>
      <c r="D108" t="s">
        <v>332</v>
      </c>
      <c r="E108" t="s">
        <v>485</v>
      </c>
      <c r="F108" t="s">
        <v>458</v>
      </c>
      <c r="G108" t="s">
        <v>461</v>
      </c>
      <c r="H108" t="s">
        <v>157</v>
      </c>
      <c r="I108" t="s">
        <v>419</v>
      </c>
      <c r="J108" t="s">
        <v>473</v>
      </c>
      <c r="K108" t="s">
        <v>485</v>
      </c>
      <c r="L108" t="s">
        <v>1439</v>
      </c>
    </row>
    <row r="109" spans="2:12">
      <c r="B109" t="s">
        <v>2030</v>
      </c>
      <c r="C109" t="s" vm="54">
        <v>1266</v>
      </c>
      <c r="D109" t="s">
        <v>332</v>
      </c>
      <c r="E109" t="s">
        <v>485</v>
      </c>
      <c r="F109" t="s">
        <v>458</v>
      </c>
      <c r="G109" t="s">
        <v>217</v>
      </c>
      <c r="H109" t="s">
        <v>157</v>
      </c>
      <c r="I109" t="s">
        <v>419</v>
      </c>
      <c r="J109" t="s">
        <v>473</v>
      </c>
      <c r="K109" t="s">
        <v>485</v>
      </c>
      <c r="L109" t="s">
        <v>2031</v>
      </c>
    </row>
    <row r="110" spans="2:12">
      <c r="B110" t="s">
        <v>2030</v>
      </c>
      <c r="C110" t="s" vm="54">
        <v>1266</v>
      </c>
      <c r="D110" t="s">
        <v>332</v>
      </c>
      <c r="E110" t="s">
        <v>485</v>
      </c>
      <c r="F110" t="s">
        <v>458</v>
      </c>
      <c r="G110" t="s">
        <v>217</v>
      </c>
      <c r="H110" t="s">
        <v>157</v>
      </c>
      <c r="I110" t="s">
        <v>416</v>
      </c>
      <c r="J110" t="s">
        <v>473</v>
      </c>
      <c r="K110" t="s">
        <v>485</v>
      </c>
      <c r="L110" t="s">
        <v>1640</v>
      </c>
    </row>
    <row r="111" spans="2:12">
      <c r="B111" t="s">
        <v>2021</v>
      </c>
      <c r="C111" t="s" vm="54">
        <v>1266</v>
      </c>
      <c r="D111" t="s">
        <v>332</v>
      </c>
      <c r="E111" t="s">
        <v>485</v>
      </c>
      <c r="F111" t="s">
        <v>456</v>
      </c>
      <c r="G111" t="s">
        <v>461</v>
      </c>
      <c r="H111" t="s">
        <v>157</v>
      </c>
      <c r="I111" t="s">
        <v>416</v>
      </c>
      <c r="J111" t="s">
        <v>473</v>
      </c>
      <c r="K111" t="s">
        <v>485</v>
      </c>
      <c r="L111" t="s">
        <v>1791</v>
      </c>
    </row>
    <row r="112" spans="2:12">
      <c r="B112" t="s">
        <v>2021</v>
      </c>
      <c r="C112" t="s" vm="54">
        <v>1266</v>
      </c>
      <c r="D112" t="s">
        <v>332</v>
      </c>
      <c r="E112" t="s">
        <v>485</v>
      </c>
      <c r="F112" t="s">
        <v>458</v>
      </c>
      <c r="G112" t="s">
        <v>461</v>
      </c>
      <c r="H112" t="s">
        <v>157</v>
      </c>
      <c r="I112" t="s">
        <v>416</v>
      </c>
      <c r="J112" t="s">
        <v>473</v>
      </c>
      <c r="K112" t="s">
        <v>485</v>
      </c>
      <c r="L112" t="s">
        <v>1710</v>
      </c>
    </row>
    <row r="113" spans="2:12">
      <c r="B113" t="s">
        <v>2020</v>
      </c>
      <c r="C113" t="s" vm="54">
        <v>1266</v>
      </c>
      <c r="D113" t="s">
        <v>332</v>
      </c>
      <c r="E113" t="s">
        <v>485</v>
      </c>
      <c r="F113" t="s">
        <v>456</v>
      </c>
      <c r="G113" t="s">
        <v>461</v>
      </c>
      <c r="H113" t="s">
        <v>157</v>
      </c>
      <c r="I113" t="s">
        <v>416</v>
      </c>
      <c r="J113" t="s">
        <v>473</v>
      </c>
      <c r="K113" t="s">
        <v>485</v>
      </c>
      <c r="L113" t="s">
        <v>1791</v>
      </c>
    </row>
    <row r="114" spans="2:12">
      <c r="B114" t="s">
        <v>2014</v>
      </c>
      <c r="C114" t="s" vm="54">
        <v>1266</v>
      </c>
      <c r="D114" t="s">
        <v>332</v>
      </c>
      <c r="E114" t="s">
        <v>485</v>
      </c>
      <c r="F114" t="s">
        <v>458</v>
      </c>
      <c r="G114" t="s">
        <v>461</v>
      </c>
      <c r="H114" t="s">
        <v>158</v>
      </c>
      <c r="I114" t="s">
        <v>416</v>
      </c>
      <c r="J114" t="s">
        <v>473</v>
      </c>
      <c r="K114" t="s">
        <v>485</v>
      </c>
      <c r="L114" t="s">
        <v>1809</v>
      </c>
    </row>
    <row r="115" spans="2:12">
      <c r="B115" t="s">
        <v>2014</v>
      </c>
      <c r="C115" t="s" vm="54">
        <v>1266</v>
      </c>
      <c r="D115" t="s">
        <v>332</v>
      </c>
      <c r="E115" t="s">
        <v>485</v>
      </c>
      <c r="F115" t="s">
        <v>458</v>
      </c>
      <c r="G115" t="s">
        <v>461</v>
      </c>
      <c r="H115" t="s">
        <v>421</v>
      </c>
      <c r="I115" t="s">
        <v>159</v>
      </c>
      <c r="J115" t="s">
        <v>473</v>
      </c>
      <c r="K115" t="s">
        <v>485</v>
      </c>
      <c r="L115" t="s">
        <v>2017</v>
      </c>
    </row>
    <row r="116" spans="2:12">
      <c r="B116" t="s">
        <v>2014</v>
      </c>
      <c r="C116" t="s" vm="54">
        <v>1266</v>
      </c>
      <c r="D116" t="s">
        <v>332</v>
      </c>
      <c r="E116" t="s">
        <v>485</v>
      </c>
      <c r="F116" t="s">
        <v>456</v>
      </c>
      <c r="G116" t="s">
        <v>461</v>
      </c>
      <c r="H116" t="s">
        <v>421</v>
      </c>
      <c r="I116" t="s">
        <v>159</v>
      </c>
      <c r="J116" t="s">
        <v>473</v>
      </c>
      <c r="K116" t="s">
        <v>485</v>
      </c>
      <c r="L116" t="s">
        <v>2016</v>
      </c>
    </row>
    <row r="117" spans="2:12">
      <c r="B117" t="s">
        <v>2014</v>
      </c>
      <c r="C117" t="s" vm="54">
        <v>1266</v>
      </c>
      <c r="D117" t="s">
        <v>332</v>
      </c>
      <c r="E117" t="s">
        <v>485</v>
      </c>
      <c r="F117" t="s">
        <v>456</v>
      </c>
      <c r="G117" t="s">
        <v>461</v>
      </c>
      <c r="H117" t="s">
        <v>421</v>
      </c>
      <c r="I117" t="s">
        <v>159</v>
      </c>
      <c r="J117" t="s">
        <v>473</v>
      </c>
      <c r="K117" t="s">
        <v>485</v>
      </c>
      <c r="L117" t="s">
        <v>2016</v>
      </c>
    </row>
    <row r="118" spans="2:12">
      <c r="B118" t="s">
        <v>2014</v>
      </c>
      <c r="C118" t="s" vm="54">
        <v>1266</v>
      </c>
      <c r="D118" t="s">
        <v>332</v>
      </c>
      <c r="E118" t="s">
        <v>485</v>
      </c>
      <c r="F118" t="s">
        <v>456</v>
      </c>
      <c r="G118" t="s">
        <v>461</v>
      </c>
      <c r="H118" t="s">
        <v>158</v>
      </c>
      <c r="I118" t="s">
        <v>416</v>
      </c>
      <c r="J118" t="s">
        <v>473</v>
      </c>
      <c r="K118" t="s">
        <v>485</v>
      </c>
      <c r="L118" t="s">
        <v>2015</v>
      </c>
    </row>
    <row r="119" spans="2:12">
      <c r="B119" t="s">
        <v>2014</v>
      </c>
      <c r="C119" t="s" vm="54">
        <v>1266</v>
      </c>
      <c r="D119" t="s">
        <v>332</v>
      </c>
      <c r="E119" t="s">
        <v>485</v>
      </c>
      <c r="F119" t="s">
        <v>456</v>
      </c>
      <c r="G119" t="s">
        <v>461</v>
      </c>
      <c r="H119" t="s">
        <v>158</v>
      </c>
      <c r="I119" t="s">
        <v>416</v>
      </c>
      <c r="J119" t="s">
        <v>473</v>
      </c>
      <c r="K119" t="s">
        <v>485</v>
      </c>
      <c r="L119" t="s">
        <v>2015</v>
      </c>
    </row>
    <row r="120" spans="2:12">
      <c r="B120" t="s">
        <v>2014</v>
      </c>
      <c r="C120" t="s" vm="54">
        <v>1266</v>
      </c>
      <c r="D120" t="s">
        <v>332</v>
      </c>
      <c r="E120" t="s">
        <v>485</v>
      </c>
      <c r="F120" t="s">
        <v>456</v>
      </c>
      <c r="G120" t="s">
        <v>461</v>
      </c>
      <c r="H120" t="s">
        <v>157</v>
      </c>
      <c r="I120" t="s">
        <v>417</v>
      </c>
      <c r="J120" t="s">
        <v>473</v>
      </c>
      <c r="K120" t="s">
        <v>485</v>
      </c>
      <c r="L120" t="s">
        <v>2006</v>
      </c>
    </row>
    <row r="121" spans="2:12">
      <c r="B121" t="s">
        <v>2003</v>
      </c>
      <c r="C121" t="s" vm="54">
        <v>1266</v>
      </c>
      <c r="D121" t="s">
        <v>332</v>
      </c>
      <c r="E121" t="s">
        <v>485</v>
      </c>
      <c r="F121" t="s">
        <v>456</v>
      </c>
      <c r="G121" t="s">
        <v>461</v>
      </c>
      <c r="H121" t="s">
        <v>157</v>
      </c>
      <c r="I121" t="s">
        <v>417</v>
      </c>
      <c r="J121" t="s">
        <v>473</v>
      </c>
      <c r="K121" t="s">
        <v>485</v>
      </c>
      <c r="L121" t="s">
        <v>2006</v>
      </c>
    </row>
    <row r="122" spans="2:12">
      <c r="B122" t="s">
        <v>2003</v>
      </c>
      <c r="C122" t="s" vm="54">
        <v>1266</v>
      </c>
      <c r="D122" t="s">
        <v>332</v>
      </c>
      <c r="E122" t="s">
        <v>485</v>
      </c>
      <c r="F122" t="s">
        <v>456</v>
      </c>
      <c r="G122" t="s">
        <v>461</v>
      </c>
      <c r="H122" t="s">
        <v>421</v>
      </c>
      <c r="I122" t="s">
        <v>159</v>
      </c>
      <c r="J122" t="s">
        <v>473</v>
      </c>
      <c r="K122" t="s">
        <v>485</v>
      </c>
      <c r="L122" t="s">
        <v>1631</v>
      </c>
    </row>
    <row r="123" spans="2:12">
      <c r="B123" t="s">
        <v>2003</v>
      </c>
      <c r="C123" t="s" vm="54">
        <v>1266</v>
      </c>
      <c r="D123" t="s">
        <v>332</v>
      </c>
      <c r="E123" t="s">
        <v>485</v>
      </c>
      <c r="F123" t="s">
        <v>458</v>
      </c>
      <c r="G123" t="s">
        <v>461</v>
      </c>
      <c r="H123" t="s">
        <v>421</v>
      </c>
      <c r="I123" t="s">
        <v>159</v>
      </c>
      <c r="J123" t="s">
        <v>473</v>
      </c>
      <c r="K123" t="s">
        <v>485</v>
      </c>
      <c r="L123" t="s">
        <v>1779</v>
      </c>
    </row>
    <row r="124" spans="2:12">
      <c r="B124" t="s">
        <v>2002</v>
      </c>
      <c r="C124" t="s" vm="54">
        <v>1266</v>
      </c>
      <c r="D124" t="s">
        <v>332</v>
      </c>
      <c r="E124" t="s">
        <v>485</v>
      </c>
      <c r="F124" t="s">
        <v>456</v>
      </c>
      <c r="G124" t="s">
        <v>461</v>
      </c>
      <c r="H124" t="s">
        <v>421</v>
      </c>
      <c r="I124" t="s">
        <v>159</v>
      </c>
      <c r="J124" t="s">
        <v>473</v>
      </c>
      <c r="K124" t="s">
        <v>485</v>
      </c>
      <c r="L124" t="s">
        <v>1631</v>
      </c>
    </row>
    <row r="125" spans="2:12">
      <c r="B125" t="s">
        <v>1990</v>
      </c>
      <c r="C125" t="s" vm="54">
        <v>1266</v>
      </c>
      <c r="D125" t="s">
        <v>332</v>
      </c>
      <c r="E125" t="s">
        <v>485</v>
      </c>
      <c r="F125" t="s">
        <v>456</v>
      </c>
      <c r="G125" t="s">
        <v>461</v>
      </c>
      <c r="H125" t="s">
        <v>421</v>
      </c>
      <c r="I125" t="s">
        <v>159</v>
      </c>
      <c r="J125" t="s">
        <v>473</v>
      </c>
      <c r="K125" t="s">
        <v>485</v>
      </c>
      <c r="L125" t="s">
        <v>1631</v>
      </c>
    </row>
    <row r="126" spans="2:12">
      <c r="B126" t="s">
        <v>1971</v>
      </c>
      <c r="C126" t="s" vm="54">
        <v>1266</v>
      </c>
      <c r="D126" t="s">
        <v>332</v>
      </c>
      <c r="E126" t="s">
        <v>485</v>
      </c>
      <c r="F126" t="s">
        <v>456</v>
      </c>
      <c r="G126" t="s">
        <v>217</v>
      </c>
      <c r="H126" t="s">
        <v>157</v>
      </c>
      <c r="I126" t="s">
        <v>416</v>
      </c>
      <c r="J126" t="s">
        <v>487</v>
      </c>
      <c r="K126" t="s">
        <v>492</v>
      </c>
      <c r="L126" t="s">
        <v>1960</v>
      </c>
    </row>
    <row r="127" spans="2:12">
      <c r="B127" t="s">
        <v>1971</v>
      </c>
      <c r="C127" t="s" vm="54">
        <v>1266</v>
      </c>
      <c r="D127" t="s">
        <v>332</v>
      </c>
      <c r="E127" t="s">
        <v>485</v>
      </c>
      <c r="F127" t="s">
        <v>456</v>
      </c>
      <c r="G127" t="s">
        <v>217</v>
      </c>
      <c r="H127" t="s">
        <v>157</v>
      </c>
      <c r="I127" t="s">
        <v>159</v>
      </c>
      <c r="J127" t="s">
        <v>487</v>
      </c>
      <c r="K127" t="s">
        <v>492</v>
      </c>
      <c r="L127" t="s">
        <v>1973</v>
      </c>
    </row>
    <row r="128" spans="2:12">
      <c r="B128" t="s">
        <v>1971</v>
      </c>
      <c r="C128" t="s" vm="54">
        <v>1266</v>
      </c>
      <c r="D128" t="s">
        <v>332</v>
      </c>
      <c r="E128" t="s">
        <v>485</v>
      </c>
      <c r="F128" t="s">
        <v>456</v>
      </c>
      <c r="G128" t="s">
        <v>217</v>
      </c>
      <c r="H128" t="s">
        <v>157</v>
      </c>
      <c r="I128" t="s">
        <v>419</v>
      </c>
      <c r="J128" t="s">
        <v>487</v>
      </c>
      <c r="K128" t="s">
        <v>492</v>
      </c>
      <c r="L128" t="s">
        <v>1962</v>
      </c>
    </row>
    <row r="129" spans="2:12">
      <c r="B129" t="s">
        <v>1971</v>
      </c>
      <c r="C129" t="s" vm="54">
        <v>1266</v>
      </c>
      <c r="D129" t="s">
        <v>332</v>
      </c>
      <c r="E129" t="s">
        <v>485</v>
      </c>
      <c r="F129" t="s">
        <v>456</v>
      </c>
      <c r="G129" t="s">
        <v>217</v>
      </c>
      <c r="H129" t="s">
        <v>157</v>
      </c>
      <c r="I129" t="s">
        <v>416</v>
      </c>
      <c r="J129" t="s">
        <v>473</v>
      </c>
      <c r="K129" t="s">
        <v>485</v>
      </c>
      <c r="L129" t="s">
        <v>1972</v>
      </c>
    </row>
    <row r="130" spans="2:12">
      <c r="B130" t="s">
        <v>1959</v>
      </c>
      <c r="C130" t="s" vm="54">
        <v>1266</v>
      </c>
      <c r="D130" t="s">
        <v>332</v>
      </c>
      <c r="E130" t="s">
        <v>485</v>
      </c>
      <c r="F130" t="s">
        <v>458</v>
      </c>
      <c r="G130" t="s">
        <v>461</v>
      </c>
      <c r="H130" t="s">
        <v>157</v>
      </c>
      <c r="I130" t="s">
        <v>416</v>
      </c>
      <c r="J130" t="s">
        <v>473</v>
      </c>
      <c r="K130" t="s">
        <v>485</v>
      </c>
      <c r="L130" t="s">
        <v>1710</v>
      </c>
    </row>
    <row r="131" spans="2:12">
      <c r="B131" t="s">
        <v>1959</v>
      </c>
      <c r="C131" t="s" vm="54">
        <v>1266</v>
      </c>
      <c r="D131" t="s">
        <v>332</v>
      </c>
      <c r="E131" t="s">
        <v>485</v>
      </c>
      <c r="F131" t="s">
        <v>458</v>
      </c>
      <c r="G131" t="s">
        <v>217</v>
      </c>
      <c r="H131" t="s">
        <v>157</v>
      </c>
      <c r="I131" t="s">
        <v>416</v>
      </c>
      <c r="J131" t="s">
        <v>487</v>
      </c>
      <c r="K131" t="s">
        <v>492</v>
      </c>
      <c r="L131" t="s">
        <v>1641</v>
      </c>
    </row>
    <row r="132" spans="2:12">
      <c r="B132" t="s">
        <v>1959</v>
      </c>
      <c r="C132" t="s" vm="54">
        <v>1266</v>
      </c>
      <c r="D132" t="s">
        <v>332</v>
      </c>
      <c r="E132" t="s">
        <v>485</v>
      </c>
      <c r="F132" t="s">
        <v>458</v>
      </c>
      <c r="G132" t="s">
        <v>217</v>
      </c>
      <c r="H132" t="s">
        <v>157</v>
      </c>
      <c r="I132" t="s">
        <v>416</v>
      </c>
      <c r="J132" t="s">
        <v>487</v>
      </c>
      <c r="K132" t="s">
        <v>492</v>
      </c>
      <c r="L132" t="s">
        <v>1641</v>
      </c>
    </row>
    <row r="133" spans="2:12">
      <c r="B133" t="s">
        <v>1959</v>
      </c>
      <c r="C133" t="s" vm="54">
        <v>1266</v>
      </c>
      <c r="D133" t="s">
        <v>332</v>
      </c>
      <c r="E133" t="s">
        <v>485</v>
      </c>
      <c r="F133" t="s">
        <v>456</v>
      </c>
      <c r="G133" t="s">
        <v>217</v>
      </c>
      <c r="H133" t="s">
        <v>157</v>
      </c>
      <c r="I133" t="s">
        <v>419</v>
      </c>
      <c r="J133" t="s">
        <v>487</v>
      </c>
      <c r="K133" t="s">
        <v>492</v>
      </c>
      <c r="L133" t="s">
        <v>1962</v>
      </c>
    </row>
    <row r="134" spans="2:12">
      <c r="B134" t="s">
        <v>1959</v>
      </c>
      <c r="C134" t="s" vm="54">
        <v>1266</v>
      </c>
      <c r="D134" t="s">
        <v>332</v>
      </c>
      <c r="E134" t="s">
        <v>485</v>
      </c>
      <c r="F134" t="s">
        <v>456</v>
      </c>
      <c r="G134" t="s">
        <v>217</v>
      </c>
      <c r="H134" t="s">
        <v>421</v>
      </c>
      <c r="I134" t="s">
        <v>159</v>
      </c>
      <c r="J134" t="s">
        <v>487</v>
      </c>
      <c r="K134" t="s">
        <v>492</v>
      </c>
      <c r="L134" t="s">
        <v>1961</v>
      </c>
    </row>
    <row r="135" spans="2:12">
      <c r="B135" t="s">
        <v>1959</v>
      </c>
      <c r="C135" t="s" vm="54">
        <v>1266</v>
      </c>
      <c r="D135" t="s">
        <v>332</v>
      </c>
      <c r="E135" t="s">
        <v>485</v>
      </c>
      <c r="F135" t="s">
        <v>456</v>
      </c>
      <c r="G135" t="s">
        <v>217</v>
      </c>
      <c r="H135" t="s">
        <v>157</v>
      </c>
      <c r="I135" t="s">
        <v>416</v>
      </c>
      <c r="J135" t="s">
        <v>487</v>
      </c>
      <c r="K135" t="s">
        <v>492</v>
      </c>
      <c r="L135" t="s">
        <v>1960</v>
      </c>
    </row>
    <row r="136" spans="2:12">
      <c r="B136" t="s">
        <v>1947</v>
      </c>
      <c r="C136" t="s" vm="54">
        <v>1266</v>
      </c>
      <c r="D136" t="s">
        <v>332</v>
      </c>
      <c r="E136" t="s">
        <v>485</v>
      </c>
      <c r="F136" t="s">
        <v>458</v>
      </c>
      <c r="G136" t="s">
        <v>461</v>
      </c>
      <c r="H136" t="s">
        <v>157</v>
      </c>
      <c r="I136" t="s">
        <v>159</v>
      </c>
      <c r="J136" t="s">
        <v>473</v>
      </c>
      <c r="K136" t="s">
        <v>485</v>
      </c>
      <c r="L136" t="s">
        <v>1949</v>
      </c>
    </row>
    <row r="137" spans="2:12">
      <c r="B137" t="s">
        <v>1947</v>
      </c>
      <c r="C137" t="s" vm="54">
        <v>1266</v>
      </c>
      <c r="D137" t="s">
        <v>332</v>
      </c>
      <c r="E137" t="s">
        <v>485</v>
      </c>
      <c r="F137" t="s">
        <v>458</v>
      </c>
      <c r="G137" t="s">
        <v>461</v>
      </c>
      <c r="H137" t="s">
        <v>157</v>
      </c>
      <c r="I137" t="s">
        <v>159</v>
      </c>
      <c r="J137" t="s">
        <v>487</v>
      </c>
      <c r="K137" t="s">
        <v>492</v>
      </c>
      <c r="L137" t="s">
        <v>1948</v>
      </c>
    </row>
    <row r="138" spans="2:12">
      <c r="B138" t="s">
        <v>1946</v>
      </c>
      <c r="C138" t="s" vm="54">
        <v>1266</v>
      </c>
      <c r="D138" t="s">
        <v>332</v>
      </c>
      <c r="E138" t="s">
        <v>485</v>
      </c>
      <c r="F138" t="s">
        <v>458</v>
      </c>
      <c r="G138" t="s">
        <v>461</v>
      </c>
      <c r="H138" t="s">
        <v>421</v>
      </c>
      <c r="I138" t="s">
        <v>159</v>
      </c>
      <c r="J138" t="s">
        <v>487</v>
      </c>
      <c r="K138" t="s">
        <v>492</v>
      </c>
      <c r="L138" t="s">
        <v>1609</v>
      </c>
    </row>
    <row r="139" spans="2:12">
      <c r="B139" t="s">
        <v>1940</v>
      </c>
      <c r="C139" t="s" vm="54">
        <v>1266</v>
      </c>
      <c r="D139" t="s">
        <v>332</v>
      </c>
      <c r="E139" t="s">
        <v>485</v>
      </c>
      <c r="F139" t="s">
        <v>456</v>
      </c>
      <c r="G139" t="s">
        <v>461</v>
      </c>
      <c r="H139" t="s">
        <v>158</v>
      </c>
      <c r="I139" t="s">
        <v>416</v>
      </c>
      <c r="J139" t="s">
        <v>487</v>
      </c>
      <c r="K139" t="s">
        <v>492</v>
      </c>
      <c r="L139" t="s">
        <v>1941</v>
      </c>
    </row>
    <row r="140" spans="2:12">
      <c r="B140" t="s">
        <v>1927</v>
      </c>
      <c r="C140" t="s" vm="54">
        <v>1266</v>
      </c>
      <c r="D140" t="s">
        <v>332</v>
      </c>
      <c r="E140" t="s">
        <v>485</v>
      </c>
      <c r="F140" t="s">
        <v>458</v>
      </c>
      <c r="G140" t="s">
        <v>461</v>
      </c>
      <c r="H140" t="s">
        <v>421</v>
      </c>
      <c r="I140" t="s">
        <v>159</v>
      </c>
      <c r="J140" t="s">
        <v>473</v>
      </c>
      <c r="K140" t="s">
        <v>485</v>
      </c>
      <c r="L140" t="s">
        <v>1779</v>
      </c>
    </row>
    <row r="141" spans="2:12">
      <c r="B141" t="s">
        <v>1901</v>
      </c>
      <c r="C141" t="s" vm="54">
        <v>1266</v>
      </c>
      <c r="D141" t="s">
        <v>332</v>
      </c>
      <c r="E141" t="s">
        <v>485</v>
      </c>
      <c r="F141" t="s">
        <v>456</v>
      </c>
      <c r="G141" t="s">
        <v>461</v>
      </c>
      <c r="H141" t="s">
        <v>421</v>
      </c>
      <c r="I141" t="s">
        <v>159</v>
      </c>
      <c r="J141" t="s">
        <v>487</v>
      </c>
      <c r="K141" t="s">
        <v>492</v>
      </c>
      <c r="L141" t="s">
        <v>1729</v>
      </c>
    </row>
    <row r="142" spans="2:12">
      <c r="B142" t="s">
        <v>1888</v>
      </c>
      <c r="C142" t="s" vm="54">
        <v>1266</v>
      </c>
      <c r="D142" t="s">
        <v>332</v>
      </c>
      <c r="E142" t="s">
        <v>485</v>
      </c>
      <c r="F142" t="s">
        <v>456</v>
      </c>
      <c r="G142" t="s">
        <v>461</v>
      </c>
      <c r="H142" t="s">
        <v>158</v>
      </c>
      <c r="I142" t="s">
        <v>1494</v>
      </c>
      <c r="J142" t="s">
        <v>473</v>
      </c>
      <c r="K142" t="s">
        <v>485</v>
      </c>
      <c r="L142" t="s">
        <v>1892</v>
      </c>
    </row>
    <row r="143" spans="2:12">
      <c r="B143" t="s">
        <v>1888</v>
      </c>
      <c r="C143" t="s" vm="54">
        <v>1266</v>
      </c>
      <c r="D143" t="s">
        <v>332</v>
      </c>
      <c r="E143" t="s">
        <v>485</v>
      </c>
      <c r="F143" t="s">
        <v>458</v>
      </c>
      <c r="G143" t="s">
        <v>461</v>
      </c>
      <c r="H143" t="s">
        <v>158</v>
      </c>
      <c r="I143" t="s">
        <v>1494</v>
      </c>
      <c r="J143" t="s">
        <v>473</v>
      </c>
      <c r="K143" t="s">
        <v>485</v>
      </c>
      <c r="L143" t="s">
        <v>1721</v>
      </c>
    </row>
    <row r="144" spans="2:12">
      <c r="B144" t="s">
        <v>1888</v>
      </c>
      <c r="C144" t="s" vm="54">
        <v>1266</v>
      </c>
      <c r="D144" t="s">
        <v>332</v>
      </c>
      <c r="E144" t="s">
        <v>485</v>
      </c>
      <c r="F144" t="s">
        <v>458</v>
      </c>
      <c r="G144" t="s">
        <v>461</v>
      </c>
      <c r="H144" t="s">
        <v>158</v>
      </c>
      <c r="I144" t="s">
        <v>1494</v>
      </c>
      <c r="J144" t="s">
        <v>473</v>
      </c>
      <c r="K144" t="s">
        <v>485</v>
      </c>
      <c r="L144" t="s">
        <v>1889</v>
      </c>
    </row>
    <row r="145" spans="2:12">
      <c r="B145" t="s">
        <v>1868</v>
      </c>
      <c r="C145" t="s" vm="54">
        <v>1266</v>
      </c>
      <c r="D145" t="s">
        <v>332</v>
      </c>
      <c r="E145" t="s">
        <v>485</v>
      </c>
      <c r="F145" t="s">
        <v>458</v>
      </c>
      <c r="G145" t="s">
        <v>461</v>
      </c>
      <c r="H145" t="s">
        <v>421</v>
      </c>
      <c r="I145" t="s">
        <v>159</v>
      </c>
      <c r="J145" t="s">
        <v>473</v>
      </c>
      <c r="K145" t="s">
        <v>485</v>
      </c>
      <c r="L145" t="s">
        <v>1779</v>
      </c>
    </row>
    <row r="146" spans="2:12">
      <c r="B146" t="s">
        <v>1850</v>
      </c>
      <c r="C146" t="s" vm="54">
        <v>1266</v>
      </c>
      <c r="D146" t="s">
        <v>332</v>
      </c>
      <c r="E146" t="s">
        <v>485</v>
      </c>
      <c r="F146" t="s">
        <v>456</v>
      </c>
      <c r="G146" t="s">
        <v>461</v>
      </c>
      <c r="H146" t="s">
        <v>421</v>
      </c>
      <c r="I146" t="s">
        <v>159</v>
      </c>
      <c r="J146" t="s">
        <v>473</v>
      </c>
      <c r="K146" t="s">
        <v>485</v>
      </c>
      <c r="L146" t="s">
        <v>1631</v>
      </c>
    </row>
    <row r="147" spans="2:12">
      <c r="B147" t="s">
        <v>1830</v>
      </c>
      <c r="C147" t="s" vm="54">
        <v>1266</v>
      </c>
      <c r="D147" t="s">
        <v>332</v>
      </c>
      <c r="E147" t="s">
        <v>485</v>
      </c>
      <c r="F147" t="s">
        <v>456</v>
      </c>
      <c r="G147" t="s">
        <v>461</v>
      </c>
      <c r="H147" t="s">
        <v>421</v>
      </c>
      <c r="I147" t="s">
        <v>159</v>
      </c>
      <c r="J147" t="s">
        <v>473</v>
      </c>
      <c r="K147" t="s">
        <v>485</v>
      </c>
      <c r="L147" t="s">
        <v>1631</v>
      </c>
    </row>
    <row r="148" spans="2:12">
      <c r="B148" t="s">
        <v>1820</v>
      </c>
      <c r="C148" t="s" vm="54">
        <v>1266</v>
      </c>
      <c r="D148" t="s">
        <v>332</v>
      </c>
      <c r="E148" t="s">
        <v>485</v>
      </c>
      <c r="F148" t="s">
        <v>456</v>
      </c>
      <c r="G148" t="s">
        <v>461</v>
      </c>
      <c r="H148" t="s">
        <v>421</v>
      </c>
      <c r="I148" t="s">
        <v>159</v>
      </c>
      <c r="J148" t="s">
        <v>473</v>
      </c>
      <c r="K148" t="s">
        <v>485</v>
      </c>
      <c r="L148" t="s">
        <v>1631</v>
      </c>
    </row>
    <row r="149" spans="2:12">
      <c r="B149" t="s">
        <v>1820</v>
      </c>
      <c r="C149" t="s" vm="54">
        <v>1266</v>
      </c>
      <c r="D149" t="s">
        <v>332</v>
      </c>
      <c r="E149" t="s">
        <v>485</v>
      </c>
      <c r="F149" t="s">
        <v>456</v>
      </c>
      <c r="G149" t="s">
        <v>461</v>
      </c>
      <c r="H149" t="s">
        <v>158</v>
      </c>
      <c r="I149" t="s">
        <v>416</v>
      </c>
      <c r="J149" t="s">
        <v>473</v>
      </c>
      <c r="K149" t="s">
        <v>485</v>
      </c>
      <c r="L149" t="s">
        <v>1814</v>
      </c>
    </row>
    <row r="150" spans="2:12">
      <c r="B150" t="s">
        <v>1813</v>
      </c>
      <c r="C150" t="s" vm="54">
        <v>1266</v>
      </c>
      <c r="D150" t="s">
        <v>332</v>
      </c>
      <c r="E150" t="s">
        <v>485</v>
      </c>
      <c r="F150" t="s">
        <v>456</v>
      </c>
      <c r="G150" t="s">
        <v>461</v>
      </c>
      <c r="H150" t="s">
        <v>158</v>
      </c>
      <c r="I150" t="s">
        <v>416</v>
      </c>
      <c r="J150" t="s">
        <v>473</v>
      </c>
      <c r="K150" t="s">
        <v>485</v>
      </c>
      <c r="L150" t="s">
        <v>1814</v>
      </c>
    </row>
    <row r="151" spans="2:12">
      <c r="B151" t="s">
        <v>1808</v>
      </c>
      <c r="C151" t="s" vm="54">
        <v>1266</v>
      </c>
      <c r="D151" t="s">
        <v>332</v>
      </c>
      <c r="E151" t="s">
        <v>485</v>
      </c>
      <c r="F151" t="s">
        <v>458</v>
      </c>
      <c r="G151" t="s">
        <v>461</v>
      </c>
      <c r="H151" t="s">
        <v>158</v>
      </c>
      <c r="I151" t="s">
        <v>416</v>
      </c>
      <c r="J151" t="s">
        <v>473</v>
      </c>
      <c r="K151" t="s">
        <v>485</v>
      </c>
      <c r="L151" t="s">
        <v>1809</v>
      </c>
    </row>
    <row r="152" spans="2:12">
      <c r="B152" t="s">
        <v>1789</v>
      </c>
      <c r="C152" t="s" vm="54">
        <v>1266</v>
      </c>
      <c r="D152" t="s">
        <v>332</v>
      </c>
      <c r="E152" t="s">
        <v>485</v>
      </c>
      <c r="F152" t="s">
        <v>456</v>
      </c>
      <c r="G152" t="s">
        <v>461</v>
      </c>
      <c r="H152" t="s">
        <v>157</v>
      </c>
      <c r="I152" t="s">
        <v>416</v>
      </c>
      <c r="J152" t="s">
        <v>473</v>
      </c>
      <c r="K152" t="s">
        <v>485</v>
      </c>
      <c r="L152" t="s">
        <v>1791</v>
      </c>
    </row>
    <row r="153" spans="2:12">
      <c r="B153" t="s">
        <v>1789</v>
      </c>
      <c r="C153" t="s" vm="54">
        <v>1266</v>
      </c>
      <c r="D153" t="s">
        <v>332</v>
      </c>
      <c r="E153" t="s">
        <v>485</v>
      </c>
      <c r="F153" t="s">
        <v>456</v>
      </c>
      <c r="G153" t="s">
        <v>461</v>
      </c>
      <c r="H153" t="s">
        <v>157</v>
      </c>
      <c r="I153" t="s">
        <v>416</v>
      </c>
      <c r="J153" t="s">
        <v>473</v>
      </c>
      <c r="K153" t="s">
        <v>485</v>
      </c>
      <c r="L153" t="s">
        <v>1790</v>
      </c>
    </row>
    <row r="154" spans="2:12">
      <c r="B154" t="s">
        <v>1789</v>
      </c>
      <c r="C154" t="s" vm="54">
        <v>1266</v>
      </c>
      <c r="D154" t="s">
        <v>332</v>
      </c>
      <c r="E154" t="s">
        <v>485</v>
      </c>
      <c r="F154" t="s">
        <v>456</v>
      </c>
      <c r="G154" t="s">
        <v>461</v>
      </c>
      <c r="H154" t="s">
        <v>421</v>
      </c>
      <c r="I154" t="s">
        <v>159</v>
      </c>
      <c r="J154" t="s">
        <v>473</v>
      </c>
      <c r="K154" t="s">
        <v>485</v>
      </c>
      <c r="L154" t="s">
        <v>1631</v>
      </c>
    </row>
    <row r="155" spans="2:12">
      <c r="B155" t="s">
        <v>1778</v>
      </c>
      <c r="C155" t="s" vm="54">
        <v>1266</v>
      </c>
      <c r="D155" t="s">
        <v>332</v>
      </c>
      <c r="E155" t="s">
        <v>485</v>
      </c>
      <c r="F155" t="s">
        <v>458</v>
      </c>
      <c r="G155" t="s">
        <v>461</v>
      </c>
      <c r="H155" t="s">
        <v>421</v>
      </c>
      <c r="I155" t="s">
        <v>159</v>
      </c>
      <c r="J155" t="s">
        <v>473</v>
      </c>
      <c r="K155" t="s">
        <v>485</v>
      </c>
      <c r="L155" t="s">
        <v>1779</v>
      </c>
    </row>
    <row r="156" spans="2:12">
      <c r="B156" t="s">
        <v>1778</v>
      </c>
      <c r="C156" t="s" vm="54">
        <v>1266</v>
      </c>
      <c r="D156" t="s">
        <v>332</v>
      </c>
      <c r="E156" t="s">
        <v>485</v>
      </c>
      <c r="F156" t="s">
        <v>458</v>
      </c>
      <c r="G156" t="s">
        <v>461</v>
      </c>
      <c r="H156" t="s">
        <v>421</v>
      </c>
      <c r="I156" t="s">
        <v>159</v>
      </c>
      <c r="J156" t="s">
        <v>473</v>
      </c>
      <c r="K156" t="s">
        <v>485</v>
      </c>
      <c r="L156" t="s">
        <v>1779</v>
      </c>
    </row>
    <row r="157" spans="2:12">
      <c r="B157" t="s">
        <v>1757</v>
      </c>
      <c r="C157" t="s" vm="54">
        <v>1266</v>
      </c>
      <c r="D157" t="s">
        <v>332</v>
      </c>
      <c r="E157" t="s">
        <v>485</v>
      </c>
      <c r="F157" t="s">
        <v>456</v>
      </c>
      <c r="G157" t="s">
        <v>217</v>
      </c>
      <c r="H157" t="s">
        <v>157</v>
      </c>
      <c r="I157" t="s">
        <v>416</v>
      </c>
      <c r="J157" t="s">
        <v>473</v>
      </c>
      <c r="K157" t="s">
        <v>492</v>
      </c>
      <c r="L157" t="s">
        <v>1761</v>
      </c>
    </row>
    <row r="158" spans="2:12">
      <c r="B158" t="s">
        <v>1757</v>
      </c>
      <c r="C158" t="s" vm="54">
        <v>1266</v>
      </c>
      <c r="D158" t="s">
        <v>332</v>
      </c>
      <c r="E158" t="s">
        <v>485</v>
      </c>
      <c r="F158" t="s">
        <v>458</v>
      </c>
      <c r="G158" t="s">
        <v>217</v>
      </c>
      <c r="H158" t="s">
        <v>157</v>
      </c>
      <c r="I158" t="s">
        <v>416</v>
      </c>
      <c r="J158" t="s">
        <v>473</v>
      </c>
      <c r="K158" t="s">
        <v>492</v>
      </c>
      <c r="L158" t="s">
        <v>1758</v>
      </c>
    </row>
    <row r="159" spans="2:12">
      <c r="B159" t="s">
        <v>1757</v>
      </c>
      <c r="C159" t="s" vm="54">
        <v>1266</v>
      </c>
      <c r="D159" t="s">
        <v>332</v>
      </c>
      <c r="E159" t="s">
        <v>485</v>
      </c>
      <c r="F159" t="s">
        <v>458</v>
      </c>
      <c r="G159" t="s">
        <v>217</v>
      </c>
      <c r="H159" t="s">
        <v>157</v>
      </c>
      <c r="I159" t="s">
        <v>416</v>
      </c>
      <c r="J159" t="s">
        <v>473</v>
      </c>
      <c r="K159" t="s">
        <v>492</v>
      </c>
      <c r="L159" t="s">
        <v>1758</v>
      </c>
    </row>
    <row r="160" spans="2:12">
      <c r="B160" t="s">
        <v>1738</v>
      </c>
      <c r="C160" t="s" vm="54">
        <v>1266</v>
      </c>
      <c r="D160" t="s">
        <v>332</v>
      </c>
      <c r="E160" t="s">
        <v>485</v>
      </c>
      <c r="F160" t="s">
        <v>460</v>
      </c>
      <c r="G160" t="s">
        <v>461</v>
      </c>
      <c r="H160" t="s">
        <v>158</v>
      </c>
      <c r="I160" t="s">
        <v>1494</v>
      </c>
      <c r="J160" t="s">
        <v>487</v>
      </c>
      <c r="K160" t="s">
        <v>492</v>
      </c>
      <c r="L160" t="s">
        <v>1739</v>
      </c>
    </row>
    <row r="161" spans="2:12">
      <c r="B161" t="s">
        <v>1728</v>
      </c>
      <c r="C161" t="s" vm="54">
        <v>1266</v>
      </c>
      <c r="D161" t="s">
        <v>332</v>
      </c>
      <c r="E161" t="s">
        <v>485</v>
      </c>
      <c r="F161" t="s">
        <v>456</v>
      </c>
      <c r="G161" t="s">
        <v>461</v>
      </c>
      <c r="H161" t="s">
        <v>421</v>
      </c>
      <c r="I161" t="s">
        <v>159</v>
      </c>
      <c r="J161" t="s">
        <v>487</v>
      </c>
      <c r="K161" t="s">
        <v>492</v>
      </c>
      <c r="L161" t="s">
        <v>1729</v>
      </c>
    </row>
    <row r="162" spans="2:12">
      <c r="B162" t="s">
        <v>1728</v>
      </c>
      <c r="C162" t="s" vm="54">
        <v>1266</v>
      </c>
      <c r="D162" t="s">
        <v>332</v>
      </c>
      <c r="E162" t="s">
        <v>485</v>
      </c>
      <c r="F162" t="s">
        <v>456</v>
      </c>
      <c r="G162" t="s">
        <v>461</v>
      </c>
      <c r="H162" t="s">
        <v>421</v>
      </c>
      <c r="I162" t="s">
        <v>159</v>
      </c>
      <c r="J162" t="s">
        <v>487</v>
      </c>
      <c r="K162" t="s">
        <v>492</v>
      </c>
      <c r="L162" t="s">
        <v>1729</v>
      </c>
    </row>
    <row r="163" spans="2:12">
      <c r="B163" t="s">
        <v>1719</v>
      </c>
      <c r="C163" t="s" vm="54">
        <v>1266</v>
      </c>
      <c r="D163" t="s">
        <v>332</v>
      </c>
      <c r="E163" t="s">
        <v>485</v>
      </c>
      <c r="F163" t="s">
        <v>458</v>
      </c>
      <c r="G163" t="s">
        <v>461</v>
      </c>
      <c r="H163" t="s">
        <v>158</v>
      </c>
      <c r="I163" t="s">
        <v>1494</v>
      </c>
      <c r="J163" t="s">
        <v>473</v>
      </c>
      <c r="K163" t="s">
        <v>485</v>
      </c>
      <c r="L163" t="s">
        <v>1721</v>
      </c>
    </row>
    <row r="164" spans="2:12">
      <c r="B164" t="s">
        <v>1719</v>
      </c>
      <c r="C164" t="s" vm="54">
        <v>1266</v>
      </c>
      <c r="D164" t="s">
        <v>332</v>
      </c>
      <c r="E164" t="s">
        <v>485</v>
      </c>
      <c r="F164" t="s">
        <v>458</v>
      </c>
      <c r="G164" t="s">
        <v>461</v>
      </c>
      <c r="H164" t="s">
        <v>158</v>
      </c>
      <c r="I164" t="s">
        <v>419</v>
      </c>
      <c r="J164" t="s">
        <v>473</v>
      </c>
      <c r="K164" t="s">
        <v>485</v>
      </c>
      <c r="L164" t="s">
        <v>1720</v>
      </c>
    </row>
    <row r="165" spans="2:12">
      <c r="B165" t="s">
        <v>1715</v>
      </c>
      <c r="C165" t="s" vm="54">
        <v>1266</v>
      </c>
      <c r="D165" t="s">
        <v>332</v>
      </c>
      <c r="E165" t="s">
        <v>485</v>
      </c>
      <c r="F165" t="s">
        <v>456</v>
      </c>
      <c r="G165" t="s">
        <v>461</v>
      </c>
      <c r="H165" t="s">
        <v>158</v>
      </c>
      <c r="I165" t="s">
        <v>419</v>
      </c>
      <c r="J165" t="s">
        <v>473</v>
      </c>
      <c r="K165" t="s">
        <v>485</v>
      </c>
      <c r="L165" t="s">
        <v>1716</v>
      </c>
    </row>
    <row r="166" spans="2:12">
      <c r="B166" t="s">
        <v>1709</v>
      </c>
      <c r="C166" t="s" vm="54">
        <v>1266</v>
      </c>
      <c r="D166" t="s">
        <v>332</v>
      </c>
      <c r="E166" t="s">
        <v>485</v>
      </c>
      <c r="F166" t="s">
        <v>458</v>
      </c>
      <c r="G166" t="s">
        <v>461</v>
      </c>
      <c r="H166" t="s">
        <v>157</v>
      </c>
      <c r="I166" t="s">
        <v>416</v>
      </c>
      <c r="J166" t="s">
        <v>473</v>
      </c>
      <c r="K166" t="s">
        <v>485</v>
      </c>
      <c r="L166" t="s">
        <v>1710</v>
      </c>
    </row>
    <row r="167" spans="2:12">
      <c r="B167" t="s">
        <v>1694</v>
      </c>
      <c r="C167" t="s" vm="54">
        <v>1266</v>
      </c>
      <c r="D167" t="s">
        <v>332</v>
      </c>
      <c r="E167" t="s">
        <v>485</v>
      </c>
      <c r="F167" t="s">
        <v>456</v>
      </c>
      <c r="G167" t="s">
        <v>461</v>
      </c>
      <c r="H167" t="s">
        <v>158</v>
      </c>
      <c r="I167" t="s">
        <v>159</v>
      </c>
      <c r="J167" t="s">
        <v>123</v>
      </c>
      <c r="K167" t="s">
        <v>492</v>
      </c>
      <c r="L167" t="s">
        <v>1699</v>
      </c>
    </row>
    <row r="168" spans="2:12">
      <c r="B168" t="s">
        <v>1694</v>
      </c>
      <c r="C168" t="s" vm="54">
        <v>1266</v>
      </c>
      <c r="D168" t="s">
        <v>332</v>
      </c>
      <c r="E168" t="s">
        <v>485</v>
      </c>
      <c r="F168" t="s">
        <v>456</v>
      </c>
      <c r="G168" t="s">
        <v>461</v>
      </c>
      <c r="H168" t="s">
        <v>158</v>
      </c>
      <c r="I168" t="s">
        <v>159</v>
      </c>
      <c r="J168" t="s">
        <v>473</v>
      </c>
      <c r="K168" t="s">
        <v>485</v>
      </c>
      <c r="L168" t="s">
        <v>1698</v>
      </c>
    </row>
    <row r="169" spans="2:12">
      <c r="B169" t="s">
        <v>1694</v>
      </c>
      <c r="C169" t="s" vm="54">
        <v>1266</v>
      </c>
      <c r="D169" t="s">
        <v>332</v>
      </c>
      <c r="E169" t="s">
        <v>485</v>
      </c>
      <c r="F169" t="s">
        <v>458</v>
      </c>
      <c r="G169" t="s">
        <v>461</v>
      </c>
      <c r="H169" t="s">
        <v>158</v>
      </c>
      <c r="I169" t="s">
        <v>159</v>
      </c>
      <c r="J169" t="s">
        <v>473</v>
      </c>
      <c r="K169" t="s">
        <v>485</v>
      </c>
      <c r="L169" t="s">
        <v>1695</v>
      </c>
    </row>
    <row r="170" spans="2:12">
      <c r="B170" t="s">
        <v>1680</v>
      </c>
      <c r="C170" t="s" vm="54">
        <v>1266</v>
      </c>
      <c r="D170" t="s">
        <v>332</v>
      </c>
      <c r="E170" t="s">
        <v>485</v>
      </c>
      <c r="F170" t="s">
        <v>456</v>
      </c>
      <c r="G170" t="s">
        <v>461</v>
      </c>
      <c r="H170" t="s">
        <v>157</v>
      </c>
      <c r="I170" t="s">
        <v>416</v>
      </c>
      <c r="J170" t="s">
        <v>487</v>
      </c>
      <c r="K170" t="s">
        <v>492</v>
      </c>
      <c r="L170" t="s">
        <v>1548</v>
      </c>
    </row>
    <row r="171" spans="2:12">
      <c r="B171" t="s">
        <v>1680</v>
      </c>
      <c r="C171" t="s" vm="54">
        <v>1266</v>
      </c>
      <c r="D171" t="s">
        <v>332</v>
      </c>
      <c r="E171" t="s">
        <v>485</v>
      </c>
      <c r="F171" t="s">
        <v>456</v>
      </c>
      <c r="G171" t="s">
        <v>461</v>
      </c>
      <c r="H171" t="s">
        <v>421</v>
      </c>
      <c r="I171" t="s">
        <v>123</v>
      </c>
      <c r="J171" t="s">
        <v>473</v>
      </c>
      <c r="K171" t="s">
        <v>485</v>
      </c>
      <c r="L171" t="s">
        <v>1682</v>
      </c>
    </row>
    <row r="172" spans="2:12">
      <c r="B172" t="s">
        <v>1680</v>
      </c>
      <c r="C172" t="s" vm="54">
        <v>1266</v>
      </c>
      <c r="D172" t="s">
        <v>332</v>
      </c>
      <c r="E172" t="s">
        <v>485</v>
      </c>
      <c r="F172" t="s">
        <v>456</v>
      </c>
      <c r="G172" t="s">
        <v>461</v>
      </c>
      <c r="H172" t="s">
        <v>421</v>
      </c>
      <c r="I172" t="s">
        <v>123</v>
      </c>
      <c r="J172" t="s">
        <v>123</v>
      </c>
      <c r="K172" t="s">
        <v>492</v>
      </c>
      <c r="L172" t="s">
        <v>1681</v>
      </c>
    </row>
    <row r="173" spans="2:12">
      <c r="B173" t="s">
        <v>1670</v>
      </c>
      <c r="C173" t="s" vm="54">
        <v>1266</v>
      </c>
      <c r="D173" t="s">
        <v>332</v>
      </c>
      <c r="E173" t="s">
        <v>485</v>
      </c>
      <c r="F173" t="s">
        <v>460</v>
      </c>
      <c r="G173" t="s">
        <v>461</v>
      </c>
      <c r="H173" t="s">
        <v>158</v>
      </c>
      <c r="I173" t="s">
        <v>416</v>
      </c>
      <c r="J173" t="s">
        <v>473</v>
      </c>
      <c r="K173" t="s">
        <v>485</v>
      </c>
      <c r="L173" t="s">
        <v>1671</v>
      </c>
    </row>
    <row r="174" spans="2:12">
      <c r="B174" t="s">
        <v>1663</v>
      </c>
      <c r="C174" t="s" vm="54">
        <v>1266</v>
      </c>
      <c r="D174" t="s">
        <v>332</v>
      </c>
      <c r="E174" t="s">
        <v>485</v>
      </c>
      <c r="F174" t="s">
        <v>458</v>
      </c>
      <c r="G174" t="s">
        <v>461</v>
      </c>
      <c r="H174" t="s">
        <v>421</v>
      </c>
      <c r="I174" t="s">
        <v>123</v>
      </c>
      <c r="J174" t="s">
        <v>473</v>
      </c>
      <c r="K174" t="s">
        <v>492</v>
      </c>
      <c r="L174" t="s">
        <v>1664</v>
      </c>
    </row>
    <row r="175" spans="2:12">
      <c r="B175" t="s">
        <v>1639</v>
      </c>
      <c r="C175" t="s" vm="54">
        <v>1266</v>
      </c>
      <c r="D175" t="s">
        <v>332</v>
      </c>
      <c r="E175" t="s">
        <v>485</v>
      </c>
      <c r="F175" t="s">
        <v>458</v>
      </c>
      <c r="G175" t="s">
        <v>217</v>
      </c>
      <c r="H175" t="s">
        <v>157</v>
      </c>
      <c r="I175" t="s">
        <v>416</v>
      </c>
      <c r="J175" t="s">
        <v>487</v>
      </c>
      <c r="K175" t="s">
        <v>492</v>
      </c>
      <c r="L175" t="s">
        <v>1641</v>
      </c>
    </row>
    <row r="176" spans="2:12">
      <c r="B176" t="s">
        <v>1639</v>
      </c>
      <c r="C176" t="s" vm="54">
        <v>1266</v>
      </c>
      <c r="D176" t="s">
        <v>332</v>
      </c>
      <c r="E176" t="s">
        <v>485</v>
      </c>
      <c r="F176" t="s">
        <v>458</v>
      </c>
      <c r="G176" t="s">
        <v>217</v>
      </c>
      <c r="H176" t="s">
        <v>157</v>
      </c>
      <c r="I176" t="s">
        <v>416</v>
      </c>
      <c r="J176" t="s">
        <v>473</v>
      </c>
      <c r="K176" t="s">
        <v>485</v>
      </c>
      <c r="L176" t="s">
        <v>1640</v>
      </c>
    </row>
    <row r="177" spans="2:12">
      <c r="B177" t="s">
        <v>1630</v>
      </c>
      <c r="C177" t="s" vm="54">
        <v>1266</v>
      </c>
      <c r="D177" t="s">
        <v>332</v>
      </c>
      <c r="E177" t="s">
        <v>485</v>
      </c>
      <c r="F177" t="s">
        <v>456</v>
      </c>
      <c r="G177" t="s">
        <v>461</v>
      </c>
      <c r="H177" t="s">
        <v>421</v>
      </c>
      <c r="I177" t="s">
        <v>159</v>
      </c>
      <c r="J177" t="s">
        <v>473</v>
      </c>
      <c r="K177" t="s">
        <v>485</v>
      </c>
      <c r="L177" t="s">
        <v>1631</v>
      </c>
    </row>
    <row r="178" spans="2:12">
      <c r="B178" t="s">
        <v>1621</v>
      </c>
      <c r="C178" t="s" vm="51">
        <v>1603</v>
      </c>
      <c r="D178" t="s">
        <v>332</v>
      </c>
      <c r="E178" t="s">
        <v>485</v>
      </c>
      <c r="F178" t="s">
        <v>458</v>
      </c>
      <c r="G178" t="s">
        <v>461</v>
      </c>
      <c r="H178" t="s">
        <v>421</v>
      </c>
      <c r="I178" t="s">
        <v>159</v>
      </c>
      <c r="J178" t="s">
        <v>487</v>
      </c>
      <c r="K178" t="s">
        <v>492</v>
      </c>
      <c r="L178" t="s">
        <v>1609</v>
      </c>
    </row>
    <row r="179" spans="2:12">
      <c r="B179" t="s">
        <v>1621</v>
      </c>
      <c r="C179" t="s" vm="51">
        <v>1603</v>
      </c>
      <c r="D179" t="s">
        <v>332</v>
      </c>
      <c r="E179" t="s">
        <v>485</v>
      </c>
      <c r="F179" t="s">
        <v>458</v>
      </c>
      <c r="G179" t="s">
        <v>461</v>
      </c>
      <c r="H179" t="s">
        <v>421</v>
      </c>
      <c r="I179" t="s">
        <v>159</v>
      </c>
      <c r="J179" t="s">
        <v>487</v>
      </c>
      <c r="K179" t="s">
        <v>492</v>
      </c>
      <c r="L179" t="s">
        <v>1609</v>
      </c>
    </row>
    <row r="180" spans="2:12">
      <c r="B180" t="s">
        <v>1608</v>
      </c>
      <c r="C180" t="s" vm="51">
        <v>1603</v>
      </c>
      <c r="D180" t="s">
        <v>332</v>
      </c>
      <c r="E180" t="s">
        <v>485</v>
      </c>
      <c r="F180" t="s">
        <v>458</v>
      </c>
      <c r="G180" t="s">
        <v>461</v>
      </c>
      <c r="H180" t="s">
        <v>421</v>
      </c>
      <c r="I180" t="s">
        <v>159</v>
      </c>
      <c r="J180" t="s">
        <v>487</v>
      </c>
      <c r="K180" t="s">
        <v>492</v>
      </c>
      <c r="L180" t="s">
        <v>1609</v>
      </c>
    </row>
    <row r="181" spans="2:12">
      <c r="B181" t="s">
        <v>1547</v>
      </c>
      <c r="C181" t="s" vm="49">
        <v>1533</v>
      </c>
      <c r="D181" t="s">
        <v>332</v>
      </c>
      <c r="E181" t="s">
        <v>485</v>
      </c>
      <c r="F181" t="s">
        <v>456</v>
      </c>
      <c r="G181" t="s">
        <v>461</v>
      </c>
      <c r="H181" t="s">
        <v>157</v>
      </c>
      <c r="I181" t="s">
        <v>416</v>
      </c>
      <c r="J181" t="s">
        <v>487</v>
      </c>
      <c r="K181" t="s">
        <v>492</v>
      </c>
      <c r="L181" t="s">
        <v>1548</v>
      </c>
    </row>
    <row r="182" spans="2:12">
      <c r="B182" t="s">
        <v>1539</v>
      </c>
      <c r="C182" t="s" vm="48">
        <v>1535</v>
      </c>
      <c r="D182" t="s">
        <v>332</v>
      </c>
      <c r="E182" t="s">
        <v>485</v>
      </c>
      <c r="F182" t="s">
        <v>456</v>
      </c>
      <c r="G182" t="s">
        <v>217</v>
      </c>
      <c r="H182" t="s">
        <v>157</v>
      </c>
      <c r="I182" t="s">
        <v>159</v>
      </c>
      <c r="J182" t="s">
        <v>487</v>
      </c>
      <c r="K182" t="s">
        <v>492</v>
      </c>
      <c r="L182" t="s">
        <v>1540</v>
      </c>
    </row>
    <row r="183" spans="2:12">
      <c r="B183" t="s">
        <v>1531</v>
      </c>
      <c r="C183" t="s" vm="47">
        <v>1524</v>
      </c>
      <c r="D183" t="s">
        <v>332</v>
      </c>
      <c r="E183" t="s">
        <v>485</v>
      </c>
      <c r="F183" t="s">
        <v>457</v>
      </c>
      <c r="G183" t="s">
        <v>217</v>
      </c>
      <c r="H183" t="s">
        <v>157</v>
      </c>
      <c r="I183" t="s">
        <v>419</v>
      </c>
      <c r="J183" t="s">
        <v>487</v>
      </c>
      <c r="K183" t="s">
        <v>492</v>
      </c>
      <c r="L183" t="s">
        <v>1532</v>
      </c>
    </row>
    <row r="184" spans="2:12">
      <c r="B184" t="s">
        <v>1510</v>
      </c>
      <c r="C184" t="s" vm="44">
        <v>1503</v>
      </c>
      <c r="D184" t="s">
        <v>332</v>
      </c>
      <c r="E184" t="s">
        <v>485</v>
      </c>
      <c r="F184" t="s">
        <v>458</v>
      </c>
      <c r="G184" t="s">
        <v>461</v>
      </c>
      <c r="H184" t="s">
        <v>157</v>
      </c>
      <c r="I184" t="s">
        <v>419</v>
      </c>
      <c r="J184" t="s">
        <v>487</v>
      </c>
      <c r="K184" t="s">
        <v>492</v>
      </c>
      <c r="L184" t="s">
        <v>1511</v>
      </c>
    </row>
    <row r="185" spans="2:12">
      <c r="B185" t="s">
        <v>1500</v>
      </c>
      <c r="C185" t="s" vm="41">
        <v>1440</v>
      </c>
      <c r="D185" t="s">
        <v>332</v>
      </c>
      <c r="E185" t="s">
        <v>485</v>
      </c>
      <c r="F185" t="s">
        <v>458</v>
      </c>
      <c r="G185" t="s">
        <v>217</v>
      </c>
      <c r="H185" t="s">
        <v>157</v>
      </c>
      <c r="I185" t="s">
        <v>419</v>
      </c>
      <c r="J185" t="s">
        <v>473</v>
      </c>
      <c r="K185" t="s">
        <v>485</v>
      </c>
      <c r="L185" t="s">
        <v>1501</v>
      </c>
    </row>
    <row r="186" spans="2:12">
      <c r="B186" t="s">
        <v>1470</v>
      </c>
      <c r="C186" t="s" vm="39">
        <v>701</v>
      </c>
      <c r="D186" t="s">
        <v>332</v>
      </c>
      <c r="E186" t="s">
        <v>485</v>
      </c>
      <c r="F186" t="s">
        <v>458</v>
      </c>
      <c r="G186" t="s">
        <v>461</v>
      </c>
      <c r="H186" t="s">
        <v>157</v>
      </c>
      <c r="I186" t="s">
        <v>416</v>
      </c>
      <c r="J186" t="s">
        <v>473</v>
      </c>
      <c r="K186" t="s">
        <v>485</v>
      </c>
      <c r="L186" t="s">
        <v>1471</v>
      </c>
    </row>
    <row r="187" spans="2:12">
      <c r="B187" t="s">
        <v>1438</v>
      </c>
      <c r="C187" t="s" vm="40">
        <v>1434</v>
      </c>
      <c r="D187" t="s">
        <v>332</v>
      </c>
      <c r="E187" t="s">
        <v>485</v>
      </c>
      <c r="F187" t="s">
        <v>458</v>
      </c>
      <c r="G187" t="s">
        <v>461</v>
      </c>
      <c r="H187" t="s">
        <v>157</v>
      </c>
      <c r="I187" t="s">
        <v>419</v>
      </c>
      <c r="J187" t="s">
        <v>473</v>
      </c>
      <c r="K187" t="s">
        <v>485</v>
      </c>
      <c r="L187" t="s">
        <v>1439</v>
      </c>
    </row>
    <row r="188" spans="2:12">
      <c r="B188" t="s">
        <v>1404</v>
      </c>
      <c r="C188" t="s" vm="36">
        <v>1398</v>
      </c>
      <c r="D188" t="s">
        <v>332</v>
      </c>
      <c r="E188" t="s">
        <v>485</v>
      </c>
      <c r="F188" t="s">
        <v>458</v>
      </c>
      <c r="G188" t="s">
        <v>217</v>
      </c>
      <c r="H188" t="s">
        <v>158</v>
      </c>
      <c r="I188" t="s">
        <v>416</v>
      </c>
      <c r="J188" t="s">
        <v>487</v>
      </c>
      <c r="K188">
        <v>0</v>
      </c>
      <c r="L188" t="s">
        <v>1405</v>
      </c>
    </row>
    <row r="189" spans="2:12">
      <c r="B189" t="s">
        <v>1383</v>
      </c>
      <c r="C189" t="s" vm="33">
        <v>1377</v>
      </c>
      <c r="D189" t="s">
        <v>332</v>
      </c>
      <c r="E189" t="s">
        <v>485</v>
      </c>
      <c r="F189" t="s">
        <v>458</v>
      </c>
      <c r="G189" t="s">
        <v>461</v>
      </c>
      <c r="H189" t="s">
        <v>158</v>
      </c>
      <c r="I189" t="s">
        <v>419</v>
      </c>
      <c r="J189" t="s">
        <v>487</v>
      </c>
      <c r="K189" t="s">
        <v>492</v>
      </c>
      <c r="L189" t="s">
        <v>1385</v>
      </c>
    </row>
    <row r="190" spans="2:12">
      <c r="B190" t="s">
        <v>1382</v>
      </c>
      <c r="C190" t="s" vm="33">
        <v>1377</v>
      </c>
      <c r="D190" t="s">
        <v>332</v>
      </c>
      <c r="E190" t="s">
        <v>485</v>
      </c>
      <c r="F190" t="s">
        <v>458</v>
      </c>
      <c r="G190" t="s">
        <v>461</v>
      </c>
      <c r="H190" t="s">
        <v>157</v>
      </c>
      <c r="I190" t="s">
        <v>419</v>
      </c>
      <c r="J190" t="s">
        <v>487</v>
      </c>
      <c r="K190" t="s">
        <v>492</v>
      </c>
      <c r="L190" t="s">
        <v>1302</v>
      </c>
    </row>
    <row r="191" spans="2:12">
      <c r="B191" t="s">
        <v>1353</v>
      </c>
      <c r="C191" t="s" vm="29">
        <v>1041</v>
      </c>
      <c r="D191" t="s">
        <v>332</v>
      </c>
      <c r="E191" t="s">
        <v>485</v>
      </c>
      <c r="F191" t="s">
        <v>456</v>
      </c>
      <c r="G191" t="s">
        <v>461</v>
      </c>
      <c r="H191" t="s">
        <v>421</v>
      </c>
      <c r="I191" t="s">
        <v>420</v>
      </c>
      <c r="J191" t="s">
        <v>487</v>
      </c>
      <c r="K191" t="s">
        <v>492</v>
      </c>
      <c r="L191" t="s">
        <v>1354</v>
      </c>
    </row>
    <row r="192" spans="2:12">
      <c r="B192" t="s">
        <v>1338</v>
      </c>
      <c r="C192" t="s" vm="28">
        <v>1340</v>
      </c>
      <c r="D192" t="s">
        <v>332</v>
      </c>
      <c r="E192" t="s">
        <v>485</v>
      </c>
      <c r="F192" t="s">
        <v>460</v>
      </c>
      <c r="G192" t="s">
        <v>217</v>
      </c>
      <c r="H192" t="s">
        <v>157</v>
      </c>
      <c r="I192" t="s">
        <v>419</v>
      </c>
      <c r="J192" t="s">
        <v>487</v>
      </c>
      <c r="K192" t="s">
        <v>492</v>
      </c>
      <c r="L192" t="s">
        <v>1339</v>
      </c>
    </row>
    <row r="193" spans="2:12">
      <c r="B193" t="s">
        <v>1338</v>
      </c>
      <c r="C193" t="s" vm="25">
        <v>1303</v>
      </c>
      <c r="D193" t="s">
        <v>332</v>
      </c>
      <c r="E193" t="s">
        <v>485</v>
      </c>
      <c r="F193" t="s">
        <v>460</v>
      </c>
      <c r="G193" t="s">
        <v>217</v>
      </c>
      <c r="H193" t="s">
        <v>157</v>
      </c>
      <c r="I193" t="s">
        <v>419</v>
      </c>
      <c r="J193" t="s">
        <v>487</v>
      </c>
      <c r="K193" t="s">
        <v>492</v>
      </c>
      <c r="L193" t="s">
        <v>1339</v>
      </c>
    </row>
    <row r="194" spans="2:12">
      <c r="B194" t="s">
        <v>1332</v>
      </c>
      <c r="C194" t="s" vm="27">
        <v>1331</v>
      </c>
      <c r="D194" t="s">
        <v>332</v>
      </c>
      <c r="E194" t="s">
        <v>485</v>
      </c>
      <c r="F194" t="s">
        <v>458</v>
      </c>
      <c r="G194" t="s">
        <v>217</v>
      </c>
      <c r="H194" t="s">
        <v>158</v>
      </c>
      <c r="I194" t="s">
        <v>416</v>
      </c>
      <c r="J194" t="s">
        <v>487</v>
      </c>
      <c r="K194" t="s">
        <v>492</v>
      </c>
      <c r="L194" t="s">
        <v>1333</v>
      </c>
    </row>
    <row r="195" spans="2:12">
      <c r="B195" t="s">
        <v>1330</v>
      </c>
      <c r="C195" t="s" vm="26">
        <v>1263</v>
      </c>
      <c r="D195" t="s">
        <v>332</v>
      </c>
      <c r="E195" t="s">
        <v>485</v>
      </c>
      <c r="F195" t="s">
        <v>458</v>
      </c>
      <c r="G195" t="s">
        <v>217</v>
      </c>
      <c r="H195" t="s">
        <v>421</v>
      </c>
      <c r="I195" t="s">
        <v>159</v>
      </c>
      <c r="J195" t="s">
        <v>473</v>
      </c>
      <c r="K195" t="s">
        <v>485</v>
      </c>
      <c r="L195" t="s">
        <v>1329</v>
      </c>
    </row>
    <row r="196" spans="2:12">
      <c r="B196" t="s">
        <v>1325</v>
      </c>
      <c r="C196" t="s" vm="25">
        <v>1303</v>
      </c>
      <c r="D196" t="s">
        <v>332</v>
      </c>
      <c r="E196" t="s">
        <v>485</v>
      </c>
      <c r="F196" t="s">
        <v>458</v>
      </c>
      <c r="G196" t="s">
        <v>217</v>
      </c>
      <c r="H196" t="s">
        <v>421</v>
      </c>
      <c r="I196" t="s">
        <v>159</v>
      </c>
      <c r="J196" t="s">
        <v>473</v>
      </c>
      <c r="K196" t="s">
        <v>485</v>
      </c>
      <c r="L196" t="s">
        <v>1329</v>
      </c>
    </row>
    <row r="197" spans="2:12">
      <c r="B197" t="s">
        <v>1325</v>
      </c>
      <c r="C197" t="s" vm="25">
        <v>1303</v>
      </c>
      <c r="D197" t="s">
        <v>332</v>
      </c>
      <c r="E197" t="s">
        <v>485</v>
      </c>
      <c r="F197" t="s">
        <v>458</v>
      </c>
      <c r="G197" t="s">
        <v>461</v>
      </c>
      <c r="H197" t="s">
        <v>157</v>
      </c>
      <c r="I197" t="s">
        <v>416</v>
      </c>
      <c r="J197" t="s">
        <v>487</v>
      </c>
      <c r="K197" t="s">
        <v>492</v>
      </c>
      <c r="L197" t="s">
        <v>1326</v>
      </c>
    </row>
    <row r="198" spans="2:12">
      <c r="B198" t="s">
        <v>1301</v>
      </c>
      <c r="C198" t="s" vm="24">
        <v>1117</v>
      </c>
      <c r="D198" t="s">
        <v>332</v>
      </c>
      <c r="E198" t="s">
        <v>485</v>
      </c>
      <c r="F198" t="s">
        <v>458</v>
      </c>
      <c r="G198" t="s">
        <v>461</v>
      </c>
      <c r="H198" t="s">
        <v>157</v>
      </c>
      <c r="I198" t="s">
        <v>419</v>
      </c>
      <c r="J198" t="s">
        <v>487</v>
      </c>
      <c r="K198" t="s">
        <v>492</v>
      </c>
      <c r="L198" t="s">
        <v>1302</v>
      </c>
    </row>
    <row r="199" spans="2:12">
      <c r="B199" t="s">
        <v>1267</v>
      </c>
      <c r="C199" t="s" vm="21">
        <v>1266</v>
      </c>
      <c r="D199" t="s">
        <v>332</v>
      </c>
      <c r="E199" t="s">
        <v>485</v>
      </c>
      <c r="F199" t="s">
        <v>458</v>
      </c>
      <c r="G199" t="s">
        <v>461</v>
      </c>
      <c r="H199" t="s">
        <v>158</v>
      </c>
      <c r="I199" t="s">
        <v>416</v>
      </c>
      <c r="J199" t="s">
        <v>487</v>
      </c>
      <c r="K199" t="s">
        <v>492</v>
      </c>
      <c r="L199" t="s">
        <v>1268</v>
      </c>
    </row>
    <row r="200" spans="2:12">
      <c r="B200" t="s">
        <v>1264</v>
      </c>
      <c r="C200" t="s">
        <v>1263</v>
      </c>
      <c r="D200" t="s">
        <v>332</v>
      </c>
      <c r="E200" t="s">
        <v>485</v>
      </c>
      <c r="F200" t="s">
        <v>458</v>
      </c>
      <c r="G200" t="s">
        <v>461</v>
      </c>
      <c r="H200" t="s">
        <v>421</v>
      </c>
      <c r="I200" t="s">
        <v>159</v>
      </c>
      <c r="J200" t="s">
        <v>473</v>
      </c>
      <c r="K200" t="s">
        <v>485</v>
      </c>
      <c r="L200" t="s">
        <v>1265</v>
      </c>
    </row>
    <row r="201" spans="2:12">
      <c r="B201" t="s">
        <v>571</v>
      </c>
      <c r="C201" t="s">
        <v>582</v>
      </c>
      <c r="D201" t="s">
        <v>332</v>
      </c>
      <c r="E201" t="s">
        <v>485</v>
      </c>
      <c r="F201" t="s">
        <v>458</v>
      </c>
      <c r="G201" t="s">
        <v>461</v>
      </c>
      <c r="H201" t="s">
        <v>157</v>
      </c>
      <c r="I201" t="s">
        <v>415</v>
      </c>
      <c r="J201" t="s">
        <v>473</v>
      </c>
      <c r="K201" t="s">
        <v>485</v>
      </c>
      <c r="L201" t="s">
        <v>1012</v>
      </c>
    </row>
    <row r="202" spans="2:12">
      <c r="B202" t="s">
        <v>1011</v>
      </c>
      <c r="C202" t="s">
        <v>634</v>
      </c>
      <c r="D202" t="s">
        <v>332</v>
      </c>
      <c r="E202" t="s">
        <v>485</v>
      </c>
      <c r="F202" t="s">
        <v>458</v>
      </c>
      <c r="G202" t="s">
        <v>461</v>
      </c>
      <c r="H202" t="s">
        <v>157</v>
      </c>
      <c r="I202" t="s">
        <v>415</v>
      </c>
      <c r="J202" t="s">
        <v>473</v>
      </c>
      <c r="K202" t="s">
        <v>485</v>
      </c>
      <c r="L202" t="s">
        <v>1012</v>
      </c>
    </row>
  </sheetData>
  <pageMargins left="0.7" right="0.7" top="0.75" bottom="0.75" header="0.3" footer="0.3"/>
  <drawing r:id="rId1"/>
  <legacyDrawing r:id="rId2"/>
  <controls>
    <mc:AlternateContent xmlns:mc="http://schemas.openxmlformats.org/markup-compatibility/2006">
      <mc:Choice Requires="x14">
        <control shapeId="117762" r:id="rId3" name="BT_en_Form_Dolly">
          <controlPr defaultSize="0" autoLine="0" r:id="rId4">
            <anchor moveWithCells="1">
              <from>
                <xdr:col>6</xdr:col>
                <xdr:colOff>251460</xdr:colOff>
                <xdr:row>2</xdr:row>
                <xdr:rowOff>121920</xdr:rowOff>
              </from>
              <to>
                <xdr:col>7</xdr:col>
                <xdr:colOff>434340</xdr:colOff>
                <xdr:row>4</xdr:row>
                <xdr:rowOff>175260</xdr:rowOff>
              </to>
            </anchor>
          </controlPr>
        </control>
      </mc:Choice>
      <mc:Fallback>
        <control shapeId="117762" r:id="rId3" name="BT_en_Form_Dolly"/>
      </mc:Fallback>
    </mc:AlternateContent>
  </controls>
  <tableParts count="1">
    <tablePart r:id="rId5"/>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4DEC-E9FF-4A53-8970-17124F358C47}">
  <sheetPr codeName="Hoja26"/>
  <dimension ref="A1:M53"/>
  <sheetViews>
    <sheetView zoomScale="74" zoomScaleNormal="74" workbookViewId="0">
      <selection activeCell="S18" sqref="S18"/>
    </sheetView>
  </sheetViews>
  <sheetFormatPr baseColWidth="10" defaultRowHeight="14.4"/>
  <cols>
    <col min="1" max="1" width="12" customWidth="1"/>
    <col min="2" max="2" width="9" customWidth="1"/>
    <col min="3" max="3" width="11.88671875" customWidth="1"/>
    <col min="4" max="4" width="7.109375" customWidth="1"/>
    <col min="5" max="5" width="12.5546875" customWidth="1"/>
    <col min="6" max="6" width="12.88671875" customWidth="1"/>
    <col min="7" max="7" width="12.44140625" customWidth="1"/>
    <col min="10" max="10" width="7.33203125" customWidth="1"/>
    <col min="12" max="12" width="23.6640625" customWidth="1"/>
    <col min="13" max="13" width="11.88671875" bestFit="1" customWidth="1"/>
    <col min="14" max="14" width="8.88671875" bestFit="1" customWidth="1"/>
    <col min="15" max="15" width="5.5546875" bestFit="1" customWidth="1"/>
  </cols>
  <sheetData>
    <row r="1" spans="1:13">
      <c r="J1" s="35" t="str">
        <f ca="1">H6&amp;" "&amp;B8</f>
        <v xml:space="preserve">C D-22-09-26-0 A QUIEN CORRESPONDA </v>
      </c>
    </row>
    <row r="4" spans="1:13">
      <c r="L4">
        <v>0</v>
      </c>
      <c r="M4" s="69">
        <f ca="1">TODAY()</f>
        <v>46287</v>
      </c>
    </row>
    <row r="5" spans="1:13">
      <c r="K5" s="624" t="s">
        <v>1205</v>
      </c>
      <c r="L5" s="625"/>
      <c r="M5" s="35" t="str">
        <f ca="1">"C D-"&amp;TEXT(M4,"DD-MM-AA")&amp;"-"&amp;L4</f>
        <v>C D-22-09-26-0</v>
      </c>
    </row>
    <row r="6" spans="1:13">
      <c r="C6" s="91" t="s">
        <v>1204</v>
      </c>
      <c r="D6" s="91"/>
      <c r="E6" s="608">
        <f ca="1">TODAY()</f>
        <v>46287</v>
      </c>
      <c r="F6" s="608"/>
      <c r="G6" s="91" t="s">
        <v>1152</v>
      </c>
      <c r="H6" s="343" t="str">
        <f ca="1">M5</f>
        <v>C D-22-09-26-0</v>
      </c>
      <c r="I6" s="91"/>
      <c r="K6" s="409" t="s">
        <v>1</v>
      </c>
      <c r="L6" s="408" t="s" vm="51">
        <v>1603</v>
      </c>
    </row>
    <row r="7" spans="1:13">
      <c r="A7" s="91"/>
      <c r="B7" s="91"/>
      <c r="C7" s="91"/>
      <c r="D7" s="91"/>
      <c r="E7" s="91"/>
      <c r="F7" s="91"/>
      <c r="G7" s="91"/>
      <c r="H7" s="91"/>
      <c r="I7" s="91"/>
      <c r="K7" s="592"/>
      <c r="L7" s="593"/>
    </row>
    <row r="8" spans="1:13" ht="14.1" customHeight="1">
      <c r="A8" s="91"/>
      <c r="B8" s="23" t="s">
        <v>2418</v>
      </c>
      <c r="C8" s="91"/>
      <c r="D8" s="91"/>
      <c r="F8" s="155" t="s">
        <v>1477</v>
      </c>
      <c r="G8" s="23" t="e">
        <f>INDEX(clientes[],MATCH('COTIZACION DOLLY2'!B8,clientes[CLIENTE],0),MATCH(clientes[[#Headers],[EMPRESA]],clientes[#Headers],0))</f>
        <v>#N/A</v>
      </c>
      <c r="I8" s="91"/>
    </row>
    <row r="9" spans="1:13" ht="14.1" customHeight="1">
      <c r="A9" s="338" t="s">
        <v>1224</v>
      </c>
      <c r="B9" t="e">
        <f>INDEX(clientes[],MATCH('COTIZACION DOLLY2'!B8,clientes[CLIENTE],0),MATCH(clientes[[#Headers],[TEL/CEL]],clientes[#Headers],0))</f>
        <v>#N/A</v>
      </c>
      <c r="C9" s="91"/>
      <c r="D9" s="91"/>
      <c r="E9" s="91"/>
      <c r="F9" s="91"/>
      <c r="G9" s="91"/>
      <c r="H9" s="91"/>
      <c r="I9" s="91"/>
      <c r="K9" s="624" t="s">
        <v>1214</v>
      </c>
      <c r="L9" s="625"/>
    </row>
    <row r="10" spans="1:13" ht="14.1" customHeight="1">
      <c r="A10" s="91" t="s">
        <v>1153</v>
      </c>
      <c r="B10" s="91"/>
      <c r="C10" s="91"/>
      <c r="D10" s="91"/>
      <c r="E10" s="91"/>
      <c r="F10" s="91"/>
      <c r="G10" s="91"/>
      <c r="H10" s="91"/>
      <c r="I10" s="91"/>
      <c r="J10" s="35" t="s">
        <v>1196</v>
      </c>
      <c r="K10" s="681" t="s">
        <v>332</v>
      </c>
      <c r="L10" s="682"/>
    </row>
    <row r="11" spans="1:13">
      <c r="A11" s="91"/>
      <c r="B11" s="91" t="s">
        <v>123</v>
      </c>
      <c r="E11" s="91"/>
      <c r="F11" s="91"/>
      <c r="G11" s="91"/>
      <c r="H11" s="91"/>
      <c r="I11" s="91"/>
      <c r="J11" s="35" t="s">
        <v>1197</v>
      </c>
      <c r="K11" s="626"/>
      <c r="L11" s="627"/>
    </row>
    <row r="12" spans="1:13" ht="14.1" customHeight="1">
      <c r="A12" s="289">
        <v>1</v>
      </c>
      <c r="B12" s="290" t="s">
        <v>1155</v>
      </c>
      <c r="C12" s="290"/>
      <c r="D12" s="290"/>
      <c r="E12" s="291" t="str">
        <f>MID(K10,1,6)</f>
        <v xml:space="preserve">DOLLY </v>
      </c>
      <c r="F12" s="292" t="s">
        <v>988</v>
      </c>
      <c r="G12" s="291" t="str">
        <f>MID(K10,8,8)</f>
        <v xml:space="preserve"> 3.5 FT</v>
      </c>
      <c r="H12" s="292" t="s">
        <v>991</v>
      </c>
      <c r="I12" s="293" t="s">
        <v>1157</v>
      </c>
      <c r="J12" s="35"/>
      <c r="K12" s="2"/>
      <c r="L12" s="2"/>
    </row>
    <row r="13" spans="1:13" ht="14.1" customHeight="1">
      <c r="A13" s="294"/>
      <c r="B13" s="295" t="s">
        <v>314</v>
      </c>
      <c r="C13" s="296" t="s">
        <v>995</v>
      </c>
      <c r="D13" s="297"/>
      <c r="E13" s="297"/>
      <c r="F13" s="295" t="s">
        <v>1158</v>
      </c>
      <c r="G13" s="298">
        <v>2027</v>
      </c>
      <c r="H13" s="297"/>
      <c r="I13" s="299"/>
      <c r="J13" s="35"/>
      <c r="K13" s="594" t="s">
        <v>1342</v>
      </c>
      <c r="L13" s="595"/>
    </row>
    <row r="14" spans="1:13" ht="14.1" customHeight="1">
      <c r="A14" s="91"/>
      <c r="B14" s="91" t="s">
        <v>123</v>
      </c>
      <c r="C14" s="91"/>
      <c r="D14" s="91"/>
      <c r="E14" s="91"/>
      <c r="F14" s="91"/>
      <c r="G14" s="91"/>
      <c r="H14" s="91"/>
      <c r="I14" s="91"/>
      <c r="J14" s="35"/>
      <c r="K14" s="614" t="s">
        <v>461</v>
      </c>
      <c r="L14" s="615"/>
    </row>
    <row r="15" spans="1:13" ht="14.1" customHeight="1">
      <c r="A15" s="602" t="s">
        <v>1159</v>
      </c>
      <c r="B15" s="603"/>
      <c r="C15" s="603"/>
      <c r="D15" s="603"/>
      <c r="E15" s="603"/>
      <c r="F15" s="603"/>
      <c r="G15" s="603"/>
      <c r="H15" s="603"/>
      <c r="I15" s="616"/>
      <c r="J15" s="35"/>
      <c r="K15" s="598"/>
      <c r="L15" s="599"/>
    </row>
    <row r="16" spans="1:13" ht="14.1" customHeight="1">
      <c r="A16" s="617" t="s">
        <v>1164</v>
      </c>
      <c r="B16" s="618"/>
      <c r="C16" s="609" t="s">
        <v>1215</v>
      </c>
      <c r="D16" s="609"/>
      <c r="E16" s="609"/>
      <c r="F16" s="609"/>
      <c r="G16" s="609"/>
      <c r="H16" s="609"/>
      <c r="I16" s="610"/>
    </row>
    <row r="17" spans="1:13" ht="14.1" customHeight="1">
      <c r="A17" s="684"/>
      <c r="B17" s="685"/>
      <c r="C17" s="686"/>
      <c r="D17" s="686"/>
      <c r="E17" s="686"/>
      <c r="F17" s="686"/>
      <c r="G17" s="686"/>
      <c r="H17" s="686"/>
      <c r="I17" s="687"/>
      <c r="K17" s="579" t="s">
        <v>1207</v>
      </c>
      <c r="L17" s="580"/>
    </row>
    <row r="18" spans="1:13" ht="14.1" customHeight="1">
      <c r="A18" s="619"/>
      <c r="B18" s="620"/>
      <c r="C18" s="611"/>
      <c r="D18" s="611"/>
      <c r="E18" s="611"/>
      <c r="F18" s="611"/>
      <c r="G18" s="611"/>
      <c r="H18" s="611"/>
      <c r="I18" s="612"/>
      <c r="J18" s="35" t="s">
        <v>1161</v>
      </c>
      <c r="K18" s="322"/>
      <c r="L18" s="323" t="s">
        <v>1161</v>
      </c>
    </row>
    <row r="19" spans="1:13" ht="14.1" customHeight="1">
      <c r="A19" s="336" t="s">
        <v>989</v>
      </c>
      <c r="B19" s="429" t="s">
        <v>2233</v>
      </c>
      <c r="C19" s="605" t="str">
        <f>"Tubular redondo de 5” y espesor de 5/8” con capacidad de 30,000 libras. En marca: "&amp;PROPER(MID(K14,5,60))</f>
        <v>Tubular redondo de 5” y espesor de 5/8” con capacidad de 30,000 libras. En marca:  Fleet Master</v>
      </c>
      <c r="D19" s="605"/>
      <c r="E19" s="605"/>
      <c r="F19" s="605"/>
      <c r="G19" s="605"/>
      <c r="H19" s="605"/>
      <c r="I19" s="606"/>
      <c r="J19" s="35" t="s">
        <v>1197</v>
      </c>
      <c r="K19" s="679"/>
      <c r="L19" s="680"/>
    </row>
    <row r="20" spans="1:13" ht="14.1" customHeight="1">
      <c r="A20" s="319" t="s">
        <v>1216</v>
      </c>
      <c r="B20" s="310"/>
      <c r="C20" s="337" t="s">
        <v>1196</v>
      </c>
      <c r="D20" s="337"/>
      <c r="E20" s="337"/>
      <c r="F20" s="318">
        <v>10</v>
      </c>
      <c r="G20" s="318" t="s">
        <v>1196</v>
      </c>
      <c r="H20" s="318"/>
      <c r="I20" s="317"/>
    </row>
    <row r="21" spans="1:13" ht="14.1" customHeight="1">
      <c r="A21" s="622" t="s">
        <v>1174</v>
      </c>
      <c r="B21" s="623"/>
      <c r="C21" s="300" t="str">
        <f>L18</f>
        <v>Uno</v>
      </c>
      <c r="D21" s="314" t="s">
        <v>1161</v>
      </c>
      <c r="E21" s="314"/>
      <c r="F21" s="314"/>
      <c r="G21" s="314"/>
      <c r="H21" s="314"/>
      <c r="I21" s="301"/>
      <c r="K21" s="579" t="s">
        <v>1208</v>
      </c>
      <c r="L21" s="580"/>
    </row>
    <row r="22" spans="1:13" ht="14.1" customHeight="1">
      <c r="A22" s="622" t="s">
        <v>1160</v>
      </c>
      <c r="B22" s="623"/>
      <c r="C22" s="603" t="str">
        <f>IF(K22="SIN SUSPENSIÓN","SIN SUSPENSIÓN",PROPER(MID(K22,11,100)))</f>
        <v xml:space="preserve"> Fleet Master</v>
      </c>
      <c r="D22" s="603"/>
      <c r="E22" s="603"/>
      <c r="F22" s="314"/>
      <c r="G22" s="314"/>
      <c r="H22" s="91"/>
      <c r="I22" s="301"/>
      <c r="K22" s="590" t="s">
        <v>456</v>
      </c>
      <c r="L22" s="591"/>
    </row>
    <row r="23" spans="1:13" ht="14.1" customHeight="1">
      <c r="A23" s="587"/>
      <c r="B23" s="588"/>
      <c r="C23" s="302"/>
      <c r="D23" s="302"/>
      <c r="E23" s="302"/>
      <c r="G23" s="315"/>
      <c r="H23" s="314"/>
      <c r="I23" s="303"/>
      <c r="K23" s="679"/>
      <c r="L23" s="680"/>
    </row>
    <row r="24" spans="1:13" ht="14.1" customHeight="1">
      <c r="A24" s="602" t="s">
        <v>1163</v>
      </c>
      <c r="B24" s="603"/>
      <c r="C24" s="332" t="s">
        <v>2180</v>
      </c>
      <c r="D24" s="332"/>
      <c r="E24" s="332"/>
      <c r="F24" s="332"/>
      <c r="G24" s="332"/>
      <c r="H24" s="332"/>
      <c r="I24" s="333"/>
      <c r="M24" s="329"/>
    </row>
    <row r="25" spans="1:13" ht="14.1" customHeight="1">
      <c r="A25" s="604" t="s">
        <v>1165</v>
      </c>
      <c r="B25" s="583"/>
      <c r="C25" s="583"/>
      <c r="D25" s="583"/>
      <c r="E25" s="583"/>
      <c r="F25" s="583"/>
      <c r="G25" s="583"/>
      <c r="H25" s="583"/>
      <c r="I25" s="584"/>
    </row>
    <row r="26" spans="1:13" ht="14.1" customHeight="1">
      <c r="A26" s="289" t="s">
        <v>1166</v>
      </c>
      <c r="B26" s="290"/>
      <c r="C26" s="290" t="s">
        <v>1173</v>
      </c>
      <c r="D26" s="304"/>
      <c r="E26" s="304"/>
      <c r="F26" s="304"/>
      <c r="G26" s="304"/>
      <c r="H26" s="304"/>
      <c r="I26" s="305"/>
      <c r="K26" s="579" t="s">
        <v>1212</v>
      </c>
      <c r="L26" s="580"/>
    </row>
    <row r="27" spans="1:13" ht="14.1" customHeight="1">
      <c r="A27" s="306" t="s">
        <v>1168</v>
      </c>
      <c r="B27" s="91"/>
      <c r="C27" s="91" t="s">
        <v>1169</v>
      </c>
      <c r="D27" s="91"/>
      <c r="E27" s="91"/>
      <c r="F27" s="91"/>
      <c r="G27" s="91"/>
      <c r="H27" s="91"/>
      <c r="I27" s="309"/>
      <c r="J27" s="35"/>
      <c r="K27" s="335">
        <v>4</v>
      </c>
      <c r="L27" s="309" t="s">
        <v>158</v>
      </c>
    </row>
    <row r="28" spans="1:13" ht="14.1" customHeight="1">
      <c r="A28" s="294" t="s">
        <v>1170</v>
      </c>
      <c r="B28" s="297"/>
      <c r="C28" s="310" t="s">
        <v>1171</v>
      </c>
      <c r="D28" s="297"/>
      <c r="E28" s="297"/>
      <c r="F28" s="297"/>
      <c r="G28" s="297"/>
      <c r="H28" s="297"/>
      <c r="I28" s="299"/>
      <c r="J28" s="35"/>
      <c r="K28" s="579" t="s">
        <v>1213</v>
      </c>
      <c r="L28" s="580"/>
    </row>
    <row r="29" spans="1:13" ht="27.6" customHeight="1">
      <c r="A29" s="604" t="s">
        <v>1184</v>
      </c>
      <c r="B29" s="583"/>
      <c r="C29" s="605" t="s">
        <v>1192</v>
      </c>
      <c r="D29" s="605"/>
      <c r="E29" s="605"/>
      <c r="F29" s="605"/>
      <c r="G29" s="605"/>
      <c r="H29" s="605"/>
      <c r="I29" s="606"/>
      <c r="J29" s="35"/>
      <c r="K29" s="335">
        <v>8</v>
      </c>
      <c r="L29" s="309" t="s">
        <v>419</v>
      </c>
    </row>
    <row r="30" spans="1:13" ht="14.1" customHeight="1">
      <c r="A30" s="316" t="s">
        <v>1186</v>
      </c>
      <c r="B30" s="313">
        <f>K27</f>
        <v>4</v>
      </c>
      <c r="C30" s="302" t="str">
        <f>IF(L27="SIN RINES","Sin rines","24.5"&amp;""" "&amp;PROPER(MID(L27,6,100)))</f>
        <v>24.5"  De Aluminio</v>
      </c>
      <c r="D30" s="302"/>
      <c r="E30" s="302" t="s">
        <v>2645</v>
      </c>
      <c r="F30" s="314"/>
      <c r="G30" s="302"/>
      <c r="H30" s="302"/>
      <c r="I30" s="303"/>
      <c r="J30" s="35"/>
      <c r="K30" s="325"/>
      <c r="L30" s="326"/>
    </row>
    <row r="31" spans="1:13" ht="14.1" customHeight="1">
      <c r="A31" s="316" t="s">
        <v>1185</v>
      </c>
      <c r="B31" s="313">
        <f>K29</f>
        <v>8</v>
      </c>
      <c r="C31" s="302" t="str">
        <f>IF(L29="SIN LLANTAS","Sin llantas","24.5"" "&amp;"Marca"&amp;PROPER(MID(L29,8,100)))</f>
        <v>24.5" Marca Chinas</v>
      </c>
      <c r="D31" s="302"/>
      <c r="E31" s="302"/>
      <c r="F31" s="314" t="s">
        <v>159</v>
      </c>
      <c r="G31" s="388" t="s">
        <v>1423</v>
      </c>
      <c r="H31" s="302" t="s">
        <v>2332</v>
      </c>
      <c r="I31" s="303"/>
      <c r="J31" s="35"/>
    </row>
    <row r="32" spans="1:13" ht="14.1" customHeight="1">
      <c r="A32" s="602" t="s">
        <v>1187</v>
      </c>
      <c r="B32" s="603"/>
      <c r="C32" s="302" t="s">
        <v>2605</v>
      </c>
      <c r="D32" s="302"/>
      <c r="E32" s="302"/>
      <c r="F32" s="302"/>
      <c r="G32" s="302"/>
      <c r="H32" s="302"/>
      <c r="I32" s="301"/>
      <c r="J32" s="35"/>
      <c r="M32" s="91"/>
    </row>
    <row r="33" spans="1:13" ht="14.1" customHeight="1">
      <c r="A33" s="91" t="s">
        <v>2010</v>
      </c>
      <c r="B33" s="426"/>
      <c r="C33" s="426"/>
      <c r="D33" s="426"/>
      <c r="E33" s="426"/>
      <c r="F33" s="91"/>
      <c r="G33" s="91"/>
      <c r="H33" s="91"/>
      <c r="I33" s="91"/>
      <c r="J33" s="35"/>
    </row>
    <row r="34" spans="1:13" ht="14.1" customHeight="1">
      <c r="A34" s="324" t="s">
        <v>1191</v>
      </c>
      <c r="B34" s="324"/>
      <c r="C34" s="596">
        <v>358600</v>
      </c>
      <c r="D34" s="596"/>
      <c r="E34" s="688" t="str" cm="1">
        <f t="array" ref="E34">""&amp;"("&amp;PROPER(NumLetras(C34))&amp;")"</f>
        <v>( Trescientos Cincuenta Y Ocho Mil Seiscientos 00/100 M.N.)</v>
      </c>
      <c r="F34" s="688"/>
      <c r="G34" s="688"/>
      <c r="H34" s="688"/>
      <c r="I34" s="688"/>
      <c r="J34" s="35"/>
    </row>
    <row r="35" spans="1:13" ht="14.1" customHeight="1">
      <c r="J35" s="35"/>
    </row>
    <row r="36" spans="1:13" ht="14.1" customHeight="1">
      <c r="A36" s="91" t="s">
        <v>1193</v>
      </c>
    </row>
    <row r="37" spans="1:13" ht="14.1" customHeight="1">
      <c r="A37" s="91" t="s">
        <v>1194</v>
      </c>
    </row>
    <row r="38" spans="1:13" ht="14.1" customHeight="1">
      <c r="A38" s="91" t="str">
        <f>"Esta cotizacion no incluye"&amp;" "&amp;IF(C31="Sin Llantas","llantas","")&amp;","&amp;" "&amp;IF(PROPER(C30)="Sin rines","rines","")&amp;","&amp;" "&amp;IF(C21="No","sin retractil","")</f>
        <v xml:space="preserve">Esta cotizacion no incluye , , </v>
      </c>
      <c r="M38" s="329"/>
    </row>
    <row r="39" spans="1:13" ht="14.1" customHeight="1"/>
    <row r="40" spans="1:13">
      <c r="A40" s="683" t="s">
        <v>140</v>
      </c>
      <c r="B40" s="683"/>
      <c r="C40" s="683"/>
      <c r="D40" s="683"/>
      <c r="E40" s="683"/>
      <c r="F40" s="683"/>
      <c r="G40" s="683"/>
      <c r="H40" s="683"/>
      <c r="I40" s="683"/>
    </row>
    <row r="41" spans="1:13" ht="14.1" customHeight="1">
      <c r="A41" s="91"/>
      <c r="B41" s="91"/>
      <c r="C41" s="91"/>
      <c r="D41" s="91"/>
      <c r="E41" s="91"/>
      <c r="F41" s="91"/>
      <c r="G41" s="91"/>
      <c r="H41" s="91"/>
      <c r="I41" s="169"/>
    </row>
    <row r="42" spans="1:13" ht="14.1" customHeight="1">
      <c r="A42" s="683" t="s">
        <v>141</v>
      </c>
      <c r="B42" s="683"/>
      <c r="C42" s="683"/>
      <c r="D42" s="683"/>
      <c r="E42" s="683"/>
      <c r="F42" s="683"/>
      <c r="G42" s="683"/>
      <c r="H42" s="683"/>
      <c r="I42" s="683"/>
    </row>
    <row r="43" spans="1:13" ht="14.1" customHeight="1">
      <c r="A43" s="683" t="s">
        <v>1217</v>
      </c>
      <c r="B43" s="683"/>
      <c r="C43" s="683"/>
      <c r="D43" s="683"/>
      <c r="E43" s="683"/>
      <c r="F43" s="683"/>
      <c r="G43" s="683"/>
      <c r="H43" s="683"/>
      <c r="I43" s="683"/>
    </row>
    <row r="44" spans="1:13" ht="14.1" customHeight="1">
      <c r="A44" s="683" t="s">
        <v>1218</v>
      </c>
      <c r="B44" s="683"/>
      <c r="C44" s="683"/>
      <c r="D44" s="683"/>
      <c r="E44" s="683"/>
      <c r="F44" s="683"/>
      <c r="G44" s="683"/>
      <c r="H44" s="683"/>
      <c r="I44" s="683"/>
    </row>
    <row r="45" spans="1:13" ht="14.1" customHeight="1">
      <c r="A45" s="683" t="s">
        <v>142</v>
      </c>
      <c r="B45" s="683"/>
      <c r="C45" s="683"/>
      <c r="D45" s="683"/>
      <c r="E45" s="683"/>
      <c r="F45" s="683"/>
      <c r="G45" s="683"/>
      <c r="H45" s="683"/>
      <c r="I45" s="683"/>
    </row>
    <row r="46" spans="1:13" ht="14.1" customHeight="1">
      <c r="A46" s="589" t="s">
        <v>143</v>
      </c>
      <c r="B46" s="589"/>
      <c r="C46" s="589"/>
      <c r="D46" s="589"/>
      <c r="E46" s="589"/>
      <c r="F46" s="589"/>
      <c r="G46" s="589"/>
      <c r="H46" s="589"/>
      <c r="I46" s="589"/>
    </row>
    <row r="47" spans="1:13" ht="14.1" customHeight="1">
      <c r="A47" s="91"/>
      <c r="B47" s="91"/>
      <c r="C47" s="91"/>
      <c r="D47" s="91"/>
      <c r="E47" s="91"/>
      <c r="F47" s="91"/>
      <c r="G47" s="91"/>
      <c r="H47" s="91"/>
      <c r="I47" s="91"/>
    </row>
    <row r="48" spans="1:13" ht="14.1" customHeight="1">
      <c r="A48" s="589" t="s">
        <v>270</v>
      </c>
      <c r="B48" s="589"/>
      <c r="C48" s="589"/>
      <c r="D48" s="589"/>
      <c r="E48" s="589"/>
      <c r="F48" s="589"/>
      <c r="G48" s="589"/>
      <c r="H48" s="589"/>
      <c r="I48" s="589"/>
    </row>
    <row r="49" spans="1:9" ht="14.1" customHeight="1">
      <c r="A49" s="589" t="s">
        <v>525</v>
      </c>
      <c r="B49" s="589"/>
      <c r="C49" s="589"/>
      <c r="D49" s="589"/>
      <c r="E49" s="589"/>
      <c r="F49" s="589"/>
      <c r="G49" s="589"/>
      <c r="H49" s="589"/>
      <c r="I49" s="589"/>
    </row>
    <row r="50" spans="1:9" ht="14.1" customHeight="1">
      <c r="A50" s="589" t="s">
        <v>526</v>
      </c>
      <c r="B50" s="589"/>
      <c r="C50" s="589"/>
      <c r="D50" s="589"/>
      <c r="E50" s="589"/>
      <c r="F50" s="589"/>
      <c r="G50" s="589"/>
      <c r="H50" s="589"/>
      <c r="I50" s="589"/>
    </row>
    <row r="51" spans="1:9" ht="14.1" customHeight="1"/>
    <row r="52" spans="1:9" ht="14.1" customHeight="1"/>
    <row r="53" spans="1:9" ht="14.1" customHeight="1"/>
  </sheetData>
  <mergeCells count="40">
    <mergeCell ref="A44:I44"/>
    <mergeCell ref="A43:I43"/>
    <mergeCell ref="A42:I42"/>
    <mergeCell ref="A40:I40"/>
    <mergeCell ref="A16:B18"/>
    <mergeCell ref="C16:I18"/>
    <mergeCell ref="C19:I19"/>
    <mergeCell ref="A24:B24"/>
    <mergeCell ref="A25:I25"/>
    <mergeCell ref="C34:D34"/>
    <mergeCell ref="E34:I34"/>
    <mergeCell ref="A32:B32"/>
    <mergeCell ref="A45:I45"/>
    <mergeCell ref="A50:I50"/>
    <mergeCell ref="A49:I49"/>
    <mergeCell ref="A48:I48"/>
    <mergeCell ref="A46:I46"/>
    <mergeCell ref="K5:L5"/>
    <mergeCell ref="K7:L7"/>
    <mergeCell ref="E6:F6"/>
    <mergeCell ref="K9:L9"/>
    <mergeCell ref="K11:L11"/>
    <mergeCell ref="A15:I15"/>
    <mergeCell ref="K19:L19"/>
    <mergeCell ref="K10:L10"/>
    <mergeCell ref="K22:L22"/>
    <mergeCell ref="A21:B21"/>
    <mergeCell ref="A22:B22"/>
    <mergeCell ref="C22:E22"/>
    <mergeCell ref="K13:L13"/>
    <mergeCell ref="K14:L14"/>
    <mergeCell ref="K15:L15"/>
    <mergeCell ref="K21:L21"/>
    <mergeCell ref="K17:L17"/>
    <mergeCell ref="K26:L26"/>
    <mergeCell ref="A23:B23"/>
    <mergeCell ref="K23:L23"/>
    <mergeCell ref="K28:L28"/>
    <mergeCell ref="A29:B29"/>
    <mergeCell ref="C29:I29"/>
  </mergeCells>
  <dataValidations count="1">
    <dataValidation type="list" allowBlank="1" showInputMessage="1" showErrorMessage="1" sqref="L18" xr:uid="{1448B6B9-1244-4DA6-A6AA-B02B360B67C7}">
      <formula1>$J$18:$J$19</formula1>
    </dataValidation>
  </dataValidations>
  <pageMargins left="0.25" right="0.25" top="0.25" bottom="0.21875" header="0.3" footer="0.3"/>
  <pageSetup orientation="portrait" r:id="rId2"/>
  <drawing r:id="rId3"/>
  <legacyDrawing r:id="rId4"/>
  <controls>
    <mc:AlternateContent xmlns:mc="http://schemas.openxmlformats.org/markup-compatibility/2006">
      <mc:Choice Requires="x14">
        <control shapeId="144416" r:id="rId5" name="btGuar_pdf_Cotiz2">
          <controlPr defaultSize="0" autoLine="0" r:id="rId6">
            <anchor moveWithCells="1">
              <from>
                <xdr:col>9</xdr:col>
                <xdr:colOff>114300</xdr:colOff>
                <xdr:row>0</xdr:row>
                <xdr:rowOff>137160</xdr:rowOff>
              </from>
              <to>
                <xdr:col>11</xdr:col>
                <xdr:colOff>114300</xdr:colOff>
                <xdr:row>2</xdr:row>
                <xdr:rowOff>99060</xdr:rowOff>
              </to>
            </anchor>
          </controlPr>
        </control>
      </mc:Choice>
      <mc:Fallback>
        <control shapeId="144416" r:id="rId5" name="btGuar_pdf_Cotiz2"/>
      </mc:Fallback>
    </mc:AlternateContent>
    <mc:AlternateContent xmlns:mc="http://schemas.openxmlformats.org/markup-compatibility/2006">
      <mc:Choice Requires="x14">
        <control shapeId="144415" r:id="rId7" name="bT_COTIZ2">
          <controlPr defaultSize="0" autoLine="0" r:id="rId8">
            <anchor>
              <from>
                <xdr:col>11</xdr:col>
                <xdr:colOff>289560</xdr:colOff>
                <xdr:row>0</xdr:row>
                <xdr:rowOff>83820</xdr:rowOff>
              </from>
              <to>
                <xdr:col>12</xdr:col>
                <xdr:colOff>228600</xdr:colOff>
                <xdr:row>2</xdr:row>
                <xdr:rowOff>137160</xdr:rowOff>
              </to>
            </anchor>
          </controlPr>
        </control>
      </mc:Choice>
      <mc:Fallback>
        <control shapeId="144415" r:id="rId7" name="bT_COTIZ2"/>
      </mc:Fallback>
    </mc:AlternateContent>
  </controls>
  <extLst>
    <ext xmlns:x14="http://schemas.microsoft.com/office/spreadsheetml/2009/9/main" uri="{CCE6A557-97BC-4b89-ADB6-D9C93CAAB3DF}">
      <x14:dataValidations xmlns:xm="http://schemas.microsoft.com/office/excel/2006/main" count="8">
        <x14:dataValidation type="list" allowBlank="1" showInputMessage="1" showErrorMessage="1" xr:uid="{DDB2E791-9703-497D-B050-ABD533602737}">
          <x14:formula1>
            <xm:f>TARIFARIO!$B$180:$B$183</xm:f>
          </x14:formula1>
          <xm:sqref>L27</xm:sqref>
        </x14:dataValidation>
        <x14:dataValidation type="list" allowBlank="1" showInputMessage="1" showErrorMessage="1" xr:uid="{896E16C6-3BA0-411F-851A-37AE4F020A33}">
          <x14:formula1>
            <xm:f>'DATOS DE EQUIPAMIENTO'!$AL$11:$AL$19</xm:f>
          </x14:formula1>
          <xm:sqref>K29</xm:sqref>
        </x14:dataValidation>
        <x14:dataValidation type="list" allowBlank="1" showInputMessage="1" showErrorMessage="1" xr:uid="{D9DE2888-60BB-4E6E-9F36-6CA0A10B2A0F}">
          <x14:formula1>
            <xm:f>'DATOS DE EQUIPAMIENTO'!$AH$11:$AH$19</xm:f>
          </x14:formula1>
          <xm:sqref>K27</xm:sqref>
        </x14:dataValidation>
        <x14:dataValidation type="list" allowBlank="1" showInputMessage="1" showErrorMessage="1" xr:uid="{866E7384-EDDE-43C9-A21A-9D1ECE5CD2C6}">
          <x14:formula1>
            <xm:f>TARIFARIO!$B$80:$B$85</xm:f>
          </x14:formula1>
          <xm:sqref>K22</xm:sqref>
        </x14:dataValidation>
        <x14:dataValidation type="list" allowBlank="1" showInputMessage="1" showErrorMessage="1" xr:uid="{2E4BCD98-D632-4F81-8166-31044F2E21EC}">
          <x14:formula1>
            <xm:f>PRODUCTOS!$CB$9</xm:f>
          </x14:formula1>
          <xm:sqref>K10</xm:sqref>
        </x14:dataValidation>
        <x14:dataValidation type="list" allowBlank="1" showInputMessage="1" showErrorMessage="1" xr:uid="{F0D32516-FDEB-4C02-B39A-69AA6B53CA2B}">
          <x14:formula1>
            <xm:f>TARIFARIO!$B$89:$B$91</xm:f>
          </x14:formula1>
          <xm:sqref>K14</xm:sqref>
        </x14:dataValidation>
        <x14:dataValidation type="list" allowBlank="1" showInputMessage="1" showErrorMessage="1" xr:uid="{06A94E59-E404-47B5-8EA5-3DEA615E2511}">
          <x14:formula1>
            <xm:f>TARIFARIO!$B$187:$B$195</xm:f>
          </x14:formula1>
          <xm:sqref>F31 L29</xm:sqref>
        </x14:dataValidation>
        <x14:dataValidation type="list" allowBlank="1" showInputMessage="1" showErrorMessage="1" xr:uid="{746E0AD9-5E44-4E73-9FBC-91F763325935}">
          <x14:formula1>
            <xm:f>TARIFARIO!$B$160:$B$172</xm:f>
          </x14:formula1>
          <xm:sqref>M32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BDD4C-5AA7-4E26-9763-D0FA6DCB2723}">
  <sheetPr codeName="Hoja21">
    <pageSetUpPr fitToPage="1"/>
  </sheetPr>
  <dimension ref="A1:M136"/>
  <sheetViews>
    <sheetView showGridLines="0" showWhiteSpace="0" zoomScaleNormal="100" zoomScalePageLayoutView="96" workbookViewId="0">
      <pane xSplit="11" ySplit="8" topLeftCell="L96" activePane="bottomRight" state="frozen"/>
      <selection pane="topRight" activeCell="L1" sqref="L1"/>
      <selection pane="bottomLeft" activeCell="A9" sqref="A9"/>
      <selection pane="bottomRight" activeCell="A100" sqref="A100:K100"/>
    </sheetView>
  </sheetViews>
  <sheetFormatPr baseColWidth="10" defaultRowHeight="14.4"/>
  <cols>
    <col min="1" max="1" width="8.5546875" customWidth="1"/>
    <col min="2" max="2" width="9.88671875" customWidth="1"/>
    <col min="3" max="3" width="6.109375" customWidth="1"/>
    <col min="5" max="5" width="10.109375" customWidth="1"/>
    <col min="6" max="6" width="7.44140625" customWidth="1"/>
    <col min="7" max="7" width="11.44140625" customWidth="1"/>
    <col min="8" max="8" width="11.109375" customWidth="1"/>
    <col min="9" max="9" width="14.5546875" customWidth="1"/>
    <col min="10" max="10" width="9" customWidth="1"/>
    <col min="11" max="11" width="9.88671875" customWidth="1"/>
  </cols>
  <sheetData>
    <row r="1" spans="1:11">
      <c r="K1" s="35" t="str">
        <f>_xlfn.CONCAT("COT."," ",B12," ",I12)</f>
        <v>COT. HEBERTO HERNANDEZ DOLLY 08-07-23-01</v>
      </c>
    </row>
    <row r="9" spans="1:11" ht="15.6">
      <c r="A9" s="152"/>
      <c r="B9" s="8"/>
      <c r="C9" s="8"/>
      <c r="D9" s="8"/>
      <c r="E9" s="8"/>
      <c r="F9" s="224" t="s">
        <v>111</v>
      </c>
      <c r="G9" s="8"/>
      <c r="H9" s="570">
        <f ca="1">TODAY()</f>
        <v>46287</v>
      </c>
      <c r="I9" s="570"/>
      <c r="J9" s="570"/>
    </row>
    <row r="10" spans="1:11" ht="15.6">
      <c r="A10" t="s">
        <v>332</v>
      </c>
      <c r="B10" s="8"/>
      <c r="C10" s="8"/>
      <c r="D10" s="8"/>
      <c r="E10" s="8"/>
      <c r="F10" s="8"/>
      <c r="G10" s="8"/>
      <c r="H10" s="8"/>
      <c r="I10" s="8"/>
      <c r="J10" s="8"/>
    </row>
    <row r="11" spans="1:11" ht="15.6">
      <c r="A11" s="8" t="s">
        <v>1</v>
      </c>
      <c r="C11" s="8"/>
      <c r="D11" s="225" t="s">
        <v>112</v>
      </c>
      <c r="E11" s="8"/>
      <c r="F11" s="8"/>
      <c r="G11" s="8"/>
      <c r="H11" s="8"/>
      <c r="I11" s="571" t="s">
        <v>109</v>
      </c>
      <c r="J11" s="571"/>
      <c r="K11" s="8"/>
    </row>
    <row r="12" spans="1:11" ht="15.6">
      <c r="A12" s="224" t="s">
        <v>113</v>
      </c>
      <c r="B12" s="562" t="str">
        <f>INDEX('FORM DOLLY'!B8:L203,MATCH(I12,'FORM DOLLY'!B8:B203,0),MATCH('FORM DOLLY'!C7,'FORM DOLLY'!B7:L7,0))</f>
        <v>HEBERTO HERNANDEZ</v>
      </c>
      <c r="C12" s="563"/>
      <c r="D12" s="563"/>
      <c r="E12" s="563"/>
      <c r="F12" s="563"/>
      <c r="G12" s="8"/>
      <c r="H12" s="8"/>
      <c r="I12" s="283" t="s">
        <v>571</v>
      </c>
      <c r="J12" s="281"/>
      <c r="K12" s="8"/>
    </row>
    <row r="13" spans="1:11" ht="15.6">
      <c r="A13" s="8"/>
      <c r="B13" s="8"/>
      <c r="C13" s="8"/>
      <c r="D13" s="8"/>
      <c r="E13" s="8"/>
      <c r="F13" s="8"/>
      <c r="G13" s="8"/>
      <c r="H13" s="8"/>
      <c r="I13" s="8"/>
      <c r="J13" s="8"/>
      <c r="K13" s="8"/>
    </row>
    <row r="14" spans="1:11" ht="15.6">
      <c r="A14" s="224" t="s">
        <v>114</v>
      </c>
      <c r="B14" s="8"/>
      <c r="C14" s="8"/>
      <c r="D14" s="8"/>
      <c r="E14" s="8"/>
      <c r="F14" s="8"/>
      <c r="G14" s="8"/>
      <c r="H14" s="8"/>
      <c r="I14" s="8"/>
      <c r="J14" s="8"/>
      <c r="K14" s="8"/>
    </row>
    <row r="15" spans="1:11" ht="15.6">
      <c r="A15" s="8"/>
      <c r="B15" s="8"/>
      <c r="C15" s="8"/>
      <c r="D15" s="8"/>
      <c r="E15" s="226" t="s">
        <v>115</v>
      </c>
      <c r="F15" s="8"/>
      <c r="G15" s="8"/>
      <c r="H15" s="8"/>
      <c r="I15" s="8"/>
      <c r="J15" s="8"/>
      <c r="K15" s="8"/>
    </row>
    <row r="16" spans="1:11" ht="15" customHeight="1">
      <c r="A16" s="564" t="str">
        <f>INDEX('FORM DOLLY'!B8:L203,MATCH(I12,'FORM DOLLY'!B8:B203,0),MATCH('FORM DOLLY'!L7,'FORM DOLLY'!B7:L7,0))</f>
        <v>PRESUPUESTO DE DOLLYN CON 2 EJES FLEET MASTER,  SUSPENSIÓN HENDRICKSON, 1 SISTEMA RETRÁCTIL, 2 RINES DE ACERO, 2 LLANTAS CEREX</v>
      </c>
      <c r="B16" s="689"/>
      <c r="C16" s="689"/>
      <c r="D16" s="689"/>
      <c r="E16" s="689"/>
      <c r="F16" s="689"/>
      <c r="G16" s="689"/>
      <c r="H16" s="689"/>
      <c r="I16" s="689"/>
      <c r="J16" s="689"/>
      <c r="K16" s="689"/>
    </row>
    <row r="17" spans="1:13">
      <c r="A17" s="689"/>
      <c r="B17" s="689"/>
      <c r="C17" s="689"/>
      <c r="D17" s="689"/>
      <c r="E17" s="689"/>
      <c r="F17" s="689"/>
      <c r="G17" s="689"/>
      <c r="H17" s="689"/>
      <c r="I17" s="689"/>
      <c r="J17" s="689"/>
      <c r="K17" s="689"/>
    </row>
    <row r="18" spans="1:13">
      <c r="A18" s="689"/>
      <c r="B18" s="689"/>
      <c r="C18" s="689"/>
      <c r="D18" s="689"/>
      <c r="E18" s="689"/>
      <c r="F18" s="689"/>
      <c r="G18" s="689"/>
      <c r="H18" s="689"/>
      <c r="I18" s="689"/>
      <c r="J18" s="689"/>
      <c r="K18" s="689"/>
    </row>
    <row r="19" spans="1:13" ht="15.6">
      <c r="A19" s="8"/>
      <c r="B19" s="8"/>
      <c r="C19" s="8"/>
      <c r="D19" s="8"/>
      <c r="E19" s="8"/>
      <c r="F19" s="8"/>
      <c r="G19" s="8"/>
      <c r="H19" s="8"/>
      <c r="I19" s="8"/>
      <c r="J19" s="8"/>
      <c r="K19" s="8"/>
    </row>
    <row r="20" spans="1:13" ht="15.6">
      <c r="A20" s="8"/>
      <c r="B20" s="8"/>
      <c r="C20" s="8"/>
      <c r="D20" s="8"/>
      <c r="E20" s="8"/>
      <c r="F20" s="8"/>
      <c r="G20" s="8"/>
      <c r="H20" s="8"/>
      <c r="I20" s="8"/>
      <c r="J20" s="8"/>
      <c r="K20" s="8"/>
    </row>
    <row r="21" spans="1:13" ht="15.6">
      <c r="A21" s="8"/>
      <c r="B21" s="8"/>
      <c r="C21" s="8"/>
      <c r="D21" s="8"/>
      <c r="E21" s="8"/>
      <c r="F21" s="8"/>
      <c r="G21" s="8"/>
      <c r="H21" s="8"/>
      <c r="I21" s="8"/>
      <c r="J21" s="8"/>
      <c r="K21" s="8"/>
      <c r="M21" s="35" t="str">
        <f>MID(A10,8,7)</f>
        <v xml:space="preserve"> 3.5 FT</v>
      </c>
    </row>
    <row r="22" spans="1:13" ht="15.6">
      <c r="A22" s="8"/>
      <c r="B22" s="8"/>
      <c r="C22" s="8"/>
      <c r="D22" s="8"/>
      <c r="E22" s="8"/>
      <c r="F22" s="8"/>
      <c r="G22" s="8"/>
      <c r="H22" s="8"/>
      <c r="I22" s="8"/>
      <c r="J22" s="8"/>
      <c r="K22" s="8"/>
      <c r="M22" s="35" t="str">
        <f>MID(A10,6,2)</f>
        <v xml:space="preserve"> 2</v>
      </c>
    </row>
    <row r="23" spans="1:13" ht="15.6">
      <c r="A23" s="8"/>
      <c r="B23" s="8"/>
      <c r="C23" s="8"/>
      <c r="D23" s="8"/>
      <c r="E23" s="8"/>
      <c r="F23" s="8"/>
      <c r="G23" s="8"/>
      <c r="H23" s="8"/>
      <c r="I23" s="8"/>
      <c r="J23" s="8"/>
      <c r="K23" s="8"/>
    </row>
    <row r="24" spans="1:13" ht="15.6">
      <c r="A24" s="8"/>
      <c r="B24" s="8"/>
      <c r="C24" s="8"/>
      <c r="D24" s="8"/>
      <c r="E24" s="8"/>
      <c r="F24" s="8"/>
      <c r="G24" s="8"/>
      <c r="H24" s="8"/>
      <c r="I24" s="8"/>
      <c r="J24" s="8"/>
      <c r="K24" s="8"/>
    </row>
    <row r="25" spans="1:13" ht="15.6">
      <c r="A25" s="8"/>
      <c r="B25" s="8"/>
      <c r="C25" s="8"/>
      <c r="D25" s="8"/>
      <c r="E25" s="8"/>
      <c r="F25" s="8"/>
      <c r="G25" s="8"/>
      <c r="H25" s="8"/>
      <c r="I25" s="8"/>
      <c r="J25" s="8"/>
      <c r="K25" s="8"/>
    </row>
    <row r="26" spans="1:13" ht="15.6">
      <c r="A26" s="8"/>
      <c r="B26" s="8"/>
      <c r="C26" s="8"/>
      <c r="D26" s="8"/>
      <c r="E26" s="8"/>
      <c r="F26" s="8"/>
      <c r="G26" s="8"/>
      <c r="H26" s="8"/>
      <c r="I26" s="8"/>
      <c r="J26" s="8"/>
      <c r="K26" s="8"/>
    </row>
    <row r="27" spans="1:13" ht="15.6">
      <c r="A27" s="8"/>
      <c r="B27" s="8"/>
      <c r="C27" s="8"/>
      <c r="D27" s="8"/>
      <c r="E27" s="8"/>
      <c r="F27" s="8"/>
      <c r="G27" s="8"/>
      <c r="H27" s="8"/>
      <c r="I27" s="8"/>
      <c r="J27" s="8"/>
      <c r="K27" s="8"/>
    </row>
    <row r="28" spans="1:13" ht="15.6">
      <c r="A28" s="8"/>
      <c r="B28" s="8"/>
      <c r="C28" s="8"/>
      <c r="D28" s="8"/>
      <c r="E28" s="8"/>
      <c r="F28" s="8"/>
      <c r="G28" s="8"/>
      <c r="H28" s="8"/>
      <c r="I28" s="8"/>
      <c r="J28" s="8"/>
      <c r="K28" s="8"/>
    </row>
    <row r="29" spans="1:13" ht="15.6">
      <c r="A29" s="8"/>
      <c r="B29" s="8"/>
      <c r="C29" s="8"/>
      <c r="D29" s="8"/>
      <c r="E29" s="8"/>
      <c r="F29" s="8"/>
      <c r="G29" s="8"/>
      <c r="H29" s="8"/>
      <c r="I29" s="8"/>
      <c r="J29" s="8"/>
      <c r="K29" s="8"/>
    </row>
    <row r="30" spans="1:13" ht="15.6">
      <c r="A30" s="8"/>
      <c r="B30" s="8"/>
      <c r="C30" s="8"/>
      <c r="D30" s="8"/>
      <c r="E30" s="8"/>
      <c r="F30" s="8"/>
      <c r="G30" s="8"/>
      <c r="H30" s="8"/>
      <c r="I30" s="8"/>
      <c r="J30" s="8"/>
      <c r="K30" s="8"/>
    </row>
    <row r="31" spans="1:13" ht="15.6">
      <c r="A31" s="8"/>
      <c r="B31" s="8"/>
      <c r="C31" s="8"/>
      <c r="D31" s="8"/>
      <c r="E31" s="8"/>
      <c r="F31" s="8"/>
      <c r="G31" s="8"/>
      <c r="H31" s="8"/>
      <c r="I31" s="8"/>
      <c r="J31" s="8"/>
      <c r="K31" s="8"/>
    </row>
    <row r="32" spans="1:13" ht="15.6">
      <c r="A32" s="8"/>
      <c r="B32" s="8"/>
      <c r="C32" s="8"/>
      <c r="D32" s="8"/>
      <c r="E32" s="8"/>
      <c r="F32" s="8"/>
      <c r="G32" s="8"/>
      <c r="H32" s="8"/>
      <c r="I32" s="8"/>
      <c r="J32" s="8"/>
      <c r="K32" s="8"/>
    </row>
    <row r="33" spans="1:11" ht="15.6">
      <c r="A33" s="8"/>
      <c r="B33" s="8"/>
      <c r="C33" s="8"/>
      <c r="D33" s="8"/>
      <c r="E33" s="8"/>
      <c r="F33" s="8"/>
      <c r="G33" s="8"/>
      <c r="H33" s="8"/>
      <c r="I33" s="8"/>
      <c r="J33" s="8"/>
      <c r="K33" s="8"/>
    </row>
    <row r="34" spans="1:11" ht="15.6">
      <c r="A34" s="8"/>
      <c r="B34" s="8"/>
      <c r="C34" s="8"/>
      <c r="D34" s="8"/>
      <c r="E34" s="8"/>
      <c r="F34" s="8"/>
      <c r="G34" s="8"/>
      <c r="H34" s="8"/>
      <c r="I34" s="8"/>
      <c r="J34" s="8"/>
      <c r="K34" s="8"/>
    </row>
    <row r="35" spans="1:11" ht="15.6">
      <c r="A35" s="8"/>
      <c r="B35" s="8"/>
      <c r="C35" s="8"/>
      <c r="D35" s="8"/>
      <c r="E35" s="8"/>
      <c r="F35" s="8"/>
      <c r="G35" s="8"/>
      <c r="H35" s="8"/>
      <c r="I35" s="8"/>
      <c r="J35" s="8"/>
      <c r="K35" s="8"/>
    </row>
    <row r="36" spans="1:11" ht="15.6">
      <c r="A36" s="8"/>
      <c r="B36" s="8"/>
      <c r="C36" s="8"/>
      <c r="D36" s="8"/>
      <c r="E36" s="8"/>
      <c r="F36" s="8"/>
      <c r="G36" s="8"/>
      <c r="H36" s="8"/>
      <c r="I36" s="8"/>
      <c r="J36" s="8"/>
      <c r="K36" s="8"/>
    </row>
    <row r="37" spans="1:11" ht="15.6">
      <c r="A37" s="8"/>
      <c r="B37" s="8"/>
      <c r="C37" s="8"/>
      <c r="D37" s="8"/>
      <c r="E37" s="8"/>
      <c r="F37" s="8"/>
      <c r="G37" s="8"/>
      <c r="H37" s="8"/>
      <c r="I37" s="8"/>
      <c r="J37" s="8"/>
      <c r="K37" s="8"/>
    </row>
    <row r="38" spans="1:11" ht="15.6">
      <c r="A38" s="8"/>
      <c r="B38" s="8"/>
      <c r="C38" s="8"/>
      <c r="D38" s="8"/>
      <c r="E38" s="8"/>
      <c r="F38" s="8"/>
      <c r="G38" s="8"/>
      <c r="H38" s="8"/>
      <c r="I38" s="8"/>
      <c r="J38" s="8"/>
      <c r="K38" s="8"/>
    </row>
    <row r="39" spans="1:11" ht="15.6">
      <c r="A39" s="8"/>
      <c r="B39" s="8"/>
      <c r="C39" s="8"/>
      <c r="D39" s="8"/>
      <c r="E39" s="8" t="s">
        <v>118</v>
      </c>
      <c r="F39" s="8"/>
      <c r="G39" s="8"/>
      <c r="H39" s="8"/>
      <c r="I39" s="8"/>
      <c r="J39" s="8"/>
      <c r="K39" s="8"/>
    </row>
    <row r="40" spans="1:11" ht="15" customHeight="1">
      <c r="A40" s="566" t="s">
        <v>1013</v>
      </c>
      <c r="B40" s="566"/>
      <c r="C40" s="566"/>
      <c r="D40" s="566"/>
      <c r="E40" s="566"/>
      <c r="F40" s="566"/>
      <c r="G40" s="566"/>
      <c r="H40" s="566"/>
      <c r="I40" s="566"/>
      <c r="J40" s="566"/>
      <c r="K40" s="566"/>
    </row>
    <row r="41" spans="1:11" ht="15" customHeight="1">
      <c r="A41" s="566"/>
      <c r="B41" s="566"/>
      <c r="C41" s="566"/>
      <c r="D41" s="566"/>
      <c r="E41" s="566"/>
      <c r="F41" s="566"/>
      <c r="G41" s="566"/>
      <c r="H41" s="566"/>
      <c r="I41" s="566"/>
      <c r="J41" s="566"/>
      <c r="K41" s="566"/>
    </row>
    <row r="42" spans="1:11" ht="15" customHeight="1">
      <c r="A42" s="566"/>
      <c r="B42" s="566"/>
      <c r="C42" s="566"/>
      <c r="D42" s="566"/>
      <c r="E42" s="566"/>
      <c r="F42" s="566"/>
      <c r="G42" s="566"/>
      <c r="H42" s="566"/>
      <c r="I42" s="566"/>
      <c r="J42" s="566"/>
      <c r="K42" s="566"/>
    </row>
    <row r="43" spans="1:11" ht="15" customHeight="1">
      <c r="A43" s="566"/>
      <c r="B43" s="566"/>
      <c r="C43" s="566"/>
      <c r="D43" s="566"/>
      <c r="E43" s="566"/>
      <c r="F43" s="566"/>
      <c r="G43" s="566"/>
      <c r="H43" s="566"/>
      <c r="I43" s="566"/>
      <c r="J43" s="566"/>
      <c r="K43" s="566"/>
    </row>
    <row r="44" spans="1:11" ht="15" customHeight="1">
      <c r="A44" s="566"/>
      <c r="B44" s="566"/>
      <c r="C44" s="566"/>
      <c r="D44" s="566"/>
      <c r="E44" s="566"/>
      <c r="F44" s="566"/>
      <c r="G44" s="566"/>
      <c r="H44" s="566"/>
      <c r="I44" s="566"/>
      <c r="J44" s="566"/>
      <c r="K44" s="566"/>
    </row>
    <row r="45" spans="1:11" ht="15.75" customHeight="1">
      <c r="A45" s="566"/>
      <c r="B45" s="566"/>
      <c r="C45" s="566"/>
      <c r="D45" s="566"/>
      <c r="E45" s="566"/>
      <c r="F45" s="566"/>
      <c r="G45" s="566"/>
      <c r="H45" s="566"/>
      <c r="I45" s="566"/>
      <c r="J45" s="566"/>
      <c r="K45" s="566"/>
    </row>
    <row r="46" spans="1:11" ht="15.75" customHeight="1">
      <c r="A46" s="566"/>
      <c r="B46" s="566"/>
      <c r="C46" s="566"/>
      <c r="D46" s="566"/>
      <c r="E46" s="566"/>
      <c r="F46" s="566"/>
      <c r="G46" s="566"/>
      <c r="H46" s="566"/>
      <c r="I46" s="566"/>
      <c r="J46" s="566"/>
      <c r="K46" s="566"/>
    </row>
    <row r="47" spans="1:11" ht="15.75" customHeight="1">
      <c r="A47" s="566"/>
      <c r="B47" s="566"/>
      <c r="C47" s="566"/>
      <c r="D47" s="566"/>
      <c r="E47" s="566"/>
      <c r="F47" s="566"/>
      <c r="G47" s="566"/>
      <c r="H47" s="566"/>
      <c r="I47" s="566"/>
      <c r="J47" s="566"/>
      <c r="K47" s="566"/>
    </row>
    <row r="48" spans="1:11" ht="15.75" customHeight="1">
      <c r="A48" s="566"/>
      <c r="B48" s="566"/>
      <c r="C48" s="566"/>
      <c r="D48" s="566"/>
      <c r="E48" s="566"/>
      <c r="F48" s="566"/>
      <c r="G48" s="566"/>
      <c r="H48" s="566"/>
      <c r="I48" s="566"/>
      <c r="J48" s="566"/>
      <c r="K48" s="566"/>
    </row>
    <row r="49" spans="1:11" ht="15.75" customHeight="1">
      <c r="A49" s="566"/>
      <c r="B49" s="566"/>
      <c r="C49" s="566"/>
      <c r="D49" s="566"/>
      <c r="E49" s="566"/>
      <c r="F49" s="566"/>
      <c r="G49" s="566"/>
      <c r="H49" s="566"/>
      <c r="I49" s="566"/>
      <c r="J49" s="566"/>
      <c r="K49" s="566"/>
    </row>
    <row r="50" spans="1:11" ht="15.6">
      <c r="A50" s="8"/>
      <c r="B50" s="8"/>
      <c r="C50" s="8"/>
      <c r="D50" s="8"/>
      <c r="E50" s="8"/>
      <c r="F50" s="8"/>
      <c r="G50" s="8"/>
      <c r="H50" s="8"/>
      <c r="I50" s="8"/>
      <c r="J50" s="8"/>
      <c r="K50" s="8"/>
    </row>
    <row r="51" spans="1:11" ht="15.6">
      <c r="A51" s="8"/>
      <c r="B51" s="8"/>
      <c r="C51" s="8"/>
      <c r="D51" s="8"/>
      <c r="E51" s="8"/>
      <c r="F51" s="8"/>
      <c r="G51" s="8"/>
      <c r="H51" s="8"/>
      <c r="I51" s="8"/>
      <c r="J51" s="8"/>
      <c r="K51" s="8"/>
    </row>
    <row r="52" spans="1:11" ht="15.6">
      <c r="A52" s="8"/>
      <c r="B52" s="8"/>
      <c r="C52" s="8"/>
      <c r="D52" s="8"/>
      <c r="E52" s="8"/>
      <c r="F52" s="8"/>
      <c r="G52" s="8"/>
      <c r="H52" s="8"/>
      <c r="I52" s="8"/>
      <c r="J52" s="8"/>
      <c r="K52" s="8"/>
    </row>
    <row r="53" spans="1:11" ht="15.6">
      <c r="A53" s="8"/>
      <c r="B53" s="8"/>
      <c r="C53" s="8"/>
      <c r="D53" s="8"/>
      <c r="E53" s="8"/>
      <c r="F53" s="8"/>
      <c r="G53" s="8"/>
      <c r="H53" s="8"/>
      <c r="I53" s="8"/>
      <c r="J53" s="8"/>
      <c r="K53" s="8"/>
    </row>
    <row r="54" spans="1:11" ht="15.6">
      <c r="A54" s="8"/>
      <c r="B54" s="8"/>
      <c r="C54" s="8"/>
      <c r="D54" s="8"/>
      <c r="E54" s="8"/>
      <c r="F54" s="8"/>
      <c r="G54" s="8"/>
      <c r="H54" s="8"/>
      <c r="I54" s="8"/>
      <c r="J54" s="8"/>
      <c r="K54" s="8"/>
    </row>
    <row r="55" spans="1:11" ht="15.6">
      <c r="A55" s="8"/>
      <c r="B55" s="8"/>
      <c r="C55" s="8"/>
      <c r="D55" s="8"/>
      <c r="E55" s="8"/>
      <c r="F55" s="8"/>
      <c r="G55" s="8"/>
      <c r="H55" s="8"/>
      <c r="I55" s="8"/>
      <c r="J55" s="8"/>
      <c r="K55" s="8"/>
    </row>
    <row r="56" spans="1:11" ht="15.6">
      <c r="A56" s="8"/>
      <c r="B56" s="8"/>
      <c r="C56" s="8"/>
      <c r="D56" s="8"/>
      <c r="E56" s="8"/>
      <c r="F56" s="8"/>
      <c r="G56" s="8"/>
      <c r="H56" s="8"/>
      <c r="I56" s="8"/>
      <c r="J56" s="8"/>
      <c r="K56" s="8"/>
    </row>
    <row r="57" spans="1:11" ht="15.6">
      <c r="A57" s="8"/>
      <c r="B57" s="8"/>
      <c r="C57" s="8"/>
      <c r="D57" s="8"/>
      <c r="E57" s="8"/>
      <c r="F57" s="8"/>
      <c r="G57" s="8"/>
      <c r="H57" s="8"/>
      <c r="I57" s="8"/>
      <c r="J57" s="8"/>
      <c r="K57" s="8"/>
    </row>
    <row r="58" spans="1:11" ht="15.6">
      <c r="A58" s="8"/>
      <c r="B58" s="8"/>
      <c r="C58" s="8"/>
      <c r="D58" s="8"/>
      <c r="E58" s="8"/>
      <c r="F58" s="8"/>
      <c r="G58" s="8"/>
      <c r="H58" s="8"/>
      <c r="I58" s="8"/>
      <c r="J58" s="8"/>
      <c r="K58" s="8"/>
    </row>
    <row r="59" spans="1:11" ht="15.6">
      <c r="A59" s="8"/>
      <c r="B59" s="8"/>
      <c r="C59" s="8"/>
      <c r="D59" s="8"/>
      <c r="E59" s="8"/>
      <c r="F59" s="152" t="str">
        <f>INDEX(Tabla68[],MATCH('COTIZACION DOLLY'!I12,Tabla68[FOLIO],0),MATCH(Tabla68[[#Headers],[SUSPENSION]],Tabla68[#Headers],0))</f>
        <v>SUSPENSIÓN HENDRICKSON</v>
      </c>
      <c r="G59" s="8"/>
      <c r="I59" s="8"/>
      <c r="J59" s="8"/>
      <c r="K59" s="8"/>
    </row>
    <row r="60" spans="1:11" ht="15.6">
      <c r="A60" s="8"/>
      <c r="B60" s="8"/>
      <c r="C60" s="8"/>
      <c r="D60" s="8"/>
      <c r="E60" s="8"/>
      <c r="F60" s="8" t="s">
        <v>124</v>
      </c>
      <c r="G60" s="8"/>
      <c r="H60" s="8"/>
      <c r="I60" s="8"/>
      <c r="J60" s="8"/>
      <c r="K60" s="8"/>
    </row>
    <row r="61" spans="1:11" ht="15.6">
      <c r="A61" s="560" t="str">
        <f>"Suspensión neumática HT300 marca"&amp;""&amp;LOWER(MID(F59,11,50))</f>
        <v>Suspensión neumática HT300 marca hendrickson</v>
      </c>
      <c r="B61" s="560"/>
      <c r="C61" s="560"/>
      <c r="D61" s="560"/>
      <c r="E61" s="560"/>
      <c r="F61" s="560"/>
      <c r="G61" s="560"/>
      <c r="H61" s="560"/>
      <c r="I61" s="560"/>
      <c r="J61" s="560"/>
      <c r="K61" s="560"/>
    </row>
    <row r="62" spans="1:11" ht="15.75" customHeight="1">
      <c r="A62" s="282" t="str">
        <f>INDEX(Tabla68[],MATCH('COTIZACION DOLLY'!I12,Tabla68[FOLIO],0),MATCH(Tabla68[[#Headers],[PRODUCTO]],Tabla68[#Headers],0))</f>
        <v>DOLLY 2 3.5 FT</v>
      </c>
      <c r="B62" s="282" t="str">
        <f>INDEX(Tabla68[],MATCH('COTIZACION DOLLY'!I12,Tabla68[FOLIO],0),MATCH(Tabla68[[#Headers],[CANT RETRACTIL]],Tabla68[#Headers],0))</f>
        <v>1</v>
      </c>
      <c r="C62" s="282" t="str" cm="1">
        <f t="array" ref="C62">IF(B62="1","un",LOWER(NumLetras1(B62)))</f>
        <v>un</v>
      </c>
      <c r="D62" s="227"/>
      <c r="E62" s="227"/>
      <c r="F62" s="227"/>
      <c r="G62" s="227"/>
      <c r="H62" s="227"/>
      <c r="I62" s="227"/>
      <c r="J62" s="227"/>
      <c r="K62" s="227"/>
    </row>
    <row r="63" spans="1:11" ht="15.6">
      <c r="A63" s="230" t="s">
        <v>1015</v>
      </c>
      <c r="B63" s="8"/>
      <c r="C63" s="8"/>
      <c r="D63" s="8"/>
      <c r="E63" s="8"/>
      <c r="F63" s="8"/>
      <c r="G63" s="8"/>
      <c r="H63" s="8"/>
      <c r="I63" s="8"/>
      <c r="J63" s="8"/>
      <c r="K63" s="8"/>
    </row>
    <row r="64" spans="1:11" ht="15.75" customHeight="1">
      <c r="A64" s="578" t="str">
        <f>"Ejes:"&amp;" "&amp;MID(A62,6,2)&amp;" "&amp;"piezas. Tubular redondo de 5” y espesor de 5/8” con capacidad de 30,000 libras. Con"&amp;" "&amp;C62&amp;" "&amp;"eje(s) retractiles."</f>
        <v>Ejes:  2 piezas. Tubular redondo de 5” y espesor de 5/8” con capacidad de 30,000 libras. Con un eje(s) retractiles.</v>
      </c>
      <c r="B64" s="578"/>
      <c r="C64" s="578"/>
      <c r="D64" s="578"/>
      <c r="E64" s="578"/>
      <c r="F64" s="578"/>
      <c r="G64" s="578"/>
      <c r="H64" s="578"/>
      <c r="I64" s="578"/>
      <c r="J64" s="578"/>
      <c r="K64" s="578"/>
    </row>
    <row r="65" spans="1:11" ht="15.75" customHeight="1">
      <c r="A65" s="578"/>
      <c r="B65" s="578"/>
      <c r="C65" s="578"/>
      <c r="D65" s="578"/>
      <c r="E65" s="578"/>
      <c r="F65" s="578"/>
      <c r="G65" s="578"/>
      <c r="H65" s="578"/>
      <c r="I65" s="578"/>
      <c r="J65" s="578"/>
      <c r="K65" s="578"/>
    </row>
    <row r="66" spans="1:11" ht="15.75" customHeight="1">
      <c r="A66" s="566" t="s">
        <v>1014</v>
      </c>
      <c r="B66" s="566"/>
      <c r="C66" s="566"/>
      <c r="D66" s="566"/>
      <c r="E66" s="566"/>
      <c r="F66" s="566"/>
      <c r="G66" s="566"/>
      <c r="H66" s="566"/>
      <c r="I66" s="566"/>
      <c r="J66" s="566"/>
      <c r="K66" s="566"/>
    </row>
    <row r="67" spans="1:11" ht="15.75" customHeight="1">
      <c r="A67" s="566"/>
      <c r="B67" s="566"/>
      <c r="C67" s="566"/>
      <c r="D67" s="566"/>
      <c r="E67" s="566"/>
      <c r="F67" s="566"/>
      <c r="G67" s="566"/>
      <c r="H67" s="566"/>
      <c r="I67" s="566"/>
      <c r="J67" s="566"/>
      <c r="K67" s="566"/>
    </row>
    <row r="68" spans="1:11" ht="15.6">
      <c r="A68" s="8"/>
      <c r="B68" s="8"/>
      <c r="C68" s="8"/>
      <c r="D68" s="8"/>
      <c r="E68" s="229" t="s">
        <v>129</v>
      </c>
      <c r="F68" s="8"/>
      <c r="G68" s="8"/>
      <c r="H68" s="8"/>
      <c r="I68" s="8"/>
      <c r="J68" s="8"/>
      <c r="K68" s="8"/>
    </row>
    <row r="69" spans="1:11" ht="15.6">
      <c r="A69" s="230" t="s">
        <v>130</v>
      </c>
      <c r="B69" s="8"/>
      <c r="C69" s="8"/>
      <c r="D69" s="8"/>
      <c r="E69" s="8"/>
      <c r="F69" s="8"/>
      <c r="G69" s="8"/>
      <c r="H69" s="8"/>
      <c r="I69" s="8"/>
      <c r="J69" s="8"/>
      <c r="K69" s="8"/>
    </row>
    <row r="70" spans="1:11" ht="15.6">
      <c r="A70" s="228" t="s">
        <v>1016</v>
      </c>
      <c r="B70" s="8"/>
      <c r="C70" s="8"/>
      <c r="D70" s="8"/>
      <c r="E70" s="8"/>
      <c r="F70" s="8"/>
      <c r="G70" s="8"/>
      <c r="H70" s="8"/>
      <c r="I70" s="8"/>
      <c r="J70" s="8"/>
      <c r="K70" s="8"/>
    </row>
    <row r="71" spans="1:11" ht="15.6">
      <c r="A71" s="225" t="s">
        <v>126</v>
      </c>
      <c r="B71" s="8"/>
      <c r="C71" s="8"/>
      <c r="D71" s="8"/>
      <c r="E71" s="8"/>
      <c r="F71" s="8"/>
      <c r="G71" s="8"/>
      <c r="H71" s="8"/>
      <c r="I71" s="8"/>
      <c r="J71" s="8"/>
      <c r="K71" s="8"/>
    </row>
    <row r="72" spans="1:11" ht="15.6">
      <c r="A72" s="8"/>
      <c r="B72" s="8"/>
      <c r="C72" s="8"/>
      <c r="D72" s="8"/>
      <c r="E72" s="8"/>
      <c r="F72" s="8"/>
      <c r="G72" s="8"/>
      <c r="H72" s="8"/>
      <c r="I72" s="8"/>
      <c r="J72" s="8"/>
      <c r="K72" s="8"/>
    </row>
    <row r="73" spans="1:11" ht="15.6">
      <c r="A73" s="8"/>
      <c r="B73" s="8"/>
      <c r="C73" s="8"/>
      <c r="D73" s="8"/>
      <c r="E73" s="8"/>
      <c r="F73" s="8"/>
      <c r="G73" s="8"/>
      <c r="H73" s="8"/>
      <c r="I73" s="8"/>
      <c r="J73" s="8"/>
      <c r="K73" s="8"/>
    </row>
    <row r="74" spans="1:11" ht="15.6">
      <c r="A74" s="8"/>
      <c r="B74" s="8"/>
      <c r="C74" s="8"/>
      <c r="D74" s="8"/>
      <c r="E74" s="229" t="s">
        <v>128</v>
      </c>
      <c r="F74" s="8"/>
      <c r="G74" s="8"/>
      <c r="H74" s="8"/>
      <c r="I74" s="8"/>
      <c r="J74" s="8"/>
      <c r="K74" s="8"/>
    </row>
    <row r="75" spans="1:11" ht="15.75" customHeight="1">
      <c r="A75" s="568" t="s">
        <v>522</v>
      </c>
      <c r="B75" s="568"/>
      <c r="C75" s="568"/>
      <c r="D75" s="568"/>
      <c r="E75" s="568"/>
      <c r="F75" s="568"/>
      <c r="G75" s="568"/>
      <c r="H75" s="568"/>
      <c r="I75" s="568"/>
      <c r="J75" s="568"/>
      <c r="K75" s="568"/>
    </row>
    <row r="76" spans="1:11" ht="15.75" customHeight="1">
      <c r="A76" s="568"/>
      <c r="B76" s="568"/>
      <c r="C76" s="568"/>
      <c r="D76" s="568"/>
      <c r="E76" s="568"/>
      <c r="F76" s="568"/>
      <c r="G76" s="568"/>
      <c r="H76" s="568"/>
      <c r="I76" s="568"/>
      <c r="J76" s="568"/>
      <c r="K76" s="568"/>
    </row>
    <row r="77" spans="1:11" ht="15.6">
      <c r="A77" s="8"/>
      <c r="B77" s="8"/>
      <c r="C77" s="8"/>
      <c r="D77" s="8"/>
      <c r="E77" s="8"/>
      <c r="F77" s="8"/>
      <c r="G77" s="8"/>
      <c r="H77" s="8"/>
      <c r="I77" s="8"/>
      <c r="J77" s="8"/>
      <c r="K77" s="8"/>
    </row>
    <row r="78" spans="1:11" ht="15.6">
      <c r="B78" s="8"/>
      <c r="C78" s="8"/>
      <c r="D78" s="8"/>
      <c r="E78" s="8"/>
      <c r="F78" s="8"/>
      <c r="G78" s="8"/>
      <c r="H78" s="8"/>
      <c r="I78" s="8"/>
      <c r="J78" s="8"/>
      <c r="K78" s="8"/>
    </row>
    <row r="79" spans="1:11" ht="15.6">
      <c r="A79" s="275" t="s">
        <v>385</v>
      </c>
      <c r="B79" s="8"/>
      <c r="C79" s="8"/>
      <c r="D79" s="8"/>
      <c r="E79" s="8"/>
      <c r="F79" s="8"/>
      <c r="G79" s="231" t="s">
        <v>134</v>
      </c>
      <c r="H79" s="8"/>
      <c r="I79" s="8"/>
      <c r="J79" s="8"/>
      <c r="K79" s="8"/>
    </row>
    <row r="80" spans="1:11" ht="15.6">
      <c r="A80" s="8" t="str">
        <f>"• "&amp;INDEX(Tabla68[],MATCH('COTIZACION DOLLY'!I12,Tabla68[FOLIO],0),MATCH(Tabla68[[#Headers],[SUSPENSION]],Tabla68[#Headers],0))</f>
        <v>• SUSPENSIÓN HENDRICKSON</v>
      </c>
      <c r="B80" s="8"/>
      <c r="C80" s="8"/>
      <c r="E80" s="8"/>
      <c r="F80" s="8"/>
      <c r="G80" s="276" t="str">
        <f>IF(A84="•","• SIN SISTEMA RETRÁCTIL","")</f>
        <v/>
      </c>
      <c r="H80" s="8"/>
      <c r="I80" s="8"/>
      <c r="J80" s="8"/>
      <c r="K80" s="8"/>
    </row>
    <row r="81" spans="1:11" ht="15.6">
      <c r="A81" s="8" t="str">
        <f>"• "&amp;INDEX(Tabla68[],MATCH('COTIZACION DOLLY'!I12,Tabla68[FOLIO],0),MATCH(Tabla68[[#Headers],[EJES]],Tabla68[#Headers],0))</f>
        <v>• EJES FLEET MASTER</v>
      </c>
      <c r="B81" s="8"/>
      <c r="C81" s="8"/>
      <c r="D81" s="8"/>
      <c r="E81" s="8"/>
      <c r="F81" s="8"/>
      <c r="G81" s="276" t="str">
        <f>IF(A82="• ","• SIN RINES","")</f>
        <v/>
      </c>
      <c r="H81" s="8"/>
      <c r="I81" s="8"/>
      <c r="J81" s="8"/>
      <c r="K81" s="8"/>
    </row>
    <row r="82" spans="1:11" ht="15.6">
      <c r="A82" s="8" t="str">
        <f>"• "&amp;INDEX(Tabla68[],MATCH('COTIZACION DOLLY'!I12,Tabla68[FOLIO],0),MATCH(Tabla68[[#Headers],[RINES]],Tabla68[#Headers],0))</f>
        <v>• RINES DE ACERO</v>
      </c>
      <c r="B82" s="8"/>
      <c r="C82" s="8"/>
      <c r="D82" s="8"/>
      <c r="E82" s="8"/>
      <c r="F82" s="8"/>
      <c r="G82" s="276" t="str">
        <f>IF(A83="• ","• SIN LLANTAS","")</f>
        <v/>
      </c>
      <c r="H82" s="8"/>
      <c r="I82" s="8"/>
      <c r="J82" s="8"/>
      <c r="K82" s="8"/>
    </row>
    <row r="83" spans="1:11" ht="15.6">
      <c r="A83" s="274" t="str">
        <f>"• "&amp;INDEX(Tabla68[],MATCH('COTIZACION DOLLY'!I12,Tabla68[FOLIO],0),MATCH(Tabla68[[#Headers],[LLANTAS]],Tabla68[#Headers],0))</f>
        <v>• LLANTAS CEREX</v>
      </c>
      <c r="B83" s="8"/>
      <c r="C83" s="8"/>
      <c r="D83" s="8"/>
      <c r="E83" s="8"/>
      <c r="F83" s="8"/>
      <c r="H83" s="8"/>
      <c r="I83" s="8"/>
      <c r="J83" s="8"/>
      <c r="K83" s="8"/>
    </row>
    <row r="84" spans="1:11" ht="15.6">
      <c r="A84" s="8" t="str">
        <f>IF(INDEX(Tabla68[],MATCH('COTIZACION DOLLY'!I12,Tabla68[FOLIO],0),MATCH(Tabla68[[#Headers],[RETRACTIL]],Tabla68[#Headers],0))="SIN SISTEMA RETRÁCTIL","•","•"&amp;INDEX(Tabla68[],MATCH('COTIZACION DOLLY'!I12,Tabla68[FOLIO],0),MATCH(Tabla68[[#Headers],[RETRACTIL]],Tabla68[#Headers],0)))</f>
        <v>•SISTEMA RETRÁCTIL</v>
      </c>
      <c r="B84" s="8"/>
      <c r="C84" s="8"/>
      <c r="D84" s="8"/>
      <c r="E84" s="8"/>
      <c r="F84" s="8"/>
      <c r="H84" s="8"/>
      <c r="I84" s="8"/>
      <c r="J84" s="8"/>
      <c r="K84" s="8"/>
    </row>
    <row r="85" spans="1:11" ht="15.6">
      <c r="A85" s="8"/>
      <c r="B85" s="8"/>
      <c r="C85" s="8"/>
      <c r="D85" s="8"/>
      <c r="E85" s="8"/>
      <c r="F85" s="8"/>
      <c r="G85" s="8"/>
      <c r="H85" s="8"/>
      <c r="I85" s="8"/>
      <c r="J85" s="8"/>
      <c r="K85" s="8"/>
    </row>
    <row r="86" spans="1:11" ht="15.6">
      <c r="A86" s="8"/>
      <c r="B86" s="8"/>
      <c r="C86" s="8"/>
      <c r="D86" s="8"/>
      <c r="E86" s="8"/>
      <c r="F86" s="8"/>
      <c r="G86" s="8"/>
      <c r="H86" s="8"/>
      <c r="I86" s="8"/>
      <c r="J86" s="8"/>
      <c r="K86" s="8"/>
    </row>
    <row r="87" spans="1:11" ht="15.6">
      <c r="A87" s="8"/>
      <c r="B87" s="8"/>
      <c r="C87" s="8"/>
      <c r="D87" s="8"/>
      <c r="E87" s="573" t="s">
        <v>135</v>
      </c>
      <c r="F87" s="573"/>
      <c r="G87" s="573"/>
      <c r="H87" s="573"/>
      <c r="I87" s="32"/>
      <c r="J87" s="32"/>
      <c r="K87" s="8"/>
    </row>
    <row r="88" spans="1:11" ht="15.6">
      <c r="A88" s="8"/>
      <c r="B88" s="8"/>
      <c r="C88" s="8"/>
      <c r="D88" s="8"/>
      <c r="E88" s="8"/>
      <c r="F88" s="8"/>
      <c r="G88" s="8"/>
      <c r="H88" s="31" t="s">
        <v>136</v>
      </c>
      <c r="I88" s="561"/>
      <c r="J88" s="561"/>
      <c r="K88" s="8"/>
    </row>
    <row r="89" spans="1:11" ht="15.6">
      <c r="A89" s="8"/>
      <c r="B89" s="8"/>
      <c r="C89" s="8"/>
      <c r="D89" s="8"/>
      <c r="E89" s="8"/>
      <c r="F89" s="8"/>
      <c r="G89" s="8"/>
      <c r="H89" s="31" t="s">
        <v>137</v>
      </c>
      <c r="I89" s="561">
        <f>I88*16%</f>
        <v>0</v>
      </c>
      <c r="J89" s="561"/>
      <c r="K89" s="8"/>
    </row>
    <row r="90" spans="1:11" ht="15.6">
      <c r="A90" s="8"/>
      <c r="B90" s="8"/>
      <c r="C90" s="8"/>
      <c r="D90" s="8"/>
      <c r="E90" s="8"/>
      <c r="F90" s="8"/>
      <c r="G90" s="8"/>
      <c r="H90" s="31" t="s">
        <v>138</v>
      </c>
      <c r="I90" s="561">
        <f>I88+I89</f>
        <v>0</v>
      </c>
      <c r="J90" s="561"/>
      <c r="K90" s="8"/>
    </row>
    <row r="91" spans="1:11" ht="15.6">
      <c r="A91" s="8"/>
      <c r="B91" s="8"/>
      <c r="C91" s="8"/>
      <c r="D91" s="8"/>
      <c r="E91" s="8"/>
      <c r="F91" s="8"/>
      <c r="G91" s="8"/>
      <c r="H91" s="8"/>
      <c r="I91" s="8"/>
      <c r="J91" s="8"/>
      <c r="K91" s="8"/>
    </row>
    <row r="92" spans="1:11" ht="15.6">
      <c r="A92" s="574" t="s">
        <v>523</v>
      </c>
      <c r="B92" s="574"/>
      <c r="C92" s="574"/>
      <c r="D92" s="574"/>
      <c r="E92" s="574"/>
      <c r="F92" s="574"/>
      <c r="G92" s="574"/>
      <c r="H92" s="574"/>
      <c r="I92" s="574"/>
      <c r="J92" s="574"/>
      <c r="K92" s="574"/>
    </row>
    <row r="93" spans="1:11" ht="15.6">
      <c r="A93" s="574" t="s">
        <v>524</v>
      </c>
      <c r="B93" s="574"/>
      <c r="C93" s="574"/>
      <c r="D93" s="574"/>
      <c r="E93" s="574"/>
      <c r="F93" s="574"/>
      <c r="G93" s="574"/>
      <c r="H93" s="574"/>
      <c r="I93" s="574"/>
      <c r="J93" s="574"/>
      <c r="K93" s="574"/>
    </row>
    <row r="94" spans="1:11" ht="15.6">
      <c r="A94" s="8"/>
      <c r="B94" s="8"/>
      <c r="C94" s="8"/>
      <c r="D94" s="8"/>
      <c r="E94" s="8"/>
      <c r="F94" s="8"/>
      <c r="G94" s="8"/>
      <c r="H94" s="8"/>
      <c r="I94" s="8"/>
      <c r="J94" s="8"/>
      <c r="K94" s="8"/>
    </row>
    <row r="95" spans="1:11" ht="15.6">
      <c r="A95" s="577" t="s">
        <v>139</v>
      </c>
      <c r="B95" s="577"/>
      <c r="C95" s="577"/>
      <c r="D95" s="577"/>
      <c r="E95" s="577"/>
      <c r="F95" s="577"/>
      <c r="G95" s="577"/>
      <c r="H95" s="577"/>
      <c r="I95" s="577"/>
      <c r="J95" s="577"/>
      <c r="K95" s="577"/>
    </row>
    <row r="96" spans="1:11" ht="15.6">
      <c r="A96" s="8"/>
      <c r="B96" s="8"/>
      <c r="C96" s="8"/>
      <c r="D96" s="8"/>
      <c r="E96" s="8"/>
      <c r="F96" s="8"/>
      <c r="G96" s="8"/>
      <c r="H96" s="8"/>
      <c r="I96" s="8"/>
      <c r="J96" s="8"/>
      <c r="K96" s="8"/>
    </row>
    <row r="97" spans="1:11" ht="15.6">
      <c r="A97" s="575" t="s">
        <v>140</v>
      </c>
      <c r="B97" s="575"/>
      <c r="C97" s="575"/>
      <c r="D97" s="575"/>
      <c r="E97" s="575"/>
      <c r="F97" s="575"/>
      <c r="G97" s="575"/>
      <c r="H97" s="575"/>
      <c r="I97" s="575"/>
      <c r="J97" s="575"/>
      <c r="K97" s="575"/>
    </row>
    <row r="98" spans="1:11" ht="15.6">
      <c r="A98" s="8"/>
      <c r="B98" s="8"/>
      <c r="C98" s="8"/>
      <c r="D98" s="8"/>
      <c r="E98" s="8"/>
      <c r="F98" s="8"/>
      <c r="G98" s="8"/>
      <c r="H98" s="8"/>
      <c r="I98" s="8"/>
      <c r="J98" s="8"/>
      <c r="K98" s="8"/>
    </row>
    <row r="99" spans="1:11" ht="15.6">
      <c r="A99" s="577" t="s">
        <v>141</v>
      </c>
      <c r="B99" s="577"/>
      <c r="C99" s="577"/>
      <c r="D99" s="577"/>
      <c r="E99" s="577"/>
      <c r="F99" s="577"/>
      <c r="G99" s="577"/>
      <c r="H99" s="577"/>
      <c r="I99" s="577"/>
      <c r="J99" s="577"/>
      <c r="K99" s="577"/>
    </row>
    <row r="100" spans="1:11" ht="15.6">
      <c r="A100" s="577" t="s">
        <v>517</v>
      </c>
      <c r="B100" s="577"/>
      <c r="C100" s="577"/>
      <c r="D100" s="577"/>
      <c r="E100" s="577"/>
      <c r="F100" s="577"/>
      <c r="G100" s="577"/>
      <c r="H100" s="577"/>
      <c r="I100" s="577"/>
      <c r="J100" s="577"/>
      <c r="K100" s="577"/>
    </row>
    <row r="101" spans="1:11" ht="15.6">
      <c r="A101" s="577" t="s">
        <v>518</v>
      </c>
      <c r="B101" s="577"/>
      <c r="C101" s="577"/>
      <c r="D101" s="577"/>
      <c r="E101" s="577"/>
      <c r="F101" s="577"/>
      <c r="G101" s="577"/>
      <c r="H101" s="577"/>
      <c r="I101" s="577"/>
      <c r="J101" s="577"/>
      <c r="K101" s="577"/>
    </row>
    <row r="102" spans="1:11" ht="15.6">
      <c r="A102" s="577" t="s">
        <v>142</v>
      </c>
      <c r="B102" s="577"/>
      <c r="C102" s="577"/>
      <c r="D102" s="577"/>
      <c r="E102" s="577"/>
      <c r="F102" s="577"/>
      <c r="G102" s="577"/>
      <c r="H102" s="577"/>
      <c r="I102" s="577"/>
      <c r="J102" s="577"/>
      <c r="K102" s="577"/>
    </row>
    <row r="103" spans="1:11" ht="15.6">
      <c r="A103" s="8"/>
      <c r="B103" s="8"/>
      <c r="C103" s="8"/>
      <c r="D103" s="8"/>
      <c r="E103" s="8"/>
      <c r="F103" s="8"/>
      <c r="G103" s="8"/>
      <c r="H103" s="8"/>
      <c r="I103" s="8"/>
      <c r="J103" s="8"/>
      <c r="K103" s="8"/>
    </row>
    <row r="104" spans="1:11" ht="15.6">
      <c r="A104" s="577" t="s">
        <v>143</v>
      </c>
      <c r="B104" s="577"/>
      <c r="C104" s="577"/>
      <c r="D104" s="577"/>
      <c r="E104" s="577"/>
      <c r="F104" s="577"/>
      <c r="G104" s="577"/>
      <c r="H104" s="577"/>
      <c r="I104" s="577"/>
      <c r="J104" s="577"/>
      <c r="K104" s="577"/>
    </row>
    <row r="105" spans="1:11" ht="15.6">
      <c r="A105" s="8"/>
      <c r="B105" s="8"/>
      <c r="C105" s="8"/>
      <c r="D105" s="8"/>
      <c r="E105" s="8"/>
      <c r="F105" s="8"/>
      <c r="G105" s="8"/>
      <c r="H105" s="8"/>
      <c r="I105" s="8"/>
      <c r="J105" s="8"/>
      <c r="K105" s="8"/>
    </row>
    <row r="106" spans="1:11" ht="15.6">
      <c r="A106" s="576" t="s">
        <v>270</v>
      </c>
      <c r="B106" s="576"/>
      <c r="C106" s="576"/>
      <c r="D106" s="576"/>
      <c r="E106" s="576"/>
      <c r="F106" s="576"/>
      <c r="G106" s="576"/>
      <c r="H106" s="576"/>
      <c r="I106" s="576"/>
      <c r="J106" s="576"/>
      <c r="K106" s="576"/>
    </row>
    <row r="107" spans="1:11" ht="15.6">
      <c r="A107" s="577" t="s">
        <v>525</v>
      </c>
      <c r="B107" s="577"/>
      <c r="C107" s="577"/>
      <c r="D107" s="577"/>
      <c r="E107" s="577"/>
      <c r="F107" s="577"/>
      <c r="G107" s="577"/>
      <c r="H107" s="577"/>
      <c r="I107" s="577"/>
      <c r="J107" s="577"/>
      <c r="K107" s="577"/>
    </row>
    <row r="108" spans="1:11" ht="15.6">
      <c r="A108" s="577" t="s">
        <v>526</v>
      </c>
      <c r="B108" s="577"/>
      <c r="C108" s="577"/>
      <c r="D108" s="577"/>
      <c r="E108" s="577"/>
      <c r="F108" s="577"/>
      <c r="G108" s="577"/>
      <c r="H108" s="577"/>
      <c r="I108" s="577"/>
      <c r="J108" s="577"/>
      <c r="K108" s="577"/>
    </row>
    <row r="109" spans="1:11" ht="15.6">
      <c r="A109" s="8"/>
      <c r="B109" s="8"/>
      <c r="C109" s="8"/>
      <c r="D109" s="8"/>
      <c r="E109" s="8"/>
      <c r="F109" s="8"/>
      <c r="G109" s="8"/>
      <c r="H109" s="8"/>
      <c r="I109" s="8"/>
      <c r="J109" s="8"/>
      <c r="K109" s="8"/>
    </row>
    <row r="124" spans="2:12">
      <c r="B124" s="572"/>
      <c r="C124" s="572"/>
      <c r="D124" s="572"/>
      <c r="E124" s="572"/>
      <c r="F124" s="572"/>
      <c r="G124" s="572"/>
      <c r="H124" s="572"/>
      <c r="I124" s="572"/>
      <c r="J124" s="572"/>
      <c r="K124" s="572"/>
      <c r="L124" s="572"/>
    </row>
    <row r="125" spans="2:12">
      <c r="B125" s="572"/>
      <c r="C125" s="572"/>
      <c r="D125" s="572"/>
      <c r="E125" s="572"/>
      <c r="F125" s="572"/>
      <c r="G125" s="572"/>
      <c r="H125" s="572"/>
      <c r="I125" s="572"/>
      <c r="J125" s="572"/>
      <c r="K125" s="572"/>
      <c r="L125" s="572"/>
    </row>
    <row r="126" spans="2:12">
      <c r="B126" s="572"/>
      <c r="C126" s="572"/>
      <c r="D126" s="572"/>
      <c r="E126" s="572"/>
      <c r="F126" s="572"/>
      <c r="G126" s="572"/>
      <c r="H126" s="572"/>
      <c r="I126" s="572"/>
      <c r="J126" s="572"/>
      <c r="K126" s="572"/>
      <c r="L126" s="572"/>
    </row>
    <row r="134" spans="2:2">
      <c r="B134" s="22"/>
    </row>
    <row r="136" spans="2:2">
      <c r="B136" s="22"/>
    </row>
  </sheetData>
  <mergeCells count="26">
    <mergeCell ref="H9:J9"/>
    <mergeCell ref="I11:J11"/>
    <mergeCell ref="B12:F12"/>
    <mergeCell ref="A16:K18"/>
    <mergeCell ref="A40:K49"/>
    <mergeCell ref="A92:K92"/>
    <mergeCell ref="A61:K61"/>
    <mergeCell ref="A64:K65"/>
    <mergeCell ref="A66:K67"/>
    <mergeCell ref="A75:K76"/>
    <mergeCell ref="E87:H87"/>
    <mergeCell ref="I88:J88"/>
    <mergeCell ref="I89:J89"/>
    <mergeCell ref="I90:J90"/>
    <mergeCell ref="B124:L126"/>
    <mergeCell ref="A93:K93"/>
    <mergeCell ref="A95:K95"/>
    <mergeCell ref="A97:K97"/>
    <mergeCell ref="A99:K99"/>
    <mergeCell ref="A100:K100"/>
    <mergeCell ref="A101:K101"/>
    <mergeCell ref="A102:K102"/>
    <mergeCell ref="A104:K104"/>
    <mergeCell ref="A106:K106"/>
    <mergeCell ref="A107:K107"/>
    <mergeCell ref="A108:K108"/>
  </mergeCells>
  <pageMargins left="0.62992125984251968" right="0.23622047244094491" top="0.35433070866141736" bottom="0.74803149606299213" header="0.31496062992125984" footer="0.31496062992125984"/>
  <pageSetup scale="88" fitToHeight="0" orientation="portrait" r:id="rId1"/>
  <drawing r:id="rId2"/>
  <legacyDrawing r:id="rId3"/>
  <controls>
    <mc:AlternateContent xmlns:mc="http://schemas.openxmlformats.org/markup-compatibility/2006">
      <mc:Choice Requires="x14">
        <control shapeId="105577" r:id="rId4" name="BT_Cot_dolly">
          <controlPr defaultSize="0" autoLine="0" r:id="rId5">
            <anchor moveWithCells="1">
              <from>
                <xdr:col>12</xdr:col>
                <xdr:colOff>7620</xdr:colOff>
                <xdr:row>1</xdr:row>
                <xdr:rowOff>7620</xdr:rowOff>
              </from>
              <to>
                <xdr:col>13</xdr:col>
                <xdr:colOff>609600</xdr:colOff>
                <xdr:row>3</xdr:row>
                <xdr:rowOff>60960</xdr:rowOff>
              </to>
            </anchor>
          </controlPr>
        </control>
      </mc:Choice>
      <mc:Fallback>
        <control shapeId="105577" r:id="rId4" name="BT_Cot_dolly"/>
      </mc:Fallback>
    </mc:AlternateContent>
    <mc:AlternateContent xmlns:mc="http://schemas.openxmlformats.org/markup-compatibility/2006">
      <mc:Choice Requires="x14">
        <control shapeId="105591" r:id="rId6" name="bt_guard_PDF_cotiz_Dolly">
          <controlPr defaultSize="0" autoLine="0" r:id="rId7">
            <anchor moveWithCells="1">
              <from>
                <xdr:col>12</xdr:col>
                <xdr:colOff>83820</xdr:colOff>
                <xdr:row>4</xdr:row>
                <xdr:rowOff>137160</xdr:rowOff>
              </from>
              <to>
                <xdr:col>13</xdr:col>
                <xdr:colOff>586740</xdr:colOff>
                <xdr:row>6</xdr:row>
                <xdr:rowOff>99060</xdr:rowOff>
              </to>
            </anchor>
          </controlPr>
        </control>
      </mc:Choice>
      <mc:Fallback>
        <control shapeId="105591" r:id="rId6" name="bt_guard_PDF_cotiz_Dolly"/>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3BC59-024E-4EC2-9A6A-940F526ADAE5}">
  <sheetPr codeName="Hoja3"/>
  <dimension ref="A1"/>
  <sheetViews>
    <sheetView showGridLines="0" workbookViewId="0"/>
  </sheetViews>
  <sheetFormatPr baseColWidth="10" defaultRowHeight="14.4"/>
  <sheetData/>
  <pageMargins left="0.7" right="0.7" top="0.75" bottom="0.75" header="0.3" footer="0.3"/>
  <drawing r:id="rId1"/>
  <picture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8247D-6776-43C6-AAB8-E1DDD38C19CE}">
  <sheetPr codeName="Hoja13"/>
  <dimension ref="A4:AE53"/>
  <sheetViews>
    <sheetView zoomScale="80" workbookViewId="0">
      <pane ySplit="3" topLeftCell="A4" activePane="bottomLeft" state="frozen"/>
      <selection pane="bottomLeft" activeCell="I16" sqref="I16"/>
    </sheetView>
  </sheetViews>
  <sheetFormatPr baseColWidth="10" defaultRowHeight="14.4"/>
  <cols>
    <col min="1" max="1" width="16.88671875" customWidth="1"/>
    <col min="2" max="2" width="19.6640625" customWidth="1"/>
    <col min="7" max="7" width="21.109375" customWidth="1"/>
    <col min="8" max="8" width="18.33203125" bestFit="1" customWidth="1"/>
    <col min="9" max="9" width="25.5546875" customWidth="1"/>
    <col min="10" max="10" width="9.33203125" customWidth="1"/>
    <col min="11" max="11" width="7.44140625" customWidth="1"/>
    <col min="12" max="12" width="7" bestFit="1" customWidth="1"/>
    <col min="13" max="13" width="4.5546875" customWidth="1"/>
    <col min="14" max="31" width="4.44140625" customWidth="1"/>
  </cols>
  <sheetData>
    <row r="4" spans="1:31">
      <c r="L4" s="151">
        <v>1</v>
      </c>
      <c r="M4" s="151">
        <v>2</v>
      </c>
      <c r="N4" s="151">
        <v>3</v>
      </c>
      <c r="O4" s="151">
        <v>4</v>
      </c>
      <c r="P4" s="151">
        <v>5</v>
      </c>
      <c r="Q4" s="151">
        <v>6</v>
      </c>
      <c r="R4" s="151">
        <v>7</v>
      </c>
      <c r="S4" s="151">
        <v>8</v>
      </c>
      <c r="T4" s="151">
        <v>9</v>
      </c>
      <c r="U4" s="151">
        <v>10</v>
      </c>
      <c r="V4" s="151">
        <v>11</v>
      </c>
      <c r="W4" s="151">
        <v>12</v>
      </c>
      <c r="X4" s="151">
        <v>13</v>
      </c>
      <c r="Y4" s="151">
        <v>14</v>
      </c>
      <c r="Z4" s="151">
        <v>15</v>
      </c>
      <c r="AA4" s="151">
        <v>16</v>
      </c>
      <c r="AB4" s="151">
        <v>17</v>
      </c>
      <c r="AC4" s="151">
        <v>18</v>
      </c>
      <c r="AD4" s="151">
        <v>19</v>
      </c>
      <c r="AE4" s="151">
        <v>20</v>
      </c>
    </row>
    <row r="5" spans="1:31">
      <c r="H5" s="106" t="s">
        <v>343</v>
      </c>
      <c r="I5" s="107"/>
      <c r="L5" s="2" t="str">
        <f>IF(MID($I$8,COLUMNS($L$5:L5),1)=0,"0",MID($I$8,COLUMNS($L$5:L5),1))</f>
        <v>3</v>
      </c>
      <c r="M5" s="2" t="str">
        <f>MID($I$8,COLUMNS($L$5:M5),1)</f>
        <v>A</v>
      </c>
      <c r="N5" s="2" t="str">
        <f>MID($I$8,COLUMNS($L$5:N5),1)</f>
        <v>9</v>
      </c>
      <c r="O5" s="2" t="str">
        <f>MID($I$8,COLUMNS($L$5:O5),1)</f>
        <v>H</v>
      </c>
      <c r="P5" s="2" t="str">
        <f>MID($I$8,COLUMNS($L$5:P5),1)</f>
        <v>U</v>
      </c>
      <c r="Q5" s="2" t="str">
        <f>MID($I$8,COLUMNS($L$5:Q5),1)</f>
        <v>3</v>
      </c>
      <c r="R5" s="2" t="str">
        <f>MID($I$8,COLUMNS($L$5:R5),1)</f>
        <v>8</v>
      </c>
      <c r="S5" s="2" t="str">
        <f>MID($I$8,COLUMNS($L$5:S5),1)</f>
        <v>5</v>
      </c>
      <c r="T5" s="2" t="str">
        <f>MID($I$8,COLUMNS($L$5:T5),1)</f>
        <v>8</v>
      </c>
      <c r="U5" s="2" t="str">
        <f>MID($I$8,COLUMNS($L$5:U5),1)</f>
        <v>1</v>
      </c>
      <c r="V5" s="2" t="str">
        <f>MID($I$8,COLUMNS($L$5:V5),1)</f>
        <v>R</v>
      </c>
      <c r="W5" s="2" t="str">
        <f>MID($I$8,COLUMNS($L$5:W5),1)</f>
        <v>M</v>
      </c>
      <c r="X5" s="2" t="str">
        <f>MID($I$8,COLUMNS($L$5:X5),1)</f>
        <v>2</v>
      </c>
      <c r="Y5" s="2" t="str">
        <f>MID($I$8,COLUMNS($L$5:Y5),1)</f>
        <v>9</v>
      </c>
      <c r="Z5" s="2" t="str">
        <f>MID($I$8,COLUMNS($L$5:Z5),1)</f>
        <v>9</v>
      </c>
      <c r="AA5" s="2" t="str">
        <f>MID($I$8,COLUMNS($L$5:AA5),1)</f>
        <v>0</v>
      </c>
      <c r="AB5" s="2" t="str">
        <f>MID($I$8,COLUMNS($L$5:AB5),1)</f>
        <v>3</v>
      </c>
      <c r="AC5" s="2" t="str">
        <f>MID($I$8,COLUMNS($L$5:AC5),1)</f>
        <v>2</v>
      </c>
      <c r="AD5" s="2" t="str">
        <f>MID($I$8,COLUMNS($L$5:AD5),1)</f>
        <v/>
      </c>
      <c r="AE5" s="2" t="str">
        <f>MID($I$8,COLUMNS($L$5:AE5),1)</f>
        <v/>
      </c>
    </row>
    <row r="6" spans="1:31">
      <c r="L6" s="149"/>
    </row>
    <row r="7" spans="1:31">
      <c r="H7" s="105" t="s">
        <v>282</v>
      </c>
      <c r="I7" s="104">
        <v>45119</v>
      </c>
      <c r="L7" s="150" t="str" cm="1">
        <f t="array" ref="L7">IF(L5="0","CERO",IFERROR(NumLetras1(L5),L5))</f>
        <v xml:space="preserve"> TRES   </v>
      </c>
      <c r="M7" s="150" t="str" cm="1">
        <f t="array" ref="M7">IF(M5="0","CERO",IFERROR(NumLetras1(M5),M5))</f>
        <v>A</v>
      </c>
      <c r="N7" s="150" t="str" cm="1">
        <f t="array" ref="N7">IF(N5="0","CERO",IFERROR(NumLetras1(N5),N5))</f>
        <v xml:space="preserve"> NUEVE   </v>
      </c>
      <c r="O7" s="150" t="str" cm="1">
        <f t="array" ref="O7">IF(O5="0","CERO",IFERROR(NumLetras1(O5),O5))</f>
        <v>H</v>
      </c>
      <c r="P7" s="150" t="str" cm="1">
        <f t="array" ref="P7">IF(P5="0","CERO",IFERROR(NumLetras1(P5),P5))</f>
        <v>U</v>
      </c>
      <c r="Q7" s="150" t="str" cm="1">
        <f t="array" ref="Q7">IF(Q5="0","CERO",IFERROR(NumLetras1(Q5),Q5))</f>
        <v xml:space="preserve"> TRES   </v>
      </c>
      <c r="R7" s="150" t="str" cm="1">
        <f t="array" ref="R7">IF(R5="0","CERO",IFERROR(NumLetras1(R5),R5))</f>
        <v xml:space="preserve"> OCHO   </v>
      </c>
      <c r="S7" s="150" t="str" cm="1">
        <f t="array" ref="S7">IF(S5="0","CERO",IFERROR(NumLetras1(S5),S5))</f>
        <v xml:space="preserve"> CINCO   </v>
      </c>
      <c r="T7" s="150" t="str" cm="1">
        <f t="array" ref="T7">IF(T5="0","CERO",IFERROR(NumLetras1(T5),T5))</f>
        <v xml:space="preserve"> OCHO   </v>
      </c>
      <c r="U7" s="150" t="str" cm="1">
        <f t="array" ref="U7">IF(U5="0","CERO",IFERROR(NumLetras1(U5),U5))</f>
        <v xml:space="preserve"> UNO   </v>
      </c>
      <c r="V7" s="150" t="str" cm="1">
        <f t="array" ref="V7">IF(V5="0","CERO",IFERROR(NumLetras1(V5),V5))</f>
        <v>R</v>
      </c>
      <c r="W7" s="150" t="str" cm="1">
        <f t="array" ref="W7">IF(W5="0","CERO",IFERROR(NumLetras1(W5),W5))</f>
        <v>M</v>
      </c>
      <c r="X7" s="150" t="str" cm="1">
        <f t="array" ref="X7">IF(X5="0","CERO",IFERROR(NumLetras1(X5),X5))</f>
        <v xml:space="preserve"> DOS   </v>
      </c>
      <c r="Y7" s="150" t="str" cm="1">
        <f t="array" ref="Y7">IF(Y5="0","CERO",IFERROR(NumLetras1(Y5),Y5))</f>
        <v xml:space="preserve"> NUEVE   </v>
      </c>
      <c r="Z7" s="150" t="str" cm="1">
        <f t="array" ref="Z7">IF(Z5="0","CERO",IFERROR(NumLetras1(Z5),Z5))</f>
        <v xml:space="preserve"> NUEVE   </v>
      </c>
      <c r="AA7" s="150" t="str" cm="1">
        <f t="array" ref="AA7">IF(AA5="0","CERO",IFERROR(NumLetras1(AA5),AA5))</f>
        <v>CERO</v>
      </c>
      <c r="AB7" s="150" t="str" cm="1">
        <f t="array" ref="AB7">IF(AB5="0","CERO",IFERROR(NumLetras1(AB5),AB5))</f>
        <v xml:space="preserve"> TRES   </v>
      </c>
      <c r="AC7" s="150" t="str" cm="1">
        <f t="array" ref="AC7">IF(AC5="0","CERO",IFERROR(NumLetras1(AC5),AC5))</f>
        <v xml:space="preserve"> DOS   </v>
      </c>
      <c r="AD7" s="150" t="str" cm="1">
        <f t="array" ref="AD7">IF(AD5="0","CERO",IFERROR(NumLetras1(AD5),AD5))</f>
        <v/>
      </c>
      <c r="AE7" s="150" t="str" cm="1">
        <f t="array" ref="AE7">IF(AE5="0","CERO",IFERROR(NumLetras1(AE5),AE5))</f>
        <v/>
      </c>
    </row>
    <row r="8" spans="1:31">
      <c r="H8" s="105" t="s">
        <v>0</v>
      </c>
      <c r="I8" s="100" t="str">
        <f>'CARTA FACTURA'!G28</f>
        <v>3A9HU38581RM299032</v>
      </c>
    </row>
    <row r="9" spans="1:31">
      <c r="B9" s="23" t="s">
        <v>277</v>
      </c>
    </row>
    <row r="10" spans="1:31">
      <c r="A10" s="23" t="s">
        <v>96</v>
      </c>
      <c r="B10" t="str">
        <f>INDEX(Tabla24[],MATCH(COTIZACION!A10,Tabla24[NOMBRE],0),MATCH(Tabla24[[#Headers],[TIPO]],Tabla24[#Headers],0))</f>
        <v>PLATAFORMA</v>
      </c>
      <c r="C10" s="95" t="s">
        <v>342</v>
      </c>
      <c r="I10" s="3" t="str">
        <f>_xlfn.CONCAT(L7,"-",M7,"-",N7,"-",O7,"-",P7,"-",Q7,"-",R7,"-",S7,"-",T7,"-",U7,"-",V7,"-",W7,"-",X7,"-",Y7,"-",Z7,"-",AA7,"-",AB7,"-",AC7)</f>
        <v xml:space="preserve"> TRES   -A- NUEVE   -H-U- TRES   - OCHO   - CINCO   - OCHO   - UNO   -R-M- DOS   - NUEVE   - NUEVE   -CERO- TRES   - DOS   </v>
      </c>
    </row>
    <row r="11" spans="1:31">
      <c r="A11" s="23" t="s">
        <v>73</v>
      </c>
      <c r="B11" t="str">
        <f>INDEX(Tabla24[],MATCH(COTIZACION!A10,Tabla24[NOMBRE],0),MATCH(Tabla24[[#Headers],[LARGO]],Tabla24[#Headers],0))</f>
        <v>40 FT</v>
      </c>
      <c r="C11" s="103">
        <f>INDEX(Tabla24[],MATCH('END PRESUPUESTO'!C21,Tabla24[NOMBRE],0),MATCH(C10,Tabla24[#Headers],0))</f>
        <v>10.667999999999999</v>
      </c>
    </row>
    <row r="12" spans="1:31">
      <c r="A12" s="23" t="s">
        <v>105</v>
      </c>
    </row>
    <row r="13" spans="1:31">
      <c r="A13" s="23" t="s">
        <v>106</v>
      </c>
      <c r="I13" t="s">
        <v>411</v>
      </c>
    </row>
    <row r="14" spans="1:31">
      <c r="A14" s="23" t="s">
        <v>107</v>
      </c>
      <c r="B14">
        <v>2024</v>
      </c>
    </row>
    <row r="15" spans="1:31">
      <c r="A15" s="23" t="s">
        <v>41</v>
      </c>
      <c r="B15">
        <f>INDEX(Tabla24[],MATCH(COTIZACION!A10,Tabla24[NOMBRE],0),MATCH(Tabla24[[#Headers],[NUM. DE EJES]],Tabla24[#Headers],0))</f>
        <v>2</v>
      </c>
    </row>
    <row r="16" spans="1:31">
      <c r="A16" s="23" t="s">
        <v>108</v>
      </c>
      <c r="B16" t="s">
        <v>110</v>
      </c>
    </row>
    <row r="17" spans="1:6">
      <c r="A17" s="23" t="s">
        <v>280</v>
      </c>
      <c r="B17" t="s">
        <v>281</v>
      </c>
    </row>
    <row r="21" spans="1:6">
      <c r="A21" s="94" t="s">
        <v>283</v>
      </c>
      <c r="B21" s="93">
        <f>INDEX(Tabla24[],MATCH('END PRESUPUESTO'!C21,Tabla24[NOMBRE],0),MATCH(A21,Tabla24[#Headers],0))</f>
        <v>0</v>
      </c>
    </row>
    <row r="22" spans="1:6">
      <c r="A22" s="89" t="s">
        <v>286</v>
      </c>
      <c r="B22" t="s">
        <v>284</v>
      </c>
    </row>
    <row r="23" spans="1:6">
      <c r="A23" s="95" t="s">
        <v>285</v>
      </c>
      <c r="B23" s="101">
        <f>INDEX(Tabla24[],MATCH('END PRESUPUESTO'!C21,Tabla24[NOMBRE],0),MATCH(A23,Tabla24[#Headers],0))</f>
        <v>0</v>
      </c>
    </row>
    <row r="25" spans="1:6">
      <c r="A25" s="70"/>
      <c r="E25" s="23" t="s">
        <v>322</v>
      </c>
      <c r="F25" t="s">
        <v>323</v>
      </c>
    </row>
    <row r="26" spans="1:6">
      <c r="A26" s="87" t="s">
        <v>287</v>
      </c>
      <c r="B26" t="s">
        <v>284</v>
      </c>
      <c r="E26" s="94" t="s">
        <v>324</v>
      </c>
      <c r="F26" s="100">
        <f>INDEX(Tabla24[],MATCH('END PRESUPUESTO'!C21,Tabla24[NOMBRE],0),MATCH(E26,Tabla24[#Headers],0))</f>
        <v>8</v>
      </c>
    </row>
    <row r="27" spans="1:6">
      <c r="A27" s="87" t="s">
        <v>287</v>
      </c>
      <c r="B27" t="s">
        <v>288</v>
      </c>
      <c r="E27" s="88" t="s">
        <v>325</v>
      </c>
      <c r="F27" t="s">
        <v>321</v>
      </c>
    </row>
    <row r="28" spans="1:6">
      <c r="A28" s="87" t="s">
        <v>289</v>
      </c>
      <c r="B28" t="s">
        <v>290</v>
      </c>
    </row>
    <row r="30" spans="1:6">
      <c r="A30" s="95" t="s">
        <v>291</v>
      </c>
      <c r="B30" s="101">
        <f>INDEX(Tabla24[],MATCH('END PRESUPUESTO'!C21,Tabla24[NOMBRE],0),MATCH(A30,Tabla24[#Headers],0))</f>
        <v>0</v>
      </c>
    </row>
    <row r="31" spans="1:6">
      <c r="A31" s="87" t="s">
        <v>292</v>
      </c>
      <c r="B31" t="s">
        <v>284</v>
      </c>
    </row>
    <row r="32" spans="1:6">
      <c r="A32" s="87" t="s">
        <v>292</v>
      </c>
      <c r="B32" t="s">
        <v>293</v>
      </c>
    </row>
    <row r="33" spans="1:4">
      <c r="A33" s="87" t="s">
        <v>294</v>
      </c>
      <c r="B33" t="s">
        <v>295</v>
      </c>
    </row>
    <row r="35" spans="1:4">
      <c r="A35" s="96" t="s">
        <v>296</v>
      </c>
      <c r="B35" s="99">
        <f>INDEX(Tabla24[],MATCH('END PRESUPUESTO'!C21,Tabla24[NOMBRE],0),MATCH(A35,Tabla24[#Headers],0))</f>
        <v>0</v>
      </c>
    </row>
    <row r="36" spans="1:4">
      <c r="A36" s="85" t="s">
        <v>297</v>
      </c>
      <c r="B36" t="s">
        <v>298</v>
      </c>
    </row>
    <row r="38" spans="1:4">
      <c r="A38" s="25" t="s">
        <v>299</v>
      </c>
    </row>
    <row r="40" spans="1:4">
      <c r="A40" s="85" t="s">
        <v>300</v>
      </c>
      <c r="B40" t="s">
        <v>284</v>
      </c>
    </row>
    <row r="41" spans="1:4">
      <c r="A41" s="85" t="s">
        <v>301</v>
      </c>
      <c r="B41" t="s">
        <v>284</v>
      </c>
    </row>
    <row r="42" spans="1:4">
      <c r="A42" s="85" t="s">
        <v>302</v>
      </c>
      <c r="B42" t="s">
        <v>284</v>
      </c>
    </row>
    <row r="44" spans="1:4" ht="24">
      <c r="A44" s="86" t="s">
        <v>303</v>
      </c>
      <c r="B44" s="72" t="s">
        <v>284</v>
      </c>
    </row>
    <row r="45" spans="1:4">
      <c r="A45" s="85" t="s">
        <v>304</v>
      </c>
      <c r="B45" t="s">
        <v>284</v>
      </c>
      <c r="C45" s="85" t="s">
        <v>305</v>
      </c>
      <c r="D45" t="s">
        <v>284</v>
      </c>
    </row>
    <row r="46" spans="1:4">
      <c r="A46" s="71"/>
    </row>
    <row r="47" spans="1:4">
      <c r="A47" s="85" t="s">
        <v>300</v>
      </c>
      <c r="B47" t="s">
        <v>306</v>
      </c>
    </row>
    <row r="48" spans="1:4">
      <c r="A48" s="85" t="s">
        <v>301</v>
      </c>
      <c r="B48" t="s">
        <v>307</v>
      </c>
    </row>
    <row r="49" spans="1:4">
      <c r="A49" s="85" t="s">
        <v>309</v>
      </c>
      <c r="B49" t="s">
        <v>308</v>
      </c>
    </row>
    <row r="51" spans="1:4">
      <c r="A51" s="97" t="s">
        <v>310</v>
      </c>
      <c r="B51" s="101">
        <f>INDEX(Tabla24[],MATCH('END PRESUPUESTO'!C21,Tabla24[NOMBRE],0),MATCH(A51,Tabla24[#Headers],0))</f>
        <v>0</v>
      </c>
      <c r="C51" s="85" t="s">
        <v>305</v>
      </c>
      <c r="D51" s="71" t="s">
        <v>293</v>
      </c>
    </row>
    <row r="52" spans="1:4">
      <c r="A52" s="98" t="s">
        <v>304</v>
      </c>
      <c r="B52" s="101">
        <f>INDEX(Tabla24[],MATCH('END PRESUPUESTO'!C21,Tabla24[NOMBRE],0),MATCH(A52,Tabla24[#Headers],0))</f>
        <v>0</v>
      </c>
    </row>
    <row r="53" spans="1:4">
      <c r="B53" s="71"/>
    </row>
  </sheetData>
  <dataValidations count="2">
    <dataValidation type="date" errorStyle="warning" allowBlank="1" showInputMessage="1" showErrorMessage="1" errorTitle="Captura fecha" error="Capturar la fecha en la que se fabrico el producto de Leolca" promptTitle="Fecha de fabricaion" prompt="Haqui va la fecha en la que se fabrico la plataforma, dolly o producto creado por Leolca" sqref="I7" xr:uid="{1F13DD3E-D06B-4674-A6EA-5103596AC4FE}">
      <formula1>44927</formula1>
      <formula2>45291</formula2>
    </dataValidation>
    <dataValidation allowBlank="1" showInputMessage="1" showErrorMessage="1" promptTitle="NIV                       " prompt="Capturar el número de NIV asignado por Leolca" sqref="I8" xr:uid="{D30CF10C-7589-402C-9A91-615FAD802BFF}"/>
  </dataValidations>
  <pageMargins left="0.7" right="0.7" top="0.75" bottom="0.75" header="0.3" footer="0.3"/>
  <pageSetup paperSize="9" orientation="portrait" r:id="rId1"/>
  <drawing r:id="rId2"/>
  <legacy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0BB3E-7759-4D84-8E38-E34A1A98CCA3}">
  <sheetPr codeName="Hoja2"/>
  <dimension ref="B2:M20"/>
  <sheetViews>
    <sheetView zoomScale="98" zoomScaleNormal="340" workbookViewId="0">
      <selection activeCell="E6" sqref="E6"/>
    </sheetView>
  </sheetViews>
  <sheetFormatPr baseColWidth="10" defaultRowHeight="14.4"/>
  <cols>
    <col min="2" max="2" width="19.5546875" bestFit="1" customWidth="1"/>
    <col min="3" max="3" width="23.5546875" customWidth="1"/>
    <col min="5" max="5" width="19.5546875" bestFit="1" customWidth="1"/>
    <col min="6" max="6" width="18.44140625" customWidth="1"/>
  </cols>
  <sheetData>
    <row r="2" spans="2:13">
      <c r="B2">
        <f>INDEX(fotos!$F$4:$F$6,MATCH(COTIZACION2!$L$11,fotos!$E$4:$E$6,0))</f>
        <v>0</v>
      </c>
      <c r="H2">
        <f>'END PRESUPUESTO'!K5</f>
        <v>0</v>
      </c>
      <c r="I2" t="s">
        <v>351</v>
      </c>
    </row>
    <row r="3" spans="2:13">
      <c r="B3">
        <f>INDEX(Tabla4[FOTO],MATCH(COTIZACION2!$L$11,Tabla4[NOMBRE],0))</f>
        <v>0</v>
      </c>
      <c r="H3">
        <f>'END PRESUPUESTO'!K6</f>
        <v>0</v>
      </c>
    </row>
    <row r="4" spans="2:13">
      <c r="J4" t="e">
        <f>INDEX($J$9:$J$20,MATCH($H$2,$I$9:$I$20,0))</f>
        <v>#N/A</v>
      </c>
    </row>
    <row r="5" spans="2:13">
      <c r="H5" t="e">
        <f>INDEX('fotos para cotizacion'!$J$9:$J$20,MATCH('fotos para cotizacion'!$H$2,'fotos para cotizacion'!$I$9:$I$20))</f>
        <v>#N/A</v>
      </c>
    </row>
    <row r="8" spans="2:13">
      <c r="B8" t="s">
        <v>96</v>
      </c>
      <c r="C8" t="s">
        <v>336</v>
      </c>
      <c r="E8" t="s">
        <v>96</v>
      </c>
      <c r="F8" t="s">
        <v>336</v>
      </c>
      <c r="I8" t="s">
        <v>344</v>
      </c>
      <c r="J8" t="s">
        <v>345</v>
      </c>
      <c r="L8" t="s">
        <v>346</v>
      </c>
      <c r="M8" t="s">
        <v>345</v>
      </c>
    </row>
    <row r="9" spans="2:13" ht="69.75" customHeight="1">
      <c r="B9" t="s">
        <v>102</v>
      </c>
      <c r="E9" t="s">
        <v>102</v>
      </c>
      <c r="I9" s="72" t="s">
        <v>348</v>
      </c>
      <c r="J9" s="72"/>
      <c r="K9" s="72"/>
      <c r="L9" s="72" t="s">
        <v>347</v>
      </c>
      <c r="M9" s="72"/>
    </row>
    <row r="10" spans="2:13" ht="69.75" customHeight="1">
      <c r="B10" t="s">
        <v>100</v>
      </c>
      <c r="E10" t="s">
        <v>100</v>
      </c>
      <c r="I10" s="72" t="s">
        <v>349</v>
      </c>
      <c r="J10" s="72"/>
      <c r="K10" s="72"/>
      <c r="L10" s="72" t="s">
        <v>350</v>
      </c>
      <c r="M10" s="72"/>
    </row>
    <row r="11" spans="2:13" ht="69.75" customHeight="1">
      <c r="B11" t="s">
        <v>330</v>
      </c>
      <c r="E11" t="s">
        <v>330</v>
      </c>
      <c r="I11" s="72" t="s">
        <v>347</v>
      </c>
      <c r="J11" s="72"/>
      <c r="K11" s="72"/>
      <c r="L11" s="72" t="s">
        <v>348</v>
      </c>
      <c r="M11" s="72"/>
    </row>
    <row r="12" spans="2:13" ht="69.75" customHeight="1">
      <c r="B12" t="s">
        <v>331</v>
      </c>
      <c r="E12" t="s">
        <v>331</v>
      </c>
      <c r="I12" s="72" t="s">
        <v>350</v>
      </c>
      <c r="J12" s="72"/>
      <c r="K12" s="72"/>
      <c r="L12" s="72" t="s">
        <v>349</v>
      </c>
      <c r="M12" s="72"/>
    </row>
    <row r="13" spans="2:13" ht="69.75" customHeight="1">
      <c r="B13" t="s">
        <v>332</v>
      </c>
      <c r="E13" t="s">
        <v>332</v>
      </c>
      <c r="I13" s="72" t="s">
        <v>354</v>
      </c>
      <c r="J13" s="72"/>
      <c r="K13" s="72"/>
      <c r="L13" s="72" t="s">
        <v>354</v>
      </c>
      <c r="M13" s="72"/>
    </row>
    <row r="14" spans="2:13" ht="69.75" customHeight="1">
      <c r="B14" t="s">
        <v>101</v>
      </c>
      <c r="E14" t="s">
        <v>101</v>
      </c>
      <c r="I14" s="72" t="s">
        <v>355</v>
      </c>
      <c r="J14" s="72"/>
      <c r="K14" s="72"/>
      <c r="L14" s="72" t="s">
        <v>355</v>
      </c>
      <c r="M14" s="72"/>
    </row>
    <row r="15" spans="2:13" ht="69.75" customHeight="1">
      <c r="B15" t="s">
        <v>333</v>
      </c>
      <c r="E15" t="s">
        <v>333</v>
      </c>
      <c r="I15" s="72" t="s">
        <v>356</v>
      </c>
      <c r="J15" s="72"/>
      <c r="K15" s="72"/>
      <c r="L15" s="72" t="s">
        <v>356</v>
      </c>
      <c r="M15" s="72"/>
    </row>
    <row r="16" spans="2:13" ht="69.75" customHeight="1">
      <c r="B16" t="s">
        <v>334</v>
      </c>
      <c r="E16" t="s">
        <v>334</v>
      </c>
      <c r="I16" s="72" t="s">
        <v>357</v>
      </c>
      <c r="J16" s="72"/>
      <c r="K16" s="72"/>
      <c r="L16" s="72" t="s">
        <v>357</v>
      </c>
      <c r="M16" s="72"/>
    </row>
    <row r="17" spans="2:13" ht="69.75" customHeight="1">
      <c r="B17" t="s">
        <v>335</v>
      </c>
      <c r="E17" t="s">
        <v>335</v>
      </c>
      <c r="I17" s="72" t="s">
        <v>358</v>
      </c>
      <c r="J17" s="72"/>
      <c r="K17" s="72"/>
      <c r="L17" s="72" t="s">
        <v>358</v>
      </c>
      <c r="M17" s="72"/>
    </row>
    <row r="18" spans="2:13" ht="69.75" customHeight="1">
      <c r="I18" s="72" t="s">
        <v>359</v>
      </c>
      <c r="J18" s="72"/>
      <c r="K18" s="72"/>
      <c r="L18" s="72" t="s">
        <v>359</v>
      </c>
      <c r="M18" s="72"/>
    </row>
    <row r="19" spans="2:13" ht="69.75" customHeight="1">
      <c r="I19" s="72" t="s">
        <v>360</v>
      </c>
      <c r="J19" s="72"/>
      <c r="K19" s="72"/>
      <c r="L19" s="72" t="s">
        <v>360</v>
      </c>
      <c r="M19" s="72"/>
    </row>
    <row r="20" spans="2:13">
      <c r="I20" s="72" t="s">
        <v>243</v>
      </c>
      <c r="J20" s="72"/>
      <c r="L20" s="72" t="s">
        <v>243</v>
      </c>
      <c r="M20" s="72"/>
    </row>
  </sheetData>
  <pageMargins left="0.7" right="0.7" top="0.75" bottom="0.75" header="0.3" footer="0.3"/>
  <pageSetup paperSize="9" orientation="portrait" r:id="rId1"/>
  <drawing r:id="rId2"/>
  <tableParts count="4">
    <tablePart r:id="rId3"/>
    <tablePart r:id="rId4"/>
    <tablePart r:id="rId5"/>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A000E-1AA7-468A-A1BB-DB237D88CE57}">
  <sheetPr codeName="Hoja23"/>
  <dimension ref="B2:G7"/>
  <sheetViews>
    <sheetView workbookViewId="0">
      <selection activeCell="H7" sqref="H7"/>
    </sheetView>
  </sheetViews>
  <sheetFormatPr baseColWidth="10" defaultRowHeight="14.4"/>
  <cols>
    <col min="2" max="2" width="13.33203125" bestFit="1" customWidth="1"/>
    <col min="3" max="3" width="19.109375" customWidth="1"/>
    <col min="5" max="5" width="13.33203125" bestFit="1" customWidth="1"/>
    <col min="6" max="6" width="18.5546875" customWidth="1"/>
  </cols>
  <sheetData>
    <row r="2" spans="2:7">
      <c r="B2">
        <f>INDEX(fotos!$F$4:$F$6,MATCH(PRESUPUESTO!$C$5,fotos!$E$4:$E$6,0))</f>
        <v>0</v>
      </c>
    </row>
    <row r="3" spans="2:7">
      <c r="B3">
        <f>INDEX('FOTOS DOLLY'!$C$7,MATCH('COTIZACION DOLLY'!$A$10,'FOTOS DOLLY'!$B$7,0))</f>
        <v>0</v>
      </c>
      <c r="G3">
        <f>INDEX('FOTOS DOLLY'!$F$7,MATCH('COTIZACION DOLLY'!$A$10,'FOTOS DOLLY'!$E$7,0))</f>
        <v>0</v>
      </c>
    </row>
    <row r="6" spans="2:7">
      <c r="B6" t="s">
        <v>96</v>
      </c>
      <c r="C6" t="s">
        <v>336</v>
      </c>
      <c r="E6" t="s">
        <v>96</v>
      </c>
      <c r="F6" t="s">
        <v>336</v>
      </c>
    </row>
    <row r="7" spans="2:7" ht="70.5" customHeight="1">
      <c r="B7" s="1" t="s">
        <v>332</v>
      </c>
      <c r="E7" s="72" t="s">
        <v>332</v>
      </c>
    </row>
  </sheetData>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6E918-E16F-49FB-9220-74DE2C4F4CB5}">
  <sheetPr codeName="Hoja19">
    <pageSetUpPr fitToPage="1"/>
  </sheetPr>
  <dimension ref="B2:W210"/>
  <sheetViews>
    <sheetView topLeftCell="E1" workbookViewId="0">
      <pane ySplit="10" topLeftCell="A193" activePane="bottomLeft" state="frozen"/>
      <selection pane="bottomLeft" activeCell="O183" sqref="O183"/>
    </sheetView>
  </sheetViews>
  <sheetFormatPr baseColWidth="10" defaultRowHeight="14.4"/>
  <cols>
    <col min="1" max="1" width="4.44140625" customWidth="1"/>
    <col min="2" max="2" width="23.33203125" customWidth="1"/>
    <col min="3" max="3" width="13.109375" customWidth="1"/>
    <col min="4" max="6" width="11" customWidth="1"/>
    <col min="7" max="7" width="18.88671875" customWidth="1"/>
    <col min="8" max="9" width="17.5546875" customWidth="1"/>
    <col min="10" max="10" width="9.5546875" customWidth="1"/>
    <col min="11" max="11" width="14.44140625" customWidth="1"/>
    <col min="12" max="12" width="20.5546875" hidden="1" customWidth="1"/>
    <col min="13" max="13" width="12.6640625" customWidth="1"/>
    <col min="15" max="15" width="17.6640625" bestFit="1" customWidth="1"/>
    <col min="16" max="16" width="11.88671875" customWidth="1"/>
    <col min="17" max="18" width="15.6640625" style="6" customWidth="1"/>
    <col min="19" max="19" width="14.88671875" style="6" customWidth="1"/>
    <col min="20" max="20" width="18.5546875" style="198" bestFit="1" customWidth="1"/>
    <col min="21" max="21" width="10.33203125" style="2" bestFit="1" customWidth="1"/>
    <col min="22" max="22" width="18.5546875" bestFit="1" customWidth="1"/>
  </cols>
  <sheetData>
    <row r="2" spans="2:23">
      <c r="O2" s="266" t="s">
        <v>774</v>
      </c>
      <c r="P2" s="267" t="s">
        <v>775</v>
      </c>
      <c r="Q2" s="268" t="s">
        <v>777</v>
      </c>
      <c r="R2" s="268" t="s">
        <v>827</v>
      </c>
    </row>
    <row r="3" spans="2:23">
      <c r="M3" s="259"/>
      <c r="R3" s="257"/>
    </row>
    <row r="6" spans="2:23">
      <c r="Q6" s="36"/>
      <c r="R6" s="36"/>
      <c r="S6" s="36"/>
    </row>
    <row r="7" spans="2:23">
      <c r="Q7" s="36"/>
      <c r="R7" s="36"/>
      <c r="S7" s="36"/>
    </row>
    <row r="8" spans="2:23">
      <c r="Q8" s="36"/>
      <c r="R8" s="36"/>
      <c r="S8" s="36"/>
    </row>
    <row r="9" spans="2:23">
      <c r="F9" s="208">
        <f>CHASIS[[#Totals],[P/U]]</f>
        <v>28600183</v>
      </c>
      <c r="G9" s="208">
        <f>CHASIS[[#Totals],[PAGO ]]</f>
        <v>9578183</v>
      </c>
      <c r="H9" s="208">
        <f>F9-G9</f>
        <v>19022000</v>
      </c>
      <c r="I9" s="208"/>
      <c r="Q9" s="265">
        <f>SUM(Q11:Q1048576)</f>
        <v>0</v>
      </c>
      <c r="R9" s="265">
        <f>SUM(R11:R1048576)</f>
        <v>0</v>
      </c>
      <c r="S9" s="265">
        <f>Q9-R9</f>
        <v>0</v>
      </c>
    </row>
    <row r="10" spans="2:23" ht="28.8">
      <c r="B10" s="269" t="s">
        <v>774</v>
      </c>
      <c r="C10" s="269" t="s">
        <v>775</v>
      </c>
      <c r="D10" s="269" t="s">
        <v>952</v>
      </c>
      <c r="E10" s="269" t="s">
        <v>560</v>
      </c>
      <c r="F10" s="269" t="s">
        <v>1042</v>
      </c>
      <c r="G10" s="269" t="s">
        <v>776</v>
      </c>
      <c r="H10" s="269" t="s">
        <v>777</v>
      </c>
      <c r="I10" s="270" t="s">
        <v>778</v>
      </c>
      <c r="J10" s="271" t="s">
        <v>983</v>
      </c>
      <c r="K10" s="271" t="s">
        <v>826</v>
      </c>
      <c r="L10" s="256" t="s">
        <v>828</v>
      </c>
      <c r="M10" s="271" t="s">
        <v>779</v>
      </c>
      <c r="P10" s="258"/>
      <c r="Q10" s="262"/>
      <c r="R10" s="263"/>
      <c r="S10" s="263"/>
      <c r="T10" s="263"/>
      <c r="U10" s="264"/>
      <c r="V10" s="258"/>
      <c r="W10" s="258"/>
    </row>
    <row r="11" spans="2:23">
      <c r="B11" t="s">
        <v>953</v>
      </c>
      <c r="C11" s="260" t="s">
        <v>979</v>
      </c>
      <c r="D11" s="1">
        <v>2020</v>
      </c>
      <c r="E11" s="72"/>
      <c r="F11" s="72"/>
      <c r="G11" s="6">
        <v>340000</v>
      </c>
      <c r="H11" s="6">
        <f>SUMIF(PAGOS[CHASIS],CHASIS[[#This Row],[CHASIS]],PAGOS[[PAGO ]])</f>
        <v>267500</v>
      </c>
      <c r="I11" s="6">
        <f>CHASIS[[#This Row],[P/U]]-CHASIS[[#This Row],[PAGO ]]</f>
        <v>72500</v>
      </c>
      <c r="J11" s="6"/>
      <c r="K11" s="6"/>
      <c r="L11" s="257" t="str">
        <f>IF(CHASIS[[#This Row],[ADEUDO]]=0,"SI","NO")</f>
        <v>NO</v>
      </c>
      <c r="M11" s="2" t="str">
        <f t="shared" ref="M11:M42" si="0">IF(K11="","EN PROCESO","ENTREGADO")</f>
        <v>EN PROCESO</v>
      </c>
      <c r="Q11"/>
      <c r="T11" s="6"/>
      <c r="U11" s="198"/>
      <c r="V11" s="2"/>
    </row>
    <row r="12" spans="2:23">
      <c r="B12" t="s">
        <v>953</v>
      </c>
      <c r="C12" s="260" t="s">
        <v>980</v>
      </c>
      <c r="D12" s="1">
        <v>2020</v>
      </c>
      <c r="E12" s="72"/>
      <c r="F12" s="72"/>
      <c r="G12" s="6">
        <v>228000</v>
      </c>
      <c r="H12" s="6">
        <f>SUMIF(PAGOS[CHASIS],CHASIS[[#This Row],[CHASIS]],PAGOS[[PAGO ]])</f>
        <v>175500</v>
      </c>
      <c r="I12" s="6">
        <f>CHASIS[[#This Row],[P/U]]-CHASIS[[#This Row],[PAGO ]]</f>
        <v>52500</v>
      </c>
      <c r="J12" s="6"/>
      <c r="K12" s="6"/>
      <c r="L12" s="257" t="str">
        <f>IF(CHASIS[[#This Row],[ADEUDO]]=0,"SI","NO")</f>
        <v>NO</v>
      </c>
      <c r="M12" s="2" t="str">
        <f t="shared" si="0"/>
        <v>EN PROCESO</v>
      </c>
      <c r="Q12"/>
      <c r="T12" s="6"/>
      <c r="U12" s="198"/>
      <c r="V12" s="2"/>
    </row>
    <row r="13" spans="2:23">
      <c r="B13" t="s">
        <v>953</v>
      </c>
      <c r="C13" s="260" t="s">
        <v>954</v>
      </c>
      <c r="D13" s="1">
        <v>2022</v>
      </c>
      <c r="E13" s="72"/>
      <c r="F13" s="72"/>
      <c r="G13" s="6">
        <v>700000</v>
      </c>
      <c r="H13" s="6">
        <f>SUMIF(PAGOS[CHASIS],CHASIS[[#This Row],[CHASIS]],PAGOS[[PAGO ]])</f>
        <v>700000</v>
      </c>
      <c r="I13" s="6">
        <f>CHASIS[[#This Row],[P/U]]-CHASIS[[#This Row],[PAGO ]]</f>
        <v>0</v>
      </c>
      <c r="J13" s="6" t="s">
        <v>985</v>
      </c>
      <c r="K13" s="257">
        <v>45016</v>
      </c>
      <c r="L13" s="257" t="str">
        <f>IF(CHASIS[[#This Row],[ADEUDO]]=0,"SI","NO")</f>
        <v>SI</v>
      </c>
      <c r="M13" s="2" t="str">
        <f t="shared" si="0"/>
        <v>ENTREGADO</v>
      </c>
      <c r="Q13"/>
      <c r="T13" s="6"/>
      <c r="U13" s="198"/>
      <c r="V13" s="2"/>
    </row>
    <row r="14" spans="2:23">
      <c r="B14" t="s">
        <v>953</v>
      </c>
      <c r="C14" s="260" t="s">
        <v>963</v>
      </c>
      <c r="D14" s="1">
        <v>2022</v>
      </c>
      <c r="E14" s="72"/>
      <c r="F14" s="72"/>
      <c r="G14" s="6">
        <v>700000</v>
      </c>
      <c r="H14" s="6">
        <f>SUMIF(PAGOS[CHASIS],CHASIS[[#This Row],[CHASIS]],PAGOS[[PAGO ]])</f>
        <v>700000</v>
      </c>
      <c r="I14" s="6">
        <f>CHASIS[[#This Row],[P/U]]-CHASIS[[#This Row],[PAGO ]]</f>
        <v>0</v>
      </c>
      <c r="J14" s="6" t="s">
        <v>984</v>
      </c>
      <c r="K14" s="257">
        <v>45169</v>
      </c>
      <c r="L14" s="257" t="str">
        <f>IF(CHASIS[[#This Row],[ADEUDO]]=0,"SI","NO")</f>
        <v>SI</v>
      </c>
      <c r="M14" s="2" t="str">
        <f t="shared" si="0"/>
        <v>ENTREGADO</v>
      </c>
      <c r="Q14"/>
      <c r="T14" s="6"/>
      <c r="U14" s="198"/>
      <c r="V14" s="2"/>
    </row>
    <row r="15" spans="2:23">
      <c r="B15" t="s">
        <v>953</v>
      </c>
      <c r="C15" s="260" t="s">
        <v>978</v>
      </c>
      <c r="D15" s="1">
        <v>2022</v>
      </c>
      <c r="E15" s="72"/>
      <c r="F15" s="72"/>
      <c r="G15" s="6">
        <v>390000</v>
      </c>
      <c r="H15" s="6">
        <f>SUMIF(PAGOS[CHASIS],CHASIS[[#This Row],[CHASIS]],PAGOS[[PAGO ]])</f>
        <v>390000</v>
      </c>
      <c r="I15" s="6">
        <f>CHASIS[[#This Row],[P/U]]-CHASIS[[#This Row],[PAGO ]]</f>
        <v>0</v>
      </c>
      <c r="J15" s="6"/>
      <c r="K15" s="257"/>
      <c r="L15" s="257" t="str">
        <f>IF(CHASIS[[#This Row],[ADEUDO]]=0,"SI","NO")</f>
        <v>SI</v>
      </c>
      <c r="M15" s="2" t="str">
        <f t="shared" si="0"/>
        <v>EN PROCESO</v>
      </c>
      <c r="Q15"/>
      <c r="T15" s="6"/>
      <c r="U15" s="198"/>
      <c r="V15" s="2"/>
    </row>
    <row r="16" spans="2:23">
      <c r="B16" t="s">
        <v>780</v>
      </c>
      <c r="C16" t="s">
        <v>781</v>
      </c>
      <c r="D16" s="1">
        <v>2024</v>
      </c>
      <c r="E16" s="72"/>
      <c r="F16" s="72"/>
      <c r="G16" s="6">
        <v>280000</v>
      </c>
      <c r="H16" s="6">
        <f>SUMIF(PAGOS[CHASIS],CHASIS[[#This Row],[CHASIS]],PAGOS[[PAGO ]])</f>
        <v>150000</v>
      </c>
      <c r="I16" s="6">
        <f>CHASIS[[#This Row],[P/U]]-CHASIS[[#This Row],[PAGO ]]</f>
        <v>130000</v>
      </c>
      <c r="J16" s="6"/>
      <c r="K16" s="257">
        <v>45118</v>
      </c>
      <c r="L16" s="257" t="str">
        <f>IF(CHASIS[[#This Row],[ADEUDO]]=0,"SI","NO")</f>
        <v>NO</v>
      </c>
      <c r="M16" s="2" t="str">
        <f t="shared" si="0"/>
        <v>ENTREGADO</v>
      </c>
      <c r="Q16"/>
      <c r="T16" s="6"/>
      <c r="U16" s="198"/>
      <c r="V16" s="2"/>
    </row>
    <row r="17" spans="2:22">
      <c r="B17" t="s">
        <v>824</v>
      </c>
      <c r="C17" t="s">
        <v>782</v>
      </c>
      <c r="D17" s="1">
        <v>2024</v>
      </c>
      <c r="E17" s="72" t="s">
        <v>1129</v>
      </c>
      <c r="F17" s="72" t="s">
        <v>1043</v>
      </c>
      <c r="G17" s="6">
        <v>610000</v>
      </c>
      <c r="H17" s="6">
        <f>SUMIF(PAGOS[CHASIS],CHASIS[[#This Row],[CHASIS]],PAGOS[[PAGO ]])</f>
        <v>610000</v>
      </c>
      <c r="I17" s="6">
        <f>CHASIS[[#This Row],[P/U]]-CHASIS[[#This Row],[PAGO ]]</f>
        <v>0</v>
      </c>
      <c r="J17" s="6"/>
      <c r="K17" s="257">
        <v>45156</v>
      </c>
      <c r="L17" s="257" t="str">
        <f>IF(CHASIS[[#This Row],[ADEUDO]]=0,"SI","NO")</f>
        <v>SI</v>
      </c>
      <c r="M17" s="2" t="str">
        <f t="shared" si="0"/>
        <v>ENTREGADO</v>
      </c>
      <c r="Q17"/>
      <c r="T17" s="6"/>
      <c r="U17" s="198"/>
      <c r="V17" s="2"/>
    </row>
    <row r="18" spans="2:22">
      <c r="B18" t="s">
        <v>824</v>
      </c>
      <c r="C18" t="s">
        <v>783</v>
      </c>
      <c r="D18" s="1">
        <v>2024</v>
      </c>
      <c r="E18" s="72" t="s">
        <v>1129</v>
      </c>
      <c r="F18" s="72" t="s">
        <v>1043</v>
      </c>
      <c r="G18" s="6">
        <v>610000</v>
      </c>
      <c r="H18" s="6">
        <f>SUMIF(PAGOS[CHASIS],CHASIS[[#This Row],[CHASIS]],PAGOS[[PAGO ]])</f>
        <v>370000</v>
      </c>
      <c r="I18" s="6">
        <f>CHASIS[[#This Row],[P/U]]-CHASIS[[#This Row],[PAGO ]]</f>
        <v>240000</v>
      </c>
      <c r="J18" s="6"/>
      <c r="K18" s="257">
        <v>45156</v>
      </c>
      <c r="L18" s="257" t="str">
        <f>IF(CHASIS[[#This Row],[ADEUDO]]=0,"SI","NO")</f>
        <v>NO</v>
      </c>
      <c r="M18" s="2" t="str">
        <f t="shared" si="0"/>
        <v>ENTREGADO</v>
      </c>
      <c r="Q18"/>
      <c r="T18" s="6"/>
      <c r="U18" s="198"/>
      <c r="V18" s="2"/>
    </row>
    <row r="19" spans="2:22">
      <c r="B19" t="s">
        <v>824</v>
      </c>
      <c r="C19" t="s">
        <v>829</v>
      </c>
      <c r="D19" s="1">
        <v>2024</v>
      </c>
      <c r="E19" s="72" t="s">
        <v>4</v>
      </c>
      <c r="F19" s="72" t="s">
        <v>1043</v>
      </c>
      <c r="G19" s="6">
        <v>330000</v>
      </c>
      <c r="H19" s="6">
        <f>SUMIF(PAGOS[CHASIS],CHASIS[[#This Row],[CHASIS]],PAGOS[[PAGO ]])</f>
        <v>0</v>
      </c>
      <c r="I19" s="6">
        <f>CHASIS[[#This Row],[P/U]]-CHASIS[[#This Row],[PAGO ]]</f>
        <v>330000</v>
      </c>
      <c r="J19" s="6"/>
      <c r="K19" s="257">
        <v>45156</v>
      </c>
      <c r="L19" s="257" t="str">
        <f>IF(CHASIS[[#This Row],[ADEUDO]]=0,"SI","NO")</f>
        <v>NO</v>
      </c>
      <c r="M19" s="2" t="str">
        <f t="shared" si="0"/>
        <v>ENTREGADO</v>
      </c>
      <c r="Q19"/>
      <c r="T19" s="6"/>
      <c r="U19" s="198"/>
      <c r="V19" s="2"/>
    </row>
    <row r="20" spans="2:22">
      <c r="B20" t="s">
        <v>824</v>
      </c>
      <c r="C20" t="s">
        <v>830</v>
      </c>
      <c r="D20" s="1">
        <v>2024</v>
      </c>
      <c r="E20" s="72" t="s">
        <v>1129</v>
      </c>
      <c r="F20" s="72" t="s">
        <v>1043</v>
      </c>
      <c r="G20" s="6">
        <v>610000</v>
      </c>
      <c r="H20" s="6">
        <f>SUMIF(PAGOS[CHASIS],CHASIS[[#This Row],[CHASIS]],PAGOS[[PAGO ]])</f>
        <v>0</v>
      </c>
      <c r="I20" s="6">
        <f>CHASIS[[#This Row],[P/U]]-CHASIS[[#This Row],[PAGO ]]</f>
        <v>610000</v>
      </c>
      <c r="J20" s="6"/>
      <c r="K20" s="257">
        <v>45156</v>
      </c>
      <c r="L20" s="257" t="str">
        <f>IF(CHASIS[[#This Row],[ADEUDO]]=0,"SI","NO")</f>
        <v>NO</v>
      </c>
      <c r="M20" s="2" t="str">
        <f t="shared" si="0"/>
        <v>ENTREGADO</v>
      </c>
      <c r="Q20"/>
      <c r="T20" s="6"/>
      <c r="U20" s="198"/>
      <c r="V20" s="2"/>
    </row>
    <row r="21" spans="2:22">
      <c r="B21" t="s">
        <v>824</v>
      </c>
      <c r="C21" t="s">
        <v>831</v>
      </c>
      <c r="D21" s="1">
        <v>2024</v>
      </c>
      <c r="E21" s="72" t="s">
        <v>1129</v>
      </c>
      <c r="F21" s="72" t="s">
        <v>1043</v>
      </c>
      <c r="G21" s="6">
        <v>610000</v>
      </c>
      <c r="H21" s="6">
        <f>SUMIF(PAGOS[CHASIS],CHASIS[[#This Row],[CHASIS]],PAGOS[[PAGO ]])</f>
        <v>0</v>
      </c>
      <c r="I21" s="6">
        <f>CHASIS[[#This Row],[P/U]]-CHASIS[[#This Row],[PAGO ]]</f>
        <v>610000</v>
      </c>
      <c r="J21" s="6"/>
      <c r="K21" s="257">
        <v>45156</v>
      </c>
      <c r="L21" s="257" t="str">
        <f>IF(CHASIS[[#This Row],[ADEUDO]]=0,"SI","NO")</f>
        <v>NO</v>
      </c>
      <c r="M21" s="2" t="str">
        <f t="shared" si="0"/>
        <v>ENTREGADO</v>
      </c>
      <c r="Q21"/>
      <c r="T21" s="6"/>
      <c r="U21" s="198"/>
      <c r="V21" s="2"/>
    </row>
    <row r="22" spans="2:22">
      <c r="B22" t="s">
        <v>824</v>
      </c>
      <c r="C22" t="s">
        <v>832</v>
      </c>
      <c r="D22" s="1">
        <v>2024</v>
      </c>
      <c r="E22" s="72" t="s">
        <v>4</v>
      </c>
      <c r="F22" s="72" t="s">
        <v>1043</v>
      </c>
      <c r="G22" s="6">
        <v>330000</v>
      </c>
      <c r="H22" s="6">
        <f>SUMIF(PAGOS[CHASIS],CHASIS[[#This Row],[CHASIS]],PAGOS[[PAGO ]])</f>
        <v>0</v>
      </c>
      <c r="I22" s="6">
        <f>CHASIS[[#This Row],[P/U]]-CHASIS[[#This Row],[PAGO ]]</f>
        <v>330000</v>
      </c>
      <c r="J22" s="6"/>
      <c r="K22" s="257">
        <v>45156</v>
      </c>
      <c r="L22" s="257" t="str">
        <f>IF(CHASIS[[#This Row],[ADEUDO]]=0,"SI","NO")</f>
        <v>NO</v>
      </c>
      <c r="M22" s="2" t="str">
        <f t="shared" si="0"/>
        <v>ENTREGADO</v>
      </c>
      <c r="Q22"/>
      <c r="T22" s="6"/>
      <c r="U22" s="198"/>
      <c r="V22" s="2"/>
    </row>
    <row r="23" spans="2:22">
      <c r="B23" t="s">
        <v>824</v>
      </c>
      <c r="C23" t="s">
        <v>833</v>
      </c>
      <c r="D23" s="1">
        <v>2024</v>
      </c>
      <c r="E23" s="72" t="s">
        <v>1129</v>
      </c>
      <c r="F23" s="72" t="s">
        <v>1043</v>
      </c>
      <c r="G23" s="6">
        <v>610000</v>
      </c>
      <c r="H23" s="6">
        <f>SUMIF(PAGOS[CHASIS],CHASIS[[#This Row],[CHASIS]],PAGOS[[PAGO ]])</f>
        <v>0</v>
      </c>
      <c r="I23" s="6">
        <f>CHASIS[[#This Row],[P/U]]-CHASIS[[#This Row],[PAGO ]]</f>
        <v>610000</v>
      </c>
      <c r="J23" s="6"/>
      <c r="K23" s="257">
        <v>45177</v>
      </c>
      <c r="L23" s="257" t="str">
        <f>IF(CHASIS[[#This Row],[ADEUDO]]=0,"SI","NO")</f>
        <v>NO</v>
      </c>
      <c r="M23" s="2" t="str">
        <f t="shared" si="0"/>
        <v>ENTREGADO</v>
      </c>
      <c r="Q23"/>
      <c r="T23" s="6"/>
      <c r="U23" s="198"/>
      <c r="V23" s="2"/>
    </row>
    <row r="24" spans="2:22">
      <c r="B24" t="s">
        <v>824</v>
      </c>
      <c r="C24" t="s">
        <v>834</v>
      </c>
      <c r="D24" s="1">
        <v>2024</v>
      </c>
      <c r="E24" s="72" t="s">
        <v>1129</v>
      </c>
      <c r="F24" s="72" t="s">
        <v>1043</v>
      </c>
      <c r="G24" s="6">
        <v>610000</v>
      </c>
      <c r="H24" s="6">
        <f>SUMIF(PAGOS[CHASIS],CHASIS[[#This Row],[CHASIS]],PAGOS[[PAGO ]])</f>
        <v>0</v>
      </c>
      <c r="I24" s="6">
        <f>CHASIS[[#This Row],[P/U]]-CHASIS[[#This Row],[PAGO ]]</f>
        <v>610000</v>
      </c>
      <c r="J24" s="6"/>
      <c r="K24" s="257">
        <v>45177</v>
      </c>
      <c r="L24" s="257" t="str">
        <f>IF(CHASIS[[#This Row],[ADEUDO]]=0,"SI","NO")</f>
        <v>NO</v>
      </c>
      <c r="M24" s="2" t="str">
        <f t="shared" si="0"/>
        <v>ENTREGADO</v>
      </c>
      <c r="Q24"/>
      <c r="T24" s="6"/>
      <c r="U24" s="198"/>
      <c r="V24" s="2"/>
    </row>
    <row r="25" spans="2:22">
      <c r="B25" t="s">
        <v>824</v>
      </c>
      <c r="C25" t="s">
        <v>835</v>
      </c>
      <c r="D25" s="1">
        <v>2024</v>
      </c>
      <c r="E25" s="72" t="s">
        <v>4</v>
      </c>
      <c r="F25" s="72" t="s">
        <v>1043</v>
      </c>
      <c r="G25" s="6">
        <v>330000</v>
      </c>
      <c r="H25" s="6">
        <f>SUMIF(PAGOS[CHASIS],CHASIS[[#This Row],[CHASIS]],PAGOS[[PAGO ]])</f>
        <v>0</v>
      </c>
      <c r="I25" s="6">
        <f>CHASIS[[#This Row],[P/U]]-CHASIS[[#This Row],[PAGO ]]</f>
        <v>330000</v>
      </c>
      <c r="J25" s="6"/>
      <c r="K25" s="257">
        <v>45177</v>
      </c>
      <c r="L25" s="257" t="str">
        <f>IF(CHASIS[[#This Row],[ADEUDO]]=0,"SI","NO")</f>
        <v>NO</v>
      </c>
      <c r="M25" s="2" t="str">
        <f t="shared" si="0"/>
        <v>ENTREGADO</v>
      </c>
      <c r="Q25"/>
      <c r="T25" s="6"/>
      <c r="U25" s="198"/>
      <c r="V25" s="2"/>
    </row>
    <row r="26" spans="2:22">
      <c r="B26" t="s">
        <v>784</v>
      </c>
      <c r="C26" t="s">
        <v>785</v>
      </c>
      <c r="D26" s="1">
        <v>2024</v>
      </c>
      <c r="E26" s="72" t="s">
        <v>1134</v>
      </c>
      <c r="F26" s="72" t="s">
        <v>1050</v>
      </c>
      <c r="G26" s="6">
        <v>797183</v>
      </c>
      <c r="H26" s="6">
        <f>SUMIF(PAGOS[CHASIS],CHASIS[[#This Row],[CHASIS]],PAGOS[[PAGO ]])</f>
        <v>797183</v>
      </c>
      <c r="I26" s="6">
        <f>CHASIS[[#This Row],[P/U]]-CHASIS[[#This Row],[PAGO ]]</f>
        <v>0</v>
      </c>
      <c r="J26" s="6"/>
      <c r="K26" s="257">
        <v>45154</v>
      </c>
      <c r="L26" s="257" t="str">
        <f>IF(CHASIS[[#This Row],[ADEUDO]]=0,"SI","NO")</f>
        <v>SI</v>
      </c>
      <c r="M26" s="2" t="str">
        <f t="shared" si="0"/>
        <v>ENTREGADO</v>
      </c>
      <c r="Q26"/>
      <c r="T26" s="6"/>
      <c r="U26" s="198"/>
      <c r="V26" s="2"/>
    </row>
    <row r="27" spans="2:22">
      <c r="B27" t="s">
        <v>786</v>
      </c>
      <c r="C27" t="s">
        <v>787</v>
      </c>
      <c r="D27" s="1">
        <v>2024</v>
      </c>
      <c r="E27" s="72" t="s">
        <v>1130</v>
      </c>
      <c r="F27" s="72" t="s">
        <v>1140</v>
      </c>
      <c r="G27" s="6">
        <v>710000</v>
      </c>
      <c r="H27" s="6">
        <f>SUMIF(PAGOS[CHASIS],CHASIS[[#This Row],[CHASIS]],PAGOS[[PAGO ]])</f>
        <v>350000</v>
      </c>
      <c r="I27" s="6">
        <f>CHASIS[[#This Row],[P/U]]-CHASIS[[#This Row],[PAGO ]]</f>
        <v>360000</v>
      </c>
      <c r="J27" s="6"/>
      <c r="K27" s="6" t="s">
        <v>1141</v>
      </c>
      <c r="L27" s="257" t="str">
        <f>IF(CHASIS[[#This Row],[ADEUDO]]=0,"SI","NO")</f>
        <v>NO</v>
      </c>
      <c r="M27" s="2" t="str">
        <f t="shared" si="0"/>
        <v>ENTREGADO</v>
      </c>
      <c r="Q27"/>
      <c r="T27" s="6"/>
      <c r="U27" s="198"/>
      <c r="V27" s="2"/>
    </row>
    <row r="28" spans="2:22">
      <c r="B28" t="s">
        <v>788</v>
      </c>
      <c r="C28" t="s">
        <v>789</v>
      </c>
      <c r="D28" s="1">
        <v>2024</v>
      </c>
      <c r="E28" s="72" t="s">
        <v>1129</v>
      </c>
      <c r="F28" s="72" t="s">
        <v>1068</v>
      </c>
      <c r="G28" s="6">
        <v>510000</v>
      </c>
      <c r="H28" s="6">
        <f>SUMIF(PAGOS[CHASIS],CHASIS[[#This Row],[CHASIS]],PAGOS[[PAGO ]])</f>
        <v>463000</v>
      </c>
      <c r="I28" s="6">
        <f>CHASIS[[#This Row],[P/U]]-CHASIS[[#This Row],[PAGO ]]</f>
        <v>47000</v>
      </c>
      <c r="J28" s="6"/>
      <c r="K28" s="257">
        <v>45159</v>
      </c>
      <c r="L28" s="257" t="str">
        <f>IF(CHASIS[[#This Row],[ADEUDO]]=0,"SI","NO")</f>
        <v>NO</v>
      </c>
      <c r="M28" s="2" t="str">
        <f t="shared" si="0"/>
        <v>ENTREGADO</v>
      </c>
      <c r="Q28"/>
      <c r="T28" s="6"/>
      <c r="U28" s="198"/>
      <c r="V28" s="2"/>
    </row>
    <row r="29" spans="2:22">
      <c r="B29" t="s">
        <v>788</v>
      </c>
      <c r="C29" t="s">
        <v>836</v>
      </c>
      <c r="D29" s="1">
        <v>2024</v>
      </c>
      <c r="E29" s="72" t="s">
        <v>4</v>
      </c>
      <c r="F29" s="72" t="s">
        <v>1068</v>
      </c>
      <c r="G29" s="6">
        <v>270000</v>
      </c>
      <c r="H29" s="6">
        <f>SUMIF(PAGOS[CHASIS],CHASIS[[#This Row],[CHASIS]],PAGOS[[PAGO ]])</f>
        <v>0</v>
      </c>
      <c r="I29" s="6">
        <f>CHASIS[[#This Row],[P/U]]-CHASIS[[#This Row],[PAGO ]]</f>
        <v>270000</v>
      </c>
      <c r="J29" s="6"/>
      <c r="K29" s="257">
        <v>45159</v>
      </c>
      <c r="L29" s="257" t="str">
        <f>IF(CHASIS[[#This Row],[ADEUDO]]=0,"SI","NO")</f>
        <v>NO</v>
      </c>
      <c r="M29" s="2" t="str">
        <f t="shared" si="0"/>
        <v>ENTREGADO</v>
      </c>
      <c r="Q29"/>
      <c r="T29" s="6"/>
      <c r="U29" s="198"/>
      <c r="V29" s="2"/>
    </row>
    <row r="30" spans="2:22">
      <c r="B30" t="s">
        <v>788</v>
      </c>
      <c r="C30" t="s">
        <v>837</v>
      </c>
      <c r="D30" s="1">
        <v>2024</v>
      </c>
      <c r="E30" s="72" t="s">
        <v>1129</v>
      </c>
      <c r="F30" s="72" t="s">
        <v>1068</v>
      </c>
      <c r="G30" s="6">
        <v>510000</v>
      </c>
      <c r="H30" s="6">
        <f>SUMIF(PAGOS[CHASIS],CHASIS[[#This Row],[CHASIS]],PAGOS[[PAGO ]])</f>
        <v>0</v>
      </c>
      <c r="I30" s="6">
        <f>CHASIS[[#This Row],[P/U]]-CHASIS[[#This Row],[PAGO ]]</f>
        <v>510000</v>
      </c>
      <c r="J30" s="6"/>
      <c r="K30" s="257">
        <v>45159</v>
      </c>
      <c r="L30" s="257" t="str">
        <f>IF(CHASIS[[#This Row],[ADEUDO]]=0,"SI","NO")</f>
        <v>NO</v>
      </c>
      <c r="M30" s="2" t="str">
        <f t="shared" si="0"/>
        <v>ENTREGADO</v>
      </c>
      <c r="Q30"/>
      <c r="T30" s="6"/>
      <c r="U30" s="198"/>
      <c r="V30" s="2"/>
    </row>
    <row r="31" spans="2:22">
      <c r="B31" t="s">
        <v>788</v>
      </c>
      <c r="C31" t="s">
        <v>838</v>
      </c>
      <c r="D31" s="1">
        <v>2024</v>
      </c>
      <c r="E31" s="72" t="s">
        <v>1129</v>
      </c>
      <c r="F31" s="72" t="s">
        <v>1068</v>
      </c>
      <c r="G31" s="6">
        <v>510000</v>
      </c>
      <c r="H31" s="6">
        <f>SUMIF(PAGOS[CHASIS],CHASIS[[#This Row],[CHASIS]],PAGOS[[PAGO ]])</f>
        <v>0</v>
      </c>
      <c r="I31" s="6">
        <f>CHASIS[[#This Row],[P/U]]-CHASIS[[#This Row],[PAGO ]]</f>
        <v>510000</v>
      </c>
      <c r="J31" s="6"/>
      <c r="K31" s="6"/>
      <c r="L31" s="257" t="str">
        <f>IF(CHASIS[[#This Row],[ADEUDO]]=0,"SI","NO")</f>
        <v>NO</v>
      </c>
      <c r="M31" s="2" t="str">
        <f t="shared" si="0"/>
        <v>EN PROCESO</v>
      </c>
      <c r="Q31"/>
      <c r="T31" s="6"/>
      <c r="U31" s="198"/>
      <c r="V31" s="2"/>
    </row>
    <row r="32" spans="2:22">
      <c r="B32" t="s">
        <v>788</v>
      </c>
      <c r="C32" t="s">
        <v>839</v>
      </c>
      <c r="D32" s="1">
        <v>2024</v>
      </c>
      <c r="E32" s="72" t="s">
        <v>1129</v>
      </c>
      <c r="F32" s="72" t="s">
        <v>1068</v>
      </c>
      <c r="G32" s="6">
        <v>510000</v>
      </c>
      <c r="H32" s="6">
        <f>SUMIF(PAGOS[CHASIS],CHASIS[[#This Row],[CHASIS]],PAGOS[[PAGO ]])</f>
        <v>0</v>
      </c>
      <c r="I32" s="6">
        <f>CHASIS[[#This Row],[P/U]]-CHASIS[[#This Row],[PAGO ]]</f>
        <v>510000</v>
      </c>
      <c r="J32" s="6"/>
      <c r="K32" s="6"/>
      <c r="L32" s="257" t="str">
        <f>IF(CHASIS[[#This Row],[ADEUDO]]=0,"SI","NO")</f>
        <v>NO</v>
      </c>
      <c r="M32" s="2" t="str">
        <f t="shared" si="0"/>
        <v>EN PROCESO</v>
      </c>
      <c r="Q32"/>
      <c r="T32" s="6"/>
      <c r="U32" s="198"/>
      <c r="V32" s="2"/>
    </row>
    <row r="33" spans="2:22">
      <c r="B33" t="s">
        <v>788</v>
      </c>
      <c r="C33" t="s">
        <v>840</v>
      </c>
      <c r="D33" s="1">
        <v>2024</v>
      </c>
      <c r="E33" s="72" t="s">
        <v>4</v>
      </c>
      <c r="F33" s="72" t="s">
        <v>1068</v>
      </c>
      <c r="G33" s="6">
        <v>270000</v>
      </c>
      <c r="H33" s="6">
        <f>SUMIF(PAGOS[CHASIS],CHASIS[[#This Row],[CHASIS]],PAGOS[[PAGO ]])</f>
        <v>0</v>
      </c>
      <c r="I33" s="6">
        <f>CHASIS[[#This Row],[P/U]]-CHASIS[[#This Row],[PAGO ]]</f>
        <v>270000</v>
      </c>
      <c r="J33" s="6"/>
      <c r="K33" s="6"/>
      <c r="L33" s="257" t="str">
        <f>IF(CHASIS[[#This Row],[ADEUDO]]=0,"SI","NO")</f>
        <v>NO</v>
      </c>
      <c r="M33" s="2" t="str">
        <f t="shared" si="0"/>
        <v>EN PROCESO</v>
      </c>
      <c r="Q33"/>
      <c r="T33" s="6"/>
      <c r="U33" s="198"/>
      <c r="V33" s="2"/>
    </row>
    <row r="34" spans="2:22">
      <c r="B34" t="s">
        <v>734</v>
      </c>
      <c r="C34" t="s">
        <v>790</v>
      </c>
      <c r="D34" s="1">
        <v>2024</v>
      </c>
      <c r="E34" s="72" t="s">
        <v>4</v>
      </c>
      <c r="F34" s="72" t="s">
        <v>1043</v>
      </c>
      <c r="G34" s="6">
        <v>390000</v>
      </c>
      <c r="H34" s="6">
        <f>SUMIF(PAGOS[CHASIS],CHASIS[[#This Row],[CHASIS]],PAGOS[[PAGO ]])</f>
        <v>500000</v>
      </c>
      <c r="I34" s="6">
        <f>CHASIS[[#This Row],[P/U]]-CHASIS[[#This Row],[PAGO ]]</f>
        <v>-110000</v>
      </c>
      <c r="J34" s="6"/>
      <c r="K34" s="257">
        <v>45114</v>
      </c>
      <c r="L34" s="257" t="str">
        <f>IF(CHASIS[[#This Row],[ADEUDO]]=0,"SI","NO")</f>
        <v>NO</v>
      </c>
      <c r="M34" s="2" t="str">
        <f t="shared" si="0"/>
        <v>ENTREGADO</v>
      </c>
      <c r="Q34"/>
      <c r="T34" s="6"/>
      <c r="U34" s="198"/>
      <c r="V34" s="2"/>
    </row>
    <row r="35" spans="2:22">
      <c r="B35" t="s">
        <v>734</v>
      </c>
      <c r="C35" t="s">
        <v>841</v>
      </c>
      <c r="D35" s="1">
        <v>2024</v>
      </c>
      <c r="E35" s="72" t="s">
        <v>1129</v>
      </c>
      <c r="F35" s="72" t="s">
        <v>1043</v>
      </c>
      <c r="G35" s="6">
        <v>685000</v>
      </c>
      <c r="H35" s="6">
        <f>SUMIF(PAGOS[CHASIS],CHASIS[[#This Row],[CHASIS]],PAGOS[[PAGO ]])</f>
        <v>0</v>
      </c>
      <c r="I35" s="6">
        <f>CHASIS[[#This Row],[P/U]]-CHASIS[[#This Row],[PAGO ]]</f>
        <v>685000</v>
      </c>
      <c r="J35" s="6"/>
      <c r="K35" s="257">
        <v>45114</v>
      </c>
      <c r="L35" s="257" t="str">
        <f>IF(CHASIS[[#This Row],[ADEUDO]]=0,"SI","NO")</f>
        <v>NO</v>
      </c>
      <c r="M35" s="2" t="str">
        <f t="shared" si="0"/>
        <v>ENTREGADO</v>
      </c>
      <c r="Q35"/>
      <c r="T35" s="6"/>
      <c r="U35" s="198"/>
      <c r="V35" s="2"/>
    </row>
    <row r="36" spans="2:22">
      <c r="B36" t="s">
        <v>734</v>
      </c>
      <c r="C36" t="s">
        <v>842</v>
      </c>
      <c r="D36" s="1">
        <v>2024</v>
      </c>
      <c r="E36" s="72" t="s">
        <v>1129</v>
      </c>
      <c r="F36" s="72" t="s">
        <v>1043</v>
      </c>
      <c r="G36" s="6">
        <v>685000</v>
      </c>
      <c r="H36" s="6">
        <f>SUMIF(PAGOS[CHASIS],CHASIS[[#This Row],[CHASIS]],PAGOS[[PAGO ]])</f>
        <v>0</v>
      </c>
      <c r="I36" s="6">
        <f>CHASIS[[#This Row],[P/U]]-CHASIS[[#This Row],[PAGO ]]</f>
        <v>685000</v>
      </c>
      <c r="J36" s="6"/>
      <c r="K36" s="257">
        <v>45114</v>
      </c>
      <c r="L36" s="257" t="str">
        <f>IF(CHASIS[[#This Row],[ADEUDO]]=0,"SI","NO")</f>
        <v>NO</v>
      </c>
      <c r="M36" s="2" t="str">
        <f t="shared" si="0"/>
        <v>ENTREGADO</v>
      </c>
      <c r="Q36"/>
      <c r="T36" s="6"/>
      <c r="U36" s="198"/>
      <c r="V36" s="2"/>
    </row>
    <row r="37" spans="2:22">
      <c r="B37" t="s">
        <v>734</v>
      </c>
      <c r="C37" t="s">
        <v>843</v>
      </c>
      <c r="D37" s="1">
        <v>2024</v>
      </c>
      <c r="E37" s="72" t="s">
        <v>1129</v>
      </c>
      <c r="F37" s="72" t="s">
        <v>1068</v>
      </c>
      <c r="G37" s="6">
        <v>685000</v>
      </c>
      <c r="H37" s="6">
        <f>SUMIF(PAGOS[CHASIS],CHASIS[[#This Row],[CHASIS]],PAGOS[[PAGO ]])</f>
        <v>0</v>
      </c>
      <c r="I37" s="6">
        <f>CHASIS[[#This Row],[P/U]]-CHASIS[[#This Row],[PAGO ]]</f>
        <v>685000</v>
      </c>
      <c r="J37" s="6"/>
      <c r="K37" s="257">
        <v>45112</v>
      </c>
      <c r="L37" s="257" t="str">
        <f>IF(CHASIS[[#This Row],[ADEUDO]]=0,"SI","NO")</f>
        <v>NO</v>
      </c>
      <c r="M37" s="2" t="str">
        <f t="shared" si="0"/>
        <v>ENTREGADO</v>
      </c>
      <c r="Q37"/>
      <c r="T37" s="6"/>
      <c r="U37" s="198"/>
      <c r="V37" s="2"/>
    </row>
    <row r="38" spans="2:22">
      <c r="B38" t="s">
        <v>734</v>
      </c>
      <c r="C38" t="s">
        <v>844</v>
      </c>
      <c r="D38" s="1">
        <v>2024</v>
      </c>
      <c r="E38" s="72" t="s">
        <v>1129</v>
      </c>
      <c r="F38" s="72" t="s">
        <v>1068</v>
      </c>
      <c r="G38" s="6">
        <v>685000</v>
      </c>
      <c r="H38" s="6">
        <f>SUMIF(PAGOS[CHASIS],CHASIS[[#This Row],[CHASIS]],PAGOS[[PAGO ]])</f>
        <v>0</v>
      </c>
      <c r="I38" s="6">
        <f>CHASIS[[#This Row],[P/U]]-CHASIS[[#This Row],[PAGO ]]</f>
        <v>685000</v>
      </c>
      <c r="J38" s="6"/>
      <c r="K38" s="257">
        <v>45112</v>
      </c>
      <c r="L38" s="257" t="str">
        <f>IF(CHASIS[[#This Row],[ADEUDO]]=0,"SI","NO")</f>
        <v>NO</v>
      </c>
      <c r="M38" s="2" t="str">
        <f t="shared" si="0"/>
        <v>ENTREGADO</v>
      </c>
      <c r="Q38"/>
      <c r="T38" s="6"/>
      <c r="U38" s="198"/>
      <c r="V38" s="2"/>
    </row>
    <row r="39" spans="2:22">
      <c r="B39" t="s">
        <v>734</v>
      </c>
      <c r="C39" t="s">
        <v>845</v>
      </c>
      <c r="D39" s="1">
        <v>2024</v>
      </c>
      <c r="E39" s="72" t="s">
        <v>4</v>
      </c>
      <c r="F39" s="72" t="s">
        <v>1068</v>
      </c>
      <c r="G39" s="6">
        <v>390000</v>
      </c>
      <c r="H39" s="6">
        <f>SUMIF(PAGOS[CHASIS],CHASIS[[#This Row],[CHASIS]],PAGOS[[PAGO ]])</f>
        <v>0</v>
      </c>
      <c r="I39" s="6">
        <f>CHASIS[[#This Row],[P/U]]-CHASIS[[#This Row],[PAGO ]]</f>
        <v>390000</v>
      </c>
      <c r="J39" s="6"/>
      <c r="K39" s="257">
        <v>45112</v>
      </c>
      <c r="L39" s="257" t="str">
        <f>IF(CHASIS[[#This Row],[ADEUDO]]=0,"SI","NO")</f>
        <v>NO</v>
      </c>
      <c r="M39" s="2" t="str">
        <f t="shared" si="0"/>
        <v>ENTREGADO</v>
      </c>
      <c r="Q39"/>
      <c r="T39" s="6"/>
      <c r="U39" s="198"/>
      <c r="V39" s="2"/>
    </row>
    <row r="40" spans="2:22">
      <c r="B40" t="s">
        <v>791</v>
      </c>
      <c r="C40" t="s">
        <v>846</v>
      </c>
      <c r="D40" s="1">
        <v>2024</v>
      </c>
      <c r="E40" s="72"/>
      <c r="F40" s="72"/>
      <c r="G40" s="6">
        <v>535000</v>
      </c>
      <c r="H40" s="6">
        <f>SUMIF(PAGOS[CHASIS],CHASIS[[#This Row],[CHASIS]],PAGOS[[PAGO ]])</f>
        <v>0</v>
      </c>
      <c r="I40" s="6">
        <f>CHASIS[[#This Row],[P/U]]-CHASIS[[#This Row],[PAGO ]]</f>
        <v>535000</v>
      </c>
      <c r="J40" s="6"/>
      <c r="K40" s="6"/>
      <c r="L40" s="257" t="str">
        <f>IF(CHASIS[[#This Row],[ADEUDO]]=0,"SI","NO")</f>
        <v>NO</v>
      </c>
      <c r="M40" s="2" t="str">
        <f t="shared" si="0"/>
        <v>EN PROCESO</v>
      </c>
      <c r="Q40"/>
      <c r="T40" s="6"/>
      <c r="U40" s="198"/>
      <c r="V40" s="2"/>
    </row>
    <row r="41" spans="2:22">
      <c r="B41" t="s">
        <v>791</v>
      </c>
      <c r="C41" t="s">
        <v>847</v>
      </c>
      <c r="D41" s="1">
        <v>2024</v>
      </c>
      <c r="E41" s="72"/>
      <c r="F41" s="72"/>
      <c r="G41" s="6">
        <v>535000</v>
      </c>
      <c r="H41" s="6">
        <f>SUMIF(PAGOS[CHASIS],CHASIS[[#This Row],[CHASIS]],PAGOS[[PAGO ]])</f>
        <v>0</v>
      </c>
      <c r="I41" s="6">
        <f>CHASIS[[#This Row],[P/U]]-CHASIS[[#This Row],[PAGO ]]</f>
        <v>535000</v>
      </c>
      <c r="J41" s="6"/>
      <c r="K41" s="6"/>
      <c r="L41" s="257" t="str">
        <f>IF(CHASIS[[#This Row],[ADEUDO]]=0,"SI","NO")</f>
        <v>NO</v>
      </c>
      <c r="M41" s="2" t="str">
        <f t="shared" si="0"/>
        <v>EN PROCESO</v>
      </c>
      <c r="Q41"/>
      <c r="T41" s="6"/>
      <c r="U41" s="198"/>
      <c r="V41" s="2"/>
    </row>
    <row r="42" spans="2:22">
      <c r="B42" t="s">
        <v>791</v>
      </c>
      <c r="C42" t="s">
        <v>848</v>
      </c>
      <c r="D42" s="1">
        <v>2024</v>
      </c>
      <c r="E42" s="72"/>
      <c r="F42" s="72"/>
      <c r="G42" s="6">
        <v>250000</v>
      </c>
      <c r="H42" s="6">
        <f>SUMIF(PAGOS[CHASIS],CHASIS[[#This Row],[CHASIS]],PAGOS[[PAGO ]])</f>
        <v>0</v>
      </c>
      <c r="I42" s="6">
        <f>CHASIS[[#This Row],[P/U]]-CHASIS[[#This Row],[PAGO ]]</f>
        <v>250000</v>
      </c>
      <c r="J42" s="6"/>
      <c r="K42" s="6"/>
      <c r="L42" s="257" t="str">
        <f>IF(CHASIS[[#This Row],[ADEUDO]]=0,"SI","NO")</f>
        <v>NO</v>
      </c>
      <c r="M42" s="2" t="str">
        <f t="shared" si="0"/>
        <v>EN PROCESO</v>
      </c>
      <c r="Q42"/>
      <c r="T42" s="6"/>
      <c r="U42" s="198"/>
      <c r="V42" s="2"/>
    </row>
    <row r="43" spans="2:22">
      <c r="B43" t="s">
        <v>792</v>
      </c>
      <c r="C43" t="s">
        <v>849</v>
      </c>
      <c r="D43" s="1">
        <v>2024</v>
      </c>
      <c r="E43" s="72" t="s">
        <v>4</v>
      </c>
      <c r="F43" s="72" t="s">
        <v>1050</v>
      </c>
      <c r="G43" s="6">
        <v>250000</v>
      </c>
      <c r="H43" s="6">
        <f>SUMIF(PAGOS[CHASIS],CHASIS[[#This Row],[CHASIS]],PAGOS[[PAGO ]])</f>
        <v>0</v>
      </c>
      <c r="I43" s="6">
        <f>CHASIS[[#This Row],[P/U]]-CHASIS[[#This Row],[PAGO ]]</f>
        <v>250000</v>
      </c>
      <c r="J43" s="6"/>
      <c r="K43" s="257">
        <v>45108</v>
      </c>
      <c r="L43" s="257" t="str">
        <f>IF(CHASIS[[#This Row],[ADEUDO]]=0,"SI","NO")</f>
        <v>NO</v>
      </c>
      <c r="M43" s="2" t="str">
        <f t="shared" ref="M43:M74" si="1">IF(K43="","EN PROCESO","ENTREGADO")</f>
        <v>ENTREGADO</v>
      </c>
      <c r="Q43"/>
      <c r="T43" s="6"/>
      <c r="U43" s="198"/>
      <c r="V43" s="2"/>
    </row>
    <row r="44" spans="2:22">
      <c r="B44" t="s">
        <v>825</v>
      </c>
      <c r="C44" t="s">
        <v>850</v>
      </c>
      <c r="D44" s="1">
        <v>2024</v>
      </c>
      <c r="E44" s="72" t="s">
        <v>1131</v>
      </c>
      <c r="F44" s="72" t="s">
        <v>1045</v>
      </c>
      <c r="G44" s="6">
        <v>640000</v>
      </c>
      <c r="H44" s="6">
        <f>SUMIF(PAGOS[CHASIS],CHASIS[[#This Row],[CHASIS]],PAGOS[[PAGO ]])</f>
        <v>0</v>
      </c>
      <c r="I44" s="6">
        <f>CHASIS[[#This Row],[P/U]]-CHASIS[[#This Row],[PAGO ]]</f>
        <v>640000</v>
      </c>
      <c r="J44" s="6"/>
      <c r="K44" s="257">
        <v>45156</v>
      </c>
      <c r="L44" s="257" t="str">
        <f>IF(CHASIS[[#This Row],[ADEUDO]]=0,"SI","NO")</f>
        <v>NO</v>
      </c>
      <c r="M44" s="2" t="str">
        <f t="shared" si="1"/>
        <v>ENTREGADO</v>
      </c>
      <c r="Q44"/>
      <c r="T44" s="6"/>
      <c r="U44" s="198"/>
      <c r="V44" s="2"/>
    </row>
    <row r="45" spans="2:22">
      <c r="B45" t="s">
        <v>825</v>
      </c>
      <c r="C45" t="s">
        <v>851</v>
      </c>
      <c r="D45" s="1">
        <v>2024</v>
      </c>
      <c r="E45" s="72" t="s">
        <v>1131</v>
      </c>
      <c r="F45" s="72" t="s">
        <v>1050</v>
      </c>
      <c r="G45" s="6">
        <v>640000</v>
      </c>
      <c r="H45" s="6">
        <f>SUMIF(PAGOS[CHASIS],CHASIS[[#This Row],[CHASIS]],PAGOS[[PAGO ]])</f>
        <v>0</v>
      </c>
      <c r="I45" s="6">
        <f>CHASIS[[#This Row],[P/U]]-CHASIS[[#This Row],[PAGO ]]</f>
        <v>640000</v>
      </c>
      <c r="J45" s="6"/>
      <c r="K45" s="257">
        <v>45157</v>
      </c>
      <c r="L45" s="257" t="str">
        <f>IF(CHASIS[[#This Row],[ADEUDO]]=0,"SI","NO")</f>
        <v>NO</v>
      </c>
      <c r="M45" s="2" t="str">
        <f t="shared" si="1"/>
        <v>ENTREGADO</v>
      </c>
      <c r="Q45"/>
      <c r="T45" s="6"/>
      <c r="U45" s="198"/>
      <c r="V45" s="2"/>
    </row>
    <row r="46" spans="2:22">
      <c r="B46" t="s">
        <v>641</v>
      </c>
      <c r="C46" t="s">
        <v>852</v>
      </c>
      <c r="D46" s="1">
        <v>2024</v>
      </c>
      <c r="E46" s="72"/>
      <c r="F46" s="72"/>
      <c r="G46" s="6">
        <v>550000</v>
      </c>
      <c r="H46" s="6">
        <f>SUMIF(PAGOS[CHASIS],CHASIS[[#This Row],[CHASIS]],PAGOS[[PAGO ]])</f>
        <v>0</v>
      </c>
      <c r="I46" s="6">
        <f>CHASIS[[#This Row],[P/U]]-CHASIS[[#This Row],[PAGO ]]</f>
        <v>550000</v>
      </c>
      <c r="J46" s="6"/>
      <c r="K46" s="6"/>
      <c r="L46" s="257" t="str">
        <f>IF(CHASIS[[#This Row],[ADEUDO]]=0,"SI","NO")</f>
        <v>NO</v>
      </c>
      <c r="M46" s="2" t="str">
        <f t="shared" si="1"/>
        <v>EN PROCESO</v>
      </c>
      <c r="Q46"/>
      <c r="T46" s="6"/>
      <c r="U46" s="198"/>
      <c r="V46" s="2"/>
    </row>
    <row r="47" spans="2:22">
      <c r="B47" t="s">
        <v>641</v>
      </c>
      <c r="C47" t="s">
        <v>853</v>
      </c>
      <c r="D47" s="1">
        <v>2024</v>
      </c>
      <c r="E47" s="72"/>
      <c r="F47" s="72"/>
      <c r="G47" s="6">
        <v>250000</v>
      </c>
      <c r="H47" s="6">
        <f>SUMIF(PAGOS[CHASIS],CHASIS[[#This Row],[CHASIS]],PAGOS[[PAGO ]])</f>
        <v>0</v>
      </c>
      <c r="I47" s="6">
        <f>CHASIS[[#This Row],[P/U]]-CHASIS[[#This Row],[PAGO ]]</f>
        <v>250000</v>
      </c>
      <c r="J47" s="6"/>
      <c r="K47" s="6"/>
      <c r="L47" s="257" t="str">
        <f>IF(CHASIS[[#This Row],[ADEUDO]]=0,"SI","NO")</f>
        <v>NO</v>
      </c>
      <c r="M47" s="2" t="str">
        <f t="shared" si="1"/>
        <v>EN PROCESO</v>
      </c>
      <c r="Q47"/>
      <c r="T47" s="6"/>
      <c r="U47" s="198"/>
      <c r="V47" s="2"/>
    </row>
    <row r="48" spans="2:22">
      <c r="B48" t="s">
        <v>793</v>
      </c>
      <c r="C48" t="s">
        <v>794</v>
      </c>
      <c r="D48" s="1">
        <v>2024</v>
      </c>
      <c r="E48" s="72" t="s">
        <v>1129</v>
      </c>
      <c r="F48" s="72" t="s">
        <v>1045</v>
      </c>
      <c r="G48" s="6">
        <v>500000</v>
      </c>
      <c r="H48" s="6">
        <f>SUMIF(PAGOS[CHASIS],CHASIS[[#This Row],[CHASIS]],PAGOS[[PAGO ]])</f>
        <v>500000</v>
      </c>
      <c r="I48" s="6">
        <f>CHASIS[[#This Row],[P/U]]-CHASIS[[#This Row],[PAGO ]]</f>
        <v>0</v>
      </c>
      <c r="J48" s="6"/>
      <c r="K48" s="257">
        <v>45154</v>
      </c>
      <c r="L48" s="257" t="str">
        <f>IF(CHASIS[[#This Row],[ADEUDO]]=0,"SI","NO")</f>
        <v>SI</v>
      </c>
      <c r="M48" s="2" t="str">
        <f t="shared" si="1"/>
        <v>ENTREGADO</v>
      </c>
      <c r="Q48"/>
      <c r="T48" s="6"/>
      <c r="U48" s="198"/>
      <c r="V48" s="2"/>
    </row>
    <row r="49" spans="2:22">
      <c r="B49" t="s">
        <v>793</v>
      </c>
      <c r="C49" t="s">
        <v>795</v>
      </c>
      <c r="D49" s="1">
        <v>2024</v>
      </c>
      <c r="E49" s="72" t="s">
        <v>1129</v>
      </c>
      <c r="F49" s="72" t="s">
        <v>1045</v>
      </c>
      <c r="G49" s="6">
        <v>550000</v>
      </c>
      <c r="H49" s="6">
        <f>SUMIF(PAGOS[CHASIS],CHASIS[[#This Row],[CHASIS]],PAGOS[[PAGO ]])</f>
        <v>550000</v>
      </c>
      <c r="I49" s="6">
        <f>CHASIS[[#This Row],[P/U]]-CHASIS[[#This Row],[PAGO ]]</f>
        <v>0</v>
      </c>
      <c r="J49" s="6"/>
      <c r="K49" s="257">
        <v>45154</v>
      </c>
      <c r="L49" s="257" t="str">
        <f>IF(CHASIS[[#This Row],[ADEUDO]]=0,"SI","NO")</f>
        <v>SI</v>
      </c>
      <c r="M49" s="2" t="str">
        <f t="shared" si="1"/>
        <v>ENTREGADO</v>
      </c>
      <c r="Q49"/>
      <c r="T49" s="6"/>
      <c r="U49" s="198"/>
      <c r="V49" s="2"/>
    </row>
    <row r="50" spans="2:22">
      <c r="B50" t="s">
        <v>793</v>
      </c>
      <c r="C50" t="s">
        <v>796</v>
      </c>
      <c r="D50" s="1">
        <v>2024</v>
      </c>
      <c r="E50" s="72" t="s">
        <v>4</v>
      </c>
      <c r="F50" s="72" t="s">
        <v>1045</v>
      </c>
      <c r="G50" s="6">
        <v>350000</v>
      </c>
      <c r="H50" s="6">
        <f>SUMIF(PAGOS[CHASIS],CHASIS[[#This Row],[CHASIS]],PAGOS[[PAGO ]])</f>
        <v>350000</v>
      </c>
      <c r="I50" s="6">
        <f>CHASIS[[#This Row],[P/U]]-CHASIS[[#This Row],[PAGO ]]</f>
        <v>0</v>
      </c>
      <c r="J50" s="6"/>
      <c r="K50" s="257">
        <v>45154</v>
      </c>
      <c r="L50" s="257" t="str">
        <f>IF(CHASIS[[#This Row],[ADEUDO]]=0,"SI","NO")</f>
        <v>SI</v>
      </c>
      <c r="M50" s="2" t="str">
        <f t="shared" si="1"/>
        <v>ENTREGADO</v>
      </c>
      <c r="Q50"/>
      <c r="T50" s="6"/>
      <c r="U50" s="198"/>
      <c r="V50" s="2"/>
    </row>
    <row r="51" spans="2:22">
      <c r="B51" t="s">
        <v>793</v>
      </c>
      <c r="C51" t="s">
        <v>854</v>
      </c>
      <c r="D51" s="1">
        <v>2024</v>
      </c>
      <c r="E51" s="72" t="s">
        <v>1129</v>
      </c>
      <c r="F51" s="72" t="s">
        <v>1045</v>
      </c>
      <c r="G51" s="6"/>
      <c r="H51" s="6">
        <f>SUMIF(PAGOS[CHASIS],CHASIS[[#This Row],[CHASIS]],PAGOS[[PAGO ]])</f>
        <v>0</v>
      </c>
      <c r="I51" s="6">
        <f>CHASIS[[#This Row],[P/U]]-CHASIS[[#This Row],[PAGO ]]</f>
        <v>0</v>
      </c>
      <c r="J51" s="6"/>
      <c r="K51" s="257">
        <v>45157</v>
      </c>
      <c r="L51" s="257" t="str">
        <f>IF(CHASIS[[#This Row],[ADEUDO]]=0,"SI","NO")</f>
        <v>SI</v>
      </c>
      <c r="M51" s="2" t="str">
        <f t="shared" si="1"/>
        <v>ENTREGADO</v>
      </c>
      <c r="Q51"/>
      <c r="T51" s="6"/>
      <c r="U51" s="198"/>
      <c r="V51" s="2"/>
    </row>
    <row r="52" spans="2:22">
      <c r="B52" t="s">
        <v>793</v>
      </c>
      <c r="C52" t="s">
        <v>855</v>
      </c>
      <c r="D52" s="1">
        <v>2024</v>
      </c>
      <c r="E52" s="72" t="s">
        <v>1129</v>
      </c>
      <c r="F52" s="72" t="s">
        <v>1045</v>
      </c>
      <c r="G52" s="6"/>
      <c r="H52" s="6">
        <f>SUMIF(PAGOS[CHASIS],CHASIS[[#This Row],[CHASIS]],PAGOS[[PAGO ]])</f>
        <v>0</v>
      </c>
      <c r="I52" s="6">
        <f>CHASIS[[#This Row],[P/U]]-CHASIS[[#This Row],[PAGO ]]</f>
        <v>0</v>
      </c>
      <c r="J52" s="6"/>
      <c r="K52" s="257">
        <v>45157</v>
      </c>
      <c r="L52" s="257" t="str">
        <f>IF(CHASIS[[#This Row],[ADEUDO]]=0,"SI","NO")</f>
        <v>SI</v>
      </c>
      <c r="M52" s="2" t="str">
        <f t="shared" si="1"/>
        <v>ENTREGADO</v>
      </c>
      <c r="Q52"/>
      <c r="T52" s="6"/>
      <c r="U52" s="198"/>
      <c r="V52" s="2"/>
    </row>
    <row r="53" spans="2:22">
      <c r="B53" t="s">
        <v>793</v>
      </c>
      <c r="C53" t="s">
        <v>797</v>
      </c>
      <c r="D53" s="1">
        <v>2024</v>
      </c>
      <c r="E53" s="72" t="s">
        <v>4</v>
      </c>
      <c r="F53" s="72" t="s">
        <v>1045</v>
      </c>
      <c r="G53" s="6">
        <v>350000</v>
      </c>
      <c r="H53" s="6">
        <f>SUMIF(PAGOS[CHASIS],CHASIS[[#This Row],[CHASIS]],PAGOS[[PAGO ]])</f>
        <v>350000</v>
      </c>
      <c r="I53" s="6">
        <f>CHASIS[[#This Row],[P/U]]-CHASIS[[#This Row],[PAGO ]]</f>
        <v>0</v>
      </c>
      <c r="J53" s="6"/>
      <c r="K53" s="257">
        <v>45157</v>
      </c>
      <c r="L53" s="257" t="str">
        <f>IF(CHASIS[[#This Row],[ADEUDO]]=0,"SI","NO")</f>
        <v>SI</v>
      </c>
      <c r="M53" s="2" t="str">
        <f t="shared" si="1"/>
        <v>ENTREGADO</v>
      </c>
      <c r="Q53"/>
      <c r="T53" s="6"/>
      <c r="U53" s="198"/>
      <c r="V53" s="2"/>
    </row>
    <row r="54" spans="2:22">
      <c r="B54" t="s">
        <v>798</v>
      </c>
      <c r="C54" t="s">
        <v>856</v>
      </c>
      <c r="D54" s="1">
        <v>2024</v>
      </c>
      <c r="E54" s="72" t="s">
        <v>1129</v>
      </c>
      <c r="F54" s="72" t="s">
        <v>1045</v>
      </c>
      <c r="G54" s="6">
        <v>570000</v>
      </c>
      <c r="H54" s="6">
        <f>SUMIF(PAGOS[CHASIS],CHASIS[[#This Row],[CHASIS]],PAGOS[[PAGO ]])</f>
        <v>0</v>
      </c>
      <c r="I54" s="6">
        <f>CHASIS[[#This Row],[P/U]]-CHASIS[[#This Row],[PAGO ]]</f>
        <v>570000</v>
      </c>
      <c r="J54" s="6"/>
      <c r="K54" s="257">
        <v>45192</v>
      </c>
      <c r="L54" s="257" t="str">
        <f>IF(CHASIS[[#This Row],[ADEUDO]]=0,"SI","NO")</f>
        <v>NO</v>
      </c>
      <c r="M54" s="2" t="str">
        <f t="shared" si="1"/>
        <v>ENTREGADO</v>
      </c>
      <c r="Q54"/>
      <c r="T54" s="6"/>
      <c r="U54" s="198"/>
      <c r="V54" s="2"/>
    </row>
    <row r="55" spans="2:22">
      <c r="B55" t="s">
        <v>798</v>
      </c>
      <c r="C55" t="s">
        <v>857</v>
      </c>
      <c r="D55" s="1">
        <v>2024</v>
      </c>
      <c r="E55" s="72" t="s">
        <v>1129</v>
      </c>
      <c r="F55" s="72" t="s">
        <v>1045</v>
      </c>
      <c r="G55" s="6">
        <v>570000</v>
      </c>
      <c r="H55" s="6">
        <f>SUMIF(PAGOS[CHASIS],CHASIS[[#This Row],[CHASIS]],PAGOS[[PAGO ]])</f>
        <v>0</v>
      </c>
      <c r="I55" s="6">
        <f>CHASIS[[#This Row],[P/U]]-CHASIS[[#This Row],[PAGO ]]</f>
        <v>570000</v>
      </c>
      <c r="J55" s="6"/>
      <c r="K55" s="257">
        <v>45192</v>
      </c>
      <c r="L55" s="257" t="str">
        <f>IF(CHASIS[[#This Row],[ADEUDO]]=0,"SI","NO")</f>
        <v>NO</v>
      </c>
      <c r="M55" s="2" t="str">
        <f t="shared" si="1"/>
        <v>ENTREGADO</v>
      </c>
      <c r="Q55"/>
      <c r="T55" s="6"/>
      <c r="U55" s="198"/>
      <c r="V55" s="2"/>
    </row>
    <row r="56" spans="2:22">
      <c r="B56" t="s">
        <v>799</v>
      </c>
      <c r="C56" t="s">
        <v>858</v>
      </c>
      <c r="D56" s="1">
        <v>2024</v>
      </c>
      <c r="E56" s="72"/>
      <c r="F56" s="72"/>
      <c r="G56" s="6">
        <v>310000</v>
      </c>
      <c r="H56" s="6">
        <f>SUMIF(PAGOS[CHASIS],CHASIS[[#This Row],[CHASIS]],PAGOS[[PAGO ]])</f>
        <v>0</v>
      </c>
      <c r="I56" s="6">
        <f>CHASIS[[#This Row],[P/U]]-CHASIS[[#This Row],[PAGO ]]</f>
        <v>310000</v>
      </c>
      <c r="J56" s="6"/>
      <c r="K56" s="6"/>
      <c r="L56" s="257" t="str">
        <f>IF(CHASIS[[#This Row],[ADEUDO]]=0,"SI","NO")</f>
        <v>NO</v>
      </c>
      <c r="M56" s="2" t="str">
        <f t="shared" si="1"/>
        <v>EN PROCESO</v>
      </c>
      <c r="Q56"/>
      <c r="T56" s="6"/>
      <c r="U56" s="198"/>
      <c r="V56" s="2"/>
    </row>
    <row r="57" spans="2:22">
      <c r="B57" t="s">
        <v>800</v>
      </c>
      <c r="C57" t="s">
        <v>859</v>
      </c>
      <c r="D57" s="1">
        <v>2024</v>
      </c>
      <c r="E57" s="72"/>
      <c r="F57" s="72"/>
      <c r="G57" s="6">
        <v>540000</v>
      </c>
      <c r="H57" s="6">
        <f>SUMIF(PAGOS[CHASIS],CHASIS[[#This Row],[CHASIS]],PAGOS[[PAGO ]])</f>
        <v>0</v>
      </c>
      <c r="I57" s="6">
        <f>CHASIS[[#This Row],[P/U]]-CHASIS[[#This Row],[PAGO ]]</f>
        <v>540000</v>
      </c>
      <c r="J57" s="6"/>
      <c r="K57" s="6"/>
      <c r="L57" s="257" t="str">
        <f>IF(CHASIS[[#This Row],[ADEUDO]]=0,"SI","NO")</f>
        <v>NO</v>
      </c>
      <c r="M57" s="2" t="str">
        <f t="shared" si="1"/>
        <v>EN PROCESO</v>
      </c>
      <c r="Q57"/>
      <c r="T57" s="6"/>
      <c r="U57" s="198"/>
      <c r="V57" s="2"/>
    </row>
    <row r="58" spans="2:22">
      <c r="B58" t="s">
        <v>800</v>
      </c>
      <c r="C58" t="s">
        <v>860</v>
      </c>
      <c r="D58" s="1">
        <v>2024</v>
      </c>
      <c r="E58" s="72"/>
      <c r="F58" s="72"/>
      <c r="G58" s="6">
        <v>540000</v>
      </c>
      <c r="H58" s="6">
        <f>SUMIF(PAGOS[CHASIS],CHASIS[[#This Row],[CHASIS]],PAGOS[[PAGO ]])</f>
        <v>0</v>
      </c>
      <c r="I58" s="6">
        <f>CHASIS[[#This Row],[P/U]]-CHASIS[[#This Row],[PAGO ]]</f>
        <v>540000</v>
      </c>
      <c r="J58" s="6"/>
      <c r="K58" s="6"/>
      <c r="L58" s="257" t="str">
        <f>IF(CHASIS[[#This Row],[ADEUDO]]=0,"SI","NO")</f>
        <v>NO</v>
      </c>
      <c r="M58" s="2" t="str">
        <f t="shared" si="1"/>
        <v>EN PROCESO</v>
      </c>
      <c r="Q58"/>
      <c r="T58" s="6"/>
      <c r="U58" s="198"/>
      <c r="V58" s="2"/>
    </row>
    <row r="59" spans="2:22">
      <c r="B59" t="s">
        <v>801</v>
      </c>
      <c r="C59" t="s">
        <v>861</v>
      </c>
      <c r="D59" s="1">
        <v>2024</v>
      </c>
      <c r="E59" s="72" t="s">
        <v>4</v>
      </c>
      <c r="F59" s="72" t="s">
        <v>1045</v>
      </c>
      <c r="G59" s="6">
        <v>250000</v>
      </c>
      <c r="H59" s="6">
        <f>SUMIF(PAGOS[CHASIS],CHASIS[[#This Row],[CHASIS]],PAGOS[[PAGO ]])</f>
        <v>0</v>
      </c>
      <c r="I59" s="6">
        <f>CHASIS[[#This Row],[P/U]]-CHASIS[[#This Row],[PAGO ]]</f>
        <v>250000</v>
      </c>
      <c r="J59" s="6"/>
      <c r="K59" s="257">
        <v>45092</v>
      </c>
      <c r="L59" s="257" t="str">
        <f>IF(CHASIS[[#This Row],[ADEUDO]]=0,"SI","NO")</f>
        <v>NO</v>
      </c>
      <c r="M59" s="2" t="str">
        <f t="shared" si="1"/>
        <v>ENTREGADO</v>
      </c>
      <c r="Q59"/>
      <c r="T59" s="6"/>
      <c r="U59" s="198"/>
      <c r="V59" s="2"/>
    </row>
    <row r="60" spans="2:22">
      <c r="B60" t="s">
        <v>801</v>
      </c>
      <c r="C60" t="s">
        <v>862</v>
      </c>
      <c r="D60" s="1">
        <v>2024</v>
      </c>
      <c r="E60" s="72"/>
      <c r="F60" s="72"/>
      <c r="G60" s="6">
        <v>250000</v>
      </c>
      <c r="H60" s="6">
        <f>SUMIF(PAGOS[CHASIS],CHASIS[[#This Row],[CHASIS]],PAGOS[[PAGO ]])</f>
        <v>0</v>
      </c>
      <c r="I60" s="6">
        <f>CHASIS[[#This Row],[P/U]]-CHASIS[[#This Row],[PAGO ]]</f>
        <v>250000</v>
      </c>
      <c r="J60" s="6"/>
      <c r="K60" s="6"/>
      <c r="L60" s="257" t="str">
        <f>IF(CHASIS[[#This Row],[ADEUDO]]=0,"SI","NO")</f>
        <v>NO</v>
      </c>
      <c r="M60" s="2" t="str">
        <f t="shared" si="1"/>
        <v>EN PROCESO</v>
      </c>
      <c r="Q60"/>
      <c r="T60" s="6"/>
      <c r="U60" s="198"/>
      <c r="V60" s="2"/>
    </row>
    <row r="61" spans="2:22">
      <c r="B61" t="s">
        <v>802</v>
      </c>
      <c r="C61" t="s">
        <v>863</v>
      </c>
      <c r="D61" s="1">
        <v>2024</v>
      </c>
      <c r="E61" s="72"/>
      <c r="F61" s="72"/>
      <c r="G61" s="6"/>
      <c r="H61" s="6">
        <f>SUMIF(PAGOS[CHASIS],CHASIS[[#This Row],[CHASIS]],PAGOS[[PAGO ]])</f>
        <v>0</v>
      </c>
      <c r="I61" s="6">
        <f>CHASIS[[#This Row],[P/U]]-CHASIS[[#This Row],[PAGO ]]</f>
        <v>0</v>
      </c>
      <c r="J61" s="6"/>
      <c r="K61" s="6"/>
      <c r="L61" s="257" t="str">
        <f>IF(CHASIS[[#This Row],[ADEUDO]]=0,"SI","NO")</f>
        <v>SI</v>
      </c>
      <c r="M61" s="2" t="str">
        <f t="shared" si="1"/>
        <v>EN PROCESO</v>
      </c>
      <c r="Q61"/>
      <c r="T61" s="6"/>
      <c r="U61" s="198"/>
      <c r="V61" s="2"/>
    </row>
    <row r="62" spans="2:22">
      <c r="B62" t="s">
        <v>573</v>
      </c>
      <c r="C62" t="s">
        <v>864</v>
      </c>
      <c r="D62" s="1">
        <v>2024</v>
      </c>
      <c r="E62" s="72" t="s">
        <v>4</v>
      </c>
      <c r="F62" s="72" t="s">
        <v>1050</v>
      </c>
      <c r="G62" s="6">
        <v>250000</v>
      </c>
      <c r="H62" s="6">
        <f>SUMIF(PAGOS[CHASIS],CHASIS[[#This Row],[CHASIS]],PAGOS[[PAGO ]])</f>
        <v>0</v>
      </c>
      <c r="I62" s="6">
        <f>CHASIS[[#This Row],[P/U]]-CHASIS[[#This Row],[PAGO ]]</f>
        <v>250000</v>
      </c>
      <c r="J62" s="6"/>
      <c r="K62" s="257">
        <v>45096</v>
      </c>
      <c r="L62" s="257" t="str">
        <f>IF(CHASIS[[#This Row],[ADEUDO]]=0,"SI","NO")</f>
        <v>NO</v>
      </c>
      <c r="M62" s="2" t="str">
        <f t="shared" si="1"/>
        <v>ENTREGADO</v>
      </c>
      <c r="Q62"/>
      <c r="T62" s="6"/>
      <c r="U62" s="198"/>
      <c r="V62" s="2"/>
    </row>
    <row r="63" spans="2:22">
      <c r="B63" t="s">
        <v>803</v>
      </c>
      <c r="C63" t="s">
        <v>804</v>
      </c>
      <c r="D63" s="1">
        <v>2024</v>
      </c>
      <c r="E63" s="72" t="s">
        <v>1129</v>
      </c>
      <c r="F63" s="72" t="s">
        <v>1043</v>
      </c>
      <c r="G63" s="6">
        <v>540000</v>
      </c>
      <c r="H63" s="6">
        <f>SUMIF(PAGOS[CHASIS],CHASIS[[#This Row],[CHASIS]],PAGOS[[PAGO ]])</f>
        <v>200000</v>
      </c>
      <c r="I63" s="6">
        <f>CHASIS[[#This Row],[P/U]]-CHASIS[[#This Row],[PAGO ]]</f>
        <v>340000</v>
      </c>
      <c r="J63" s="6"/>
      <c r="K63" s="257">
        <v>45162</v>
      </c>
      <c r="L63" s="257" t="str">
        <f>IF(CHASIS[[#This Row],[ADEUDO]]=0,"SI","NO")</f>
        <v>NO</v>
      </c>
      <c r="M63" s="2" t="str">
        <f t="shared" si="1"/>
        <v>ENTREGADO</v>
      </c>
      <c r="Q63"/>
      <c r="T63" s="6"/>
      <c r="U63" s="198"/>
      <c r="V63" s="2"/>
    </row>
    <row r="64" spans="2:22">
      <c r="B64" t="s">
        <v>805</v>
      </c>
      <c r="C64" t="s">
        <v>865</v>
      </c>
      <c r="D64" s="1">
        <v>2024</v>
      </c>
      <c r="E64" s="72"/>
      <c r="F64" s="72"/>
      <c r="G64" s="6"/>
      <c r="H64" s="6">
        <f>SUMIF(PAGOS[CHASIS],CHASIS[[#This Row],[CHASIS]],PAGOS[[PAGO ]])</f>
        <v>0</v>
      </c>
      <c r="I64" s="6">
        <f>CHASIS[[#This Row],[P/U]]-CHASIS[[#This Row],[PAGO ]]</f>
        <v>0</v>
      </c>
      <c r="J64" s="6"/>
      <c r="K64" s="6"/>
      <c r="L64" s="257" t="str">
        <f>IF(CHASIS[[#This Row],[ADEUDO]]=0,"SI","NO")</f>
        <v>SI</v>
      </c>
      <c r="M64" s="2" t="str">
        <f t="shared" si="1"/>
        <v>EN PROCESO</v>
      </c>
      <c r="Q64"/>
      <c r="T64" s="6"/>
      <c r="U64" s="198"/>
      <c r="V64" s="2"/>
    </row>
    <row r="65" spans="2:22">
      <c r="B65" t="s">
        <v>805</v>
      </c>
      <c r="C65" t="s">
        <v>866</v>
      </c>
      <c r="D65" s="1">
        <v>2024</v>
      </c>
      <c r="E65" s="72"/>
      <c r="F65" s="72"/>
      <c r="G65" s="6"/>
      <c r="H65" s="6">
        <f>SUMIF(PAGOS[CHASIS],CHASIS[[#This Row],[CHASIS]],PAGOS[[PAGO ]])</f>
        <v>0</v>
      </c>
      <c r="I65" s="6">
        <f>CHASIS[[#This Row],[P/U]]-CHASIS[[#This Row],[PAGO ]]</f>
        <v>0</v>
      </c>
      <c r="J65" s="6"/>
      <c r="K65" s="6"/>
      <c r="L65" s="257" t="str">
        <f>IF(CHASIS[[#This Row],[ADEUDO]]=0,"SI","NO")</f>
        <v>SI</v>
      </c>
      <c r="M65" s="2" t="str">
        <f t="shared" si="1"/>
        <v>EN PROCESO</v>
      </c>
      <c r="Q65"/>
      <c r="T65" s="6"/>
      <c r="U65" s="198"/>
      <c r="V65" s="2"/>
    </row>
    <row r="66" spans="2:22">
      <c r="B66" t="s">
        <v>805</v>
      </c>
      <c r="C66" t="s">
        <v>867</v>
      </c>
      <c r="D66" s="1">
        <v>2024</v>
      </c>
      <c r="E66" s="72"/>
      <c r="F66" s="72"/>
      <c r="G66" s="6"/>
      <c r="H66" s="6">
        <f>SUMIF(PAGOS[CHASIS],CHASIS[[#This Row],[CHASIS]],PAGOS[[PAGO ]])</f>
        <v>0</v>
      </c>
      <c r="I66" s="6">
        <f>CHASIS[[#This Row],[P/U]]-CHASIS[[#This Row],[PAGO ]]</f>
        <v>0</v>
      </c>
      <c r="J66" s="6"/>
      <c r="K66" s="6"/>
      <c r="L66" s="257" t="str">
        <f>IF(CHASIS[[#This Row],[ADEUDO]]=0,"SI","NO")</f>
        <v>SI</v>
      </c>
      <c r="M66" s="2" t="str">
        <f t="shared" si="1"/>
        <v>EN PROCESO</v>
      </c>
      <c r="Q66"/>
      <c r="T66" s="6"/>
      <c r="U66" s="198"/>
      <c r="V66" s="2"/>
    </row>
    <row r="67" spans="2:22">
      <c r="B67" t="s">
        <v>806</v>
      </c>
      <c r="C67" t="s">
        <v>868</v>
      </c>
      <c r="D67" s="1">
        <v>2024</v>
      </c>
      <c r="E67" s="72" t="s">
        <v>1135</v>
      </c>
      <c r="F67" s="72" t="s">
        <v>1064</v>
      </c>
      <c r="G67" s="6"/>
      <c r="H67" s="6">
        <f>SUMIF(PAGOS[CHASIS],CHASIS[[#This Row],[CHASIS]],PAGOS[[PAGO ]])</f>
        <v>0</v>
      </c>
      <c r="I67" s="6">
        <f>CHASIS[[#This Row],[P/U]]-CHASIS[[#This Row],[PAGO ]]</f>
        <v>0</v>
      </c>
      <c r="J67" s="6"/>
      <c r="K67" s="257">
        <v>45108</v>
      </c>
      <c r="L67" s="257" t="str">
        <f>IF(CHASIS[[#This Row],[ADEUDO]]=0,"SI","NO")</f>
        <v>SI</v>
      </c>
      <c r="M67" s="2" t="str">
        <f t="shared" si="1"/>
        <v>ENTREGADO</v>
      </c>
      <c r="Q67"/>
      <c r="T67" s="6"/>
      <c r="U67" s="198"/>
      <c r="V67" s="2"/>
    </row>
    <row r="68" spans="2:22">
      <c r="B68" t="s">
        <v>807</v>
      </c>
      <c r="C68" t="s">
        <v>869</v>
      </c>
      <c r="D68" s="1">
        <v>2024</v>
      </c>
      <c r="E68" s="72" t="s">
        <v>4</v>
      </c>
      <c r="F68" s="72" t="s">
        <v>1043</v>
      </c>
      <c r="G68" s="6"/>
      <c r="H68" s="6">
        <f>SUMIF(PAGOS[CHASIS],CHASIS[[#This Row],[CHASIS]],PAGOS[[PAGO ]])</f>
        <v>0</v>
      </c>
      <c r="I68" s="6">
        <f>CHASIS[[#This Row],[P/U]]-CHASIS[[#This Row],[PAGO ]]</f>
        <v>0</v>
      </c>
      <c r="J68" s="6"/>
      <c r="K68" s="257">
        <v>45119</v>
      </c>
      <c r="L68" s="257" t="str">
        <f>IF(CHASIS[[#This Row],[ADEUDO]]=0,"SI","NO")</f>
        <v>SI</v>
      </c>
      <c r="M68" s="2" t="str">
        <f t="shared" si="1"/>
        <v>ENTREGADO</v>
      </c>
      <c r="Q68"/>
      <c r="T68" s="6"/>
      <c r="U68" s="198"/>
      <c r="V68" s="2"/>
    </row>
    <row r="69" spans="2:22">
      <c r="B69" t="s">
        <v>808</v>
      </c>
      <c r="C69" t="s">
        <v>870</v>
      </c>
      <c r="D69" s="1">
        <v>2024</v>
      </c>
      <c r="E69" s="72"/>
      <c r="F69" s="72"/>
      <c r="G69" s="6"/>
      <c r="H69" s="6">
        <f>SUMIF(PAGOS[CHASIS],CHASIS[[#This Row],[CHASIS]],PAGOS[[PAGO ]])</f>
        <v>0</v>
      </c>
      <c r="I69" s="6">
        <f>CHASIS[[#This Row],[P/U]]-CHASIS[[#This Row],[PAGO ]]</f>
        <v>0</v>
      </c>
      <c r="J69" s="6"/>
      <c r="K69" s="6"/>
      <c r="L69" s="257" t="str">
        <f>IF(CHASIS[[#This Row],[ADEUDO]]=0,"SI","NO")</f>
        <v>SI</v>
      </c>
      <c r="M69" s="2" t="str">
        <f t="shared" si="1"/>
        <v>EN PROCESO</v>
      </c>
      <c r="Q69"/>
      <c r="T69" s="6"/>
      <c r="U69" s="198"/>
      <c r="V69" s="2"/>
    </row>
    <row r="70" spans="2:22">
      <c r="B70" t="s">
        <v>808</v>
      </c>
      <c r="C70" t="s">
        <v>871</v>
      </c>
      <c r="D70" s="1">
        <v>2024</v>
      </c>
      <c r="E70" s="72"/>
      <c r="F70" s="72"/>
      <c r="G70" s="6"/>
      <c r="H70" s="6">
        <f>SUMIF(PAGOS[CHASIS],CHASIS[[#This Row],[CHASIS]],PAGOS[[PAGO ]])</f>
        <v>0</v>
      </c>
      <c r="I70" s="6">
        <f>CHASIS[[#This Row],[P/U]]-CHASIS[[#This Row],[PAGO ]]</f>
        <v>0</v>
      </c>
      <c r="J70" s="6"/>
      <c r="K70" s="6"/>
      <c r="L70" s="257" t="str">
        <f>IF(CHASIS[[#This Row],[ADEUDO]]=0,"SI","NO")</f>
        <v>SI</v>
      </c>
      <c r="M70" s="2" t="str">
        <f t="shared" si="1"/>
        <v>EN PROCESO</v>
      </c>
      <c r="Q70"/>
      <c r="T70" s="6"/>
      <c r="U70" s="198"/>
      <c r="V70" s="2"/>
    </row>
    <row r="71" spans="2:22">
      <c r="B71" t="s">
        <v>808</v>
      </c>
      <c r="C71" t="s">
        <v>872</v>
      </c>
      <c r="D71" s="1">
        <v>2024</v>
      </c>
      <c r="E71" s="72"/>
      <c r="F71" s="72"/>
      <c r="G71" s="6"/>
      <c r="H71" s="6">
        <f>SUMIF(PAGOS[CHASIS],CHASIS[[#This Row],[CHASIS]],PAGOS[[PAGO ]])</f>
        <v>0</v>
      </c>
      <c r="I71" s="6">
        <f>CHASIS[[#This Row],[P/U]]-CHASIS[[#This Row],[PAGO ]]</f>
        <v>0</v>
      </c>
      <c r="J71" s="6"/>
      <c r="K71" s="6"/>
      <c r="L71" s="257" t="str">
        <f>IF(CHASIS[[#This Row],[ADEUDO]]=0,"SI","NO")</f>
        <v>SI</v>
      </c>
      <c r="M71" s="2" t="str">
        <f t="shared" si="1"/>
        <v>EN PROCESO</v>
      </c>
      <c r="Q71"/>
      <c r="T71" s="6"/>
      <c r="U71" s="198"/>
      <c r="V71" s="2"/>
    </row>
    <row r="72" spans="2:22">
      <c r="B72" t="s">
        <v>595</v>
      </c>
      <c r="C72" t="s">
        <v>873</v>
      </c>
      <c r="D72" s="1">
        <v>2024</v>
      </c>
      <c r="E72" s="72" t="s">
        <v>1130</v>
      </c>
      <c r="F72" s="72" t="s">
        <v>1064</v>
      </c>
      <c r="G72" s="6"/>
      <c r="H72" s="6">
        <f>SUMIF(PAGOS[CHASIS],CHASIS[[#This Row],[CHASIS]],PAGOS[[PAGO ]])</f>
        <v>0</v>
      </c>
      <c r="I72" s="6">
        <f>CHASIS[[#This Row],[P/U]]-CHASIS[[#This Row],[PAGO ]]</f>
        <v>0</v>
      </c>
      <c r="J72" s="6"/>
      <c r="K72" s="257">
        <v>45152</v>
      </c>
      <c r="L72" s="257" t="str">
        <f>IF(CHASIS[[#This Row],[ADEUDO]]=0,"SI","NO")</f>
        <v>SI</v>
      </c>
      <c r="M72" s="2" t="str">
        <f t="shared" si="1"/>
        <v>ENTREGADO</v>
      </c>
      <c r="Q72"/>
      <c r="T72" s="6"/>
      <c r="U72" s="198"/>
      <c r="V72" s="2"/>
    </row>
    <row r="73" spans="2:22">
      <c r="B73" t="s">
        <v>595</v>
      </c>
      <c r="C73" t="s">
        <v>874</v>
      </c>
      <c r="D73" s="1">
        <v>2024</v>
      </c>
      <c r="E73" s="72"/>
      <c r="F73" s="72"/>
      <c r="G73" s="6"/>
      <c r="H73" s="6">
        <f>SUMIF(PAGOS[CHASIS],CHASIS[[#This Row],[CHASIS]],PAGOS[[PAGO ]])</f>
        <v>0</v>
      </c>
      <c r="I73" s="6">
        <f>CHASIS[[#This Row],[P/U]]-CHASIS[[#This Row],[PAGO ]]</f>
        <v>0</v>
      </c>
      <c r="J73" s="6"/>
      <c r="K73" s="6"/>
      <c r="L73" s="257" t="str">
        <f>IF(CHASIS[[#This Row],[ADEUDO]]=0,"SI","NO")</f>
        <v>SI</v>
      </c>
      <c r="M73" s="2" t="str">
        <f t="shared" si="1"/>
        <v>EN PROCESO</v>
      </c>
      <c r="Q73"/>
      <c r="T73" s="6"/>
      <c r="U73" s="198"/>
      <c r="V73" s="2"/>
    </row>
    <row r="74" spans="2:22">
      <c r="B74" t="s">
        <v>595</v>
      </c>
      <c r="C74" t="s">
        <v>875</v>
      </c>
      <c r="D74" s="1">
        <v>2024</v>
      </c>
      <c r="E74" s="72" t="s">
        <v>1130</v>
      </c>
      <c r="F74" s="72" t="s">
        <v>1139</v>
      </c>
      <c r="G74" s="6"/>
      <c r="H74" s="6">
        <f>SUMIF(PAGOS[CHASIS],CHASIS[[#This Row],[CHASIS]],PAGOS[[PAGO ]])</f>
        <v>0</v>
      </c>
      <c r="I74" s="6">
        <f>CHASIS[[#This Row],[P/U]]-CHASIS[[#This Row],[PAGO ]]</f>
        <v>0</v>
      </c>
      <c r="J74" s="6"/>
      <c r="K74" s="257">
        <v>45117</v>
      </c>
      <c r="L74" s="257" t="str">
        <f>IF(CHASIS[[#This Row],[ADEUDO]]=0,"SI","NO")</f>
        <v>SI</v>
      </c>
      <c r="M74" s="2" t="str">
        <f t="shared" si="1"/>
        <v>ENTREGADO</v>
      </c>
      <c r="Q74"/>
      <c r="T74" s="6"/>
      <c r="U74" s="198"/>
      <c r="V74" s="2"/>
    </row>
    <row r="75" spans="2:22">
      <c r="B75" t="s">
        <v>809</v>
      </c>
      <c r="C75" t="s">
        <v>876</v>
      </c>
      <c r="D75" s="1">
        <v>2024</v>
      </c>
      <c r="E75" s="72"/>
      <c r="F75" s="72"/>
      <c r="G75" s="6"/>
      <c r="H75" s="6">
        <f>SUMIF(PAGOS[CHASIS],CHASIS[[#This Row],[CHASIS]],PAGOS[[PAGO ]])</f>
        <v>0</v>
      </c>
      <c r="I75" s="6">
        <f>CHASIS[[#This Row],[P/U]]-CHASIS[[#This Row],[PAGO ]]</f>
        <v>0</v>
      </c>
      <c r="J75" s="6"/>
      <c r="K75" s="6"/>
      <c r="L75" s="257" t="str">
        <f>IF(CHASIS[[#This Row],[ADEUDO]]=0,"SI","NO")</f>
        <v>SI</v>
      </c>
      <c r="M75" s="2" t="str">
        <f t="shared" ref="M75:M106" si="2">IF(K75="","EN PROCESO","ENTREGADO")</f>
        <v>EN PROCESO</v>
      </c>
      <c r="Q75"/>
      <c r="T75" s="6"/>
      <c r="U75" s="198"/>
      <c r="V75" s="2"/>
    </row>
    <row r="76" spans="2:22">
      <c r="B76" t="s">
        <v>809</v>
      </c>
      <c r="C76" t="s">
        <v>877</v>
      </c>
      <c r="D76" s="1">
        <v>2024</v>
      </c>
      <c r="E76" s="72"/>
      <c r="F76" s="72"/>
      <c r="G76" s="6"/>
      <c r="H76" s="6">
        <f>SUMIF(PAGOS[CHASIS],CHASIS[[#This Row],[CHASIS]],PAGOS[[PAGO ]])</f>
        <v>0</v>
      </c>
      <c r="I76" s="6">
        <f>CHASIS[[#This Row],[P/U]]-CHASIS[[#This Row],[PAGO ]]</f>
        <v>0</v>
      </c>
      <c r="J76" s="6"/>
      <c r="K76" s="6"/>
      <c r="L76" s="257" t="str">
        <f>IF(CHASIS[[#This Row],[ADEUDO]]=0,"SI","NO")</f>
        <v>SI</v>
      </c>
      <c r="M76" s="2" t="str">
        <f t="shared" si="2"/>
        <v>EN PROCESO</v>
      </c>
      <c r="Q76"/>
      <c r="T76" s="6"/>
      <c r="U76" s="198"/>
      <c r="V76" s="2"/>
    </row>
    <row r="77" spans="2:22">
      <c r="B77" t="s">
        <v>810</v>
      </c>
      <c r="C77" t="s">
        <v>878</v>
      </c>
      <c r="D77" s="1">
        <v>2024</v>
      </c>
      <c r="E77" s="72"/>
      <c r="F77" s="72"/>
      <c r="G77" s="6">
        <v>560000</v>
      </c>
      <c r="H77" s="6">
        <f>SUMIF(PAGOS[CHASIS],CHASIS[[#This Row],[CHASIS]],PAGOS[[PAGO ]])</f>
        <v>0</v>
      </c>
      <c r="I77" s="6">
        <f>CHASIS[[#This Row],[P/U]]-CHASIS[[#This Row],[PAGO ]]</f>
        <v>560000</v>
      </c>
      <c r="J77" s="6"/>
      <c r="K77" s="6"/>
      <c r="L77" s="257" t="str">
        <f>IF(CHASIS[[#This Row],[ADEUDO]]=0,"SI","NO")</f>
        <v>NO</v>
      </c>
      <c r="M77" s="2" t="str">
        <f t="shared" si="2"/>
        <v>EN PROCESO</v>
      </c>
      <c r="Q77"/>
      <c r="T77" s="6"/>
      <c r="U77" s="198"/>
      <c r="V77" s="2"/>
    </row>
    <row r="78" spans="2:22">
      <c r="B78" t="s">
        <v>810</v>
      </c>
      <c r="C78" t="s">
        <v>879</v>
      </c>
      <c r="D78" s="1">
        <v>2024</v>
      </c>
      <c r="E78" s="72"/>
      <c r="F78" s="72"/>
      <c r="G78" s="6">
        <v>560000</v>
      </c>
      <c r="H78" s="6">
        <f>SUMIF(PAGOS[CHASIS],CHASIS[[#This Row],[CHASIS]],PAGOS[[PAGO ]])</f>
        <v>0</v>
      </c>
      <c r="I78" s="6">
        <f>CHASIS[[#This Row],[P/U]]-CHASIS[[#This Row],[PAGO ]]</f>
        <v>560000</v>
      </c>
      <c r="J78" s="6"/>
      <c r="K78" s="6"/>
      <c r="L78" s="257" t="str">
        <f>IF(CHASIS[[#This Row],[ADEUDO]]=0,"SI","NO")</f>
        <v>NO</v>
      </c>
      <c r="M78" s="2" t="str">
        <f t="shared" si="2"/>
        <v>EN PROCESO</v>
      </c>
      <c r="Q78"/>
      <c r="T78" s="6"/>
      <c r="U78" s="198"/>
      <c r="V78" s="2"/>
    </row>
    <row r="79" spans="2:22">
      <c r="B79" t="s">
        <v>810</v>
      </c>
      <c r="C79" t="s">
        <v>880</v>
      </c>
      <c r="D79" s="1">
        <v>2024</v>
      </c>
      <c r="E79" s="72"/>
      <c r="F79" s="72"/>
      <c r="G79" s="6">
        <v>310000</v>
      </c>
      <c r="H79" s="6">
        <f>SUMIF(PAGOS[CHASIS],CHASIS[[#This Row],[CHASIS]],PAGOS[[PAGO ]])</f>
        <v>0</v>
      </c>
      <c r="I79" s="6">
        <f>CHASIS[[#This Row],[P/U]]-CHASIS[[#This Row],[PAGO ]]</f>
        <v>310000</v>
      </c>
      <c r="J79" s="6"/>
      <c r="K79" s="6"/>
      <c r="L79" s="257" t="str">
        <f>IF(CHASIS[[#This Row],[ADEUDO]]=0,"SI","NO")</f>
        <v>NO</v>
      </c>
      <c r="M79" s="2" t="str">
        <f t="shared" si="2"/>
        <v>EN PROCESO</v>
      </c>
      <c r="Q79"/>
      <c r="T79" s="6"/>
      <c r="U79" s="198"/>
      <c r="V79" s="2"/>
    </row>
    <row r="80" spans="2:22">
      <c r="B80" t="s">
        <v>811</v>
      </c>
      <c r="C80" t="s">
        <v>812</v>
      </c>
      <c r="D80" s="1">
        <v>2024</v>
      </c>
      <c r="E80" s="72" t="s">
        <v>4</v>
      </c>
      <c r="F80" s="72" t="s">
        <v>1043</v>
      </c>
      <c r="G80" s="6">
        <v>315000</v>
      </c>
      <c r="H80" s="6">
        <f>SUMIF(PAGOS[CHASIS],CHASIS[[#This Row],[CHASIS]],PAGOS[[PAGO ]])</f>
        <v>315000</v>
      </c>
      <c r="I80" s="6">
        <f>CHASIS[[#This Row],[P/U]]-CHASIS[[#This Row],[PAGO ]]</f>
        <v>0</v>
      </c>
      <c r="J80" s="6"/>
      <c r="K80" s="257">
        <v>45146</v>
      </c>
      <c r="L80" s="257" t="str">
        <f>IF(CHASIS[[#This Row],[ADEUDO]]=0,"SI","NO")</f>
        <v>SI</v>
      </c>
      <c r="M80" s="2" t="str">
        <f t="shared" si="2"/>
        <v>ENTREGADO</v>
      </c>
      <c r="Q80"/>
      <c r="T80" s="6"/>
      <c r="U80" s="198"/>
      <c r="V80" s="2"/>
    </row>
    <row r="81" spans="2:22">
      <c r="B81" t="s">
        <v>799</v>
      </c>
      <c r="C81" t="s">
        <v>881</v>
      </c>
      <c r="D81" s="1">
        <v>2024</v>
      </c>
      <c r="E81" s="72"/>
      <c r="F81" s="72"/>
      <c r="G81" s="6"/>
      <c r="H81" s="6">
        <f>SUMIF(PAGOS[CHASIS],CHASIS[[#This Row],[CHASIS]],PAGOS[[PAGO ]])</f>
        <v>0</v>
      </c>
      <c r="I81" s="6">
        <f>CHASIS[[#This Row],[P/U]]-CHASIS[[#This Row],[PAGO ]]</f>
        <v>0</v>
      </c>
      <c r="J81" s="6"/>
      <c r="K81" s="6"/>
      <c r="L81" s="257" t="str">
        <f>IF(CHASIS[[#This Row],[ADEUDO]]=0,"SI","NO")</f>
        <v>SI</v>
      </c>
      <c r="M81" s="2" t="str">
        <f t="shared" si="2"/>
        <v>EN PROCESO</v>
      </c>
      <c r="Q81"/>
      <c r="T81" s="6"/>
      <c r="U81" s="198"/>
      <c r="V81" s="2"/>
    </row>
    <row r="82" spans="2:22">
      <c r="B82" t="s">
        <v>799</v>
      </c>
      <c r="C82" t="s">
        <v>882</v>
      </c>
      <c r="D82" s="1">
        <v>2024</v>
      </c>
      <c r="E82" s="72"/>
      <c r="F82" s="72"/>
      <c r="G82" s="6"/>
      <c r="H82" s="6">
        <f>SUMIF(PAGOS[CHASIS],CHASIS[[#This Row],[CHASIS]],PAGOS[[PAGO ]])</f>
        <v>0</v>
      </c>
      <c r="I82" s="6">
        <f>CHASIS[[#This Row],[P/U]]-CHASIS[[#This Row],[PAGO ]]</f>
        <v>0</v>
      </c>
      <c r="J82" s="6"/>
      <c r="K82" s="6"/>
      <c r="L82" s="257" t="str">
        <f>IF(CHASIS[[#This Row],[ADEUDO]]=0,"SI","NO")</f>
        <v>SI</v>
      </c>
      <c r="M82" s="2" t="str">
        <f t="shared" si="2"/>
        <v>EN PROCESO</v>
      </c>
      <c r="Q82"/>
      <c r="T82" s="6"/>
      <c r="U82" s="198"/>
      <c r="V82" s="2"/>
    </row>
    <row r="83" spans="2:22">
      <c r="B83" t="s">
        <v>799</v>
      </c>
      <c r="C83" t="s">
        <v>883</v>
      </c>
      <c r="D83" s="1">
        <v>2024</v>
      </c>
      <c r="E83" s="72"/>
      <c r="F83" s="72"/>
      <c r="G83" s="6"/>
      <c r="H83" s="6">
        <f>SUMIF(PAGOS[CHASIS],CHASIS[[#This Row],[CHASIS]],PAGOS[[PAGO ]])</f>
        <v>0</v>
      </c>
      <c r="I83" s="6">
        <f>CHASIS[[#This Row],[P/U]]-CHASIS[[#This Row],[PAGO ]]</f>
        <v>0</v>
      </c>
      <c r="J83" s="6"/>
      <c r="K83" s="6"/>
      <c r="L83" s="257" t="str">
        <f>IF(CHASIS[[#This Row],[ADEUDO]]=0,"SI","NO")</f>
        <v>SI</v>
      </c>
      <c r="M83" s="2" t="str">
        <f t="shared" si="2"/>
        <v>EN PROCESO</v>
      </c>
      <c r="Q83"/>
      <c r="T83" s="6"/>
      <c r="U83" s="198"/>
      <c r="V83" s="2"/>
    </row>
    <row r="84" spans="2:22">
      <c r="B84" t="s">
        <v>799</v>
      </c>
      <c r="C84" t="s">
        <v>884</v>
      </c>
      <c r="D84" s="1">
        <v>2024</v>
      </c>
      <c r="E84" s="72"/>
      <c r="F84" s="72"/>
      <c r="G84" s="6"/>
      <c r="H84" s="6">
        <f>SUMIF(PAGOS[CHASIS],CHASIS[[#This Row],[CHASIS]],PAGOS[[PAGO ]])</f>
        <v>0</v>
      </c>
      <c r="I84" s="6">
        <f>CHASIS[[#This Row],[P/U]]-CHASIS[[#This Row],[PAGO ]]</f>
        <v>0</v>
      </c>
      <c r="J84" s="6"/>
      <c r="K84" s="6"/>
      <c r="L84" s="257" t="str">
        <f>IF(CHASIS[[#This Row],[ADEUDO]]=0,"SI","NO")</f>
        <v>SI</v>
      </c>
      <c r="M84" s="2" t="str">
        <f t="shared" si="2"/>
        <v>EN PROCESO</v>
      </c>
      <c r="Q84"/>
      <c r="T84" s="6"/>
      <c r="U84" s="198"/>
      <c r="V84" s="2"/>
    </row>
    <row r="85" spans="2:22">
      <c r="B85" t="s">
        <v>799</v>
      </c>
      <c r="C85" t="s">
        <v>885</v>
      </c>
      <c r="D85" s="1">
        <v>2024</v>
      </c>
      <c r="E85" s="72"/>
      <c r="F85" s="72"/>
      <c r="G85" s="6"/>
      <c r="H85" s="6">
        <f>SUMIF(PAGOS[CHASIS],CHASIS[[#This Row],[CHASIS]],PAGOS[[PAGO ]])</f>
        <v>0</v>
      </c>
      <c r="I85" s="6">
        <f>CHASIS[[#This Row],[P/U]]-CHASIS[[#This Row],[PAGO ]]</f>
        <v>0</v>
      </c>
      <c r="J85" s="6"/>
      <c r="K85" s="6"/>
      <c r="L85" s="257" t="str">
        <f>IF(CHASIS[[#This Row],[ADEUDO]]=0,"SI","NO")</f>
        <v>SI</v>
      </c>
      <c r="M85" s="2" t="str">
        <f t="shared" si="2"/>
        <v>EN PROCESO</v>
      </c>
      <c r="Q85"/>
      <c r="T85" s="6"/>
      <c r="U85" s="198"/>
      <c r="V85" s="2"/>
    </row>
    <row r="86" spans="2:22">
      <c r="B86" t="s">
        <v>123</v>
      </c>
      <c r="C86" t="s">
        <v>886</v>
      </c>
      <c r="D86" s="1">
        <v>2024</v>
      </c>
      <c r="E86" s="72"/>
      <c r="F86" s="72"/>
      <c r="G86" s="6"/>
      <c r="H86" s="6">
        <f>SUMIF(PAGOS[CHASIS],CHASIS[[#This Row],[CHASIS]],PAGOS[[PAGO ]])</f>
        <v>0</v>
      </c>
      <c r="I86" s="6">
        <f>CHASIS[[#This Row],[P/U]]-CHASIS[[#This Row],[PAGO ]]</f>
        <v>0</v>
      </c>
      <c r="J86" s="6"/>
      <c r="K86" s="6"/>
      <c r="L86" s="257" t="str">
        <f>IF(CHASIS[[#This Row],[ADEUDO]]=0,"SI","NO")</f>
        <v>SI</v>
      </c>
      <c r="M86" s="2" t="str">
        <f t="shared" si="2"/>
        <v>EN PROCESO</v>
      </c>
      <c r="Q86"/>
      <c r="T86" s="6"/>
      <c r="U86" s="198"/>
      <c r="V86" s="2"/>
    </row>
    <row r="87" spans="2:22">
      <c r="B87" t="s">
        <v>813</v>
      </c>
      <c r="C87" t="s">
        <v>887</v>
      </c>
      <c r="D87" s="1">
        <v>2024</v>
      </c>
      <c r="E87" s="72"/>
      <c r="F87" s="72"/>
      <c r="G87" s="6"/>
      <c r="H87" s="6">
        <f>SUMIF(PAGOS[CHASIS],CHASIS[[#This Row],[CHASIS]],PAGOS[[PAGO ]])</f>
        <v>0</v>
      </c>
      <c r="I87" s="6">
        <f>CHASIS[[#This Row],[P/U]]-CHASIS[[#This Row],[PAGO ]]</f>
        <v>0</v>
      </c>
      <c r="J87" s="6"/>
      <c r="K87" s="6"/>
      <c r="L87" s="257" t="str">
        <f>IF(CHASIS[[#This Row],[ADEUDO]]=0,"SI","NO")</f>
        <v>SI</v>
      </c>
      <c r="M87" s="2" t="str">
        <f t="shared" si="2"/>
        <v>EN PROCESO</v>
      </c>
      <c r="Q87"/>
      <c r="T87" s="6"/>
      <c r="U87" s="198"/>
      <c r="V87" s="2"/>
    </row>
    <row r="88" spans="2:22">
      <c r="B88" t="s">
        <v>622</v>
      </c>
      <c r="C88" t="s">
        <v>888</v>
      </c>
      <c r="D88" s="1">
        <v>2024</v>
      </c>
      <c r="E88" s="72"/>
      <c r="F88" s="72"/>
      <c r="G88" s="6"/>
      <c r="H88" s="6">
        <f>SUMIF(PAGOS[CHASIS],CHASIS[[#This Row],[CHASIS]],PAGOS[[PAGO ]])</f>
        <v>0</v>
      </c>
      <c r="I88" s="6">
        <f>CHASIS[[#This Row],[P/U]]-CHASIS[[#This Row],[PAGO ]]</f>
        <v>0</v>
      </c>
      <c r="J88" s="6"/>
      <c r="K88" s="6"/>
      <c r="L88" s="257" t="str">
        <f>IF(CHASIS[[#This Row],[ADEUDO]]=0,"SI","NO")</f>
        <v>SI</v>
      </c>
      <c r="M88" s="2" t="str">
        <f t="shared" si="2"/>
        <v>EN PROCESO</v>
      </c>
      <c r="Q88"/>
      <c r="T88" s="6"/>
      <c r="U88" s="198"/>
      <c r="V88" s="2"/>
    </row>
    <row r="89" spans="2:22">
      <c r="B89" t="s">
        <v>622</v>
      </c>
      <c r="C89" t="s">
        <v>889</v>
      </c>
      <c r="D89" s="1">
        <v>2024</v>
      </c>
      <c r="E89" s="72"/>
      <c r="F89" s="72"/>
      <c r="G89" s="6"/>
      <c r="H89" s="6">
        <f>SUMIF(PAGOS[CHASIS],CHASIS[[#This Row],[CHASIS]],PAGOS[[PAGO ]])</f>
        <v>0</v>
      </c>
      <c r="I89" s="6">
        <f>CHASIS[[#This Row],[P/U]]-CHASIS[[#This Row],[PAGO ]]</f>
        <v>0</v>
      </c>
      <c r="J89" s="6"/>
      <c r="K89" s="6"/>
      <c r="L89" s="257" t="str">
        <f>IF(CHASIS[[#This Row],[ADEUDO]]=0,"SI","NO")</f>
        <v>SI</v>
      </c>
      <c r="M89" s="2" t="str">
        <f t="shared" si="2"/>
        <v>EN PROCESO</v>
      </c>
      <c r="Q89"/>
      <c r="T89" s="6"/>
      <c r="U89" s="198"/>
      <c r="V89" s="2"/>
    </row>
    <row r="90" spans="2:22">
      <c r="B90" t="s">
        <v>622</v>
      </c>
      <c r="C90" t="s">
        <v>890</v>
      </c>
      <c r="D90" s="1">
        <v>2024</v>
      </c>
      <c r="E90" s="72"/>
      <c r="F90" s="72"/>
      <c r="G90" s="6"/>
      <c r="H90" s="6">
        <f>SUMIF(PAGOS[CHASIS],CHASIS[[#This Row],[CHASIS]],PAGOS[[PAGO ]])</f>
        <v>0</v>
      </c>
      <c r="I90" s="6">
        <f>CHASIS[[#This Row],[P/U]]-CHASIS[[#This Row],[PAGO ]]</f>
        <v>0</v>
      </c>
      <c r="J90" s="6"/>
      <c r="K90" s="6"/>
      <c r="L90" s="257" t="str">
        <f>IF(CHASIS[[#This Row],[ADEUDO]]=0,"SI","NO")</f>
        <v>SI</v>
      </c>
      <c r="M90" s="2" t="str">
        <f t="shared" si="2"/>
        <v>EN PROCESO</v>
      </c>
      <c r="Q90"/>
      <c r="T90" s="6"/>
      <c r="U90" s="198"/>
      <c r="V90" s="2"/>
    </row>
    <row r="91" spans="2:22">
      <c r="B91" t="s">
        <v>582</v>
      </c>
      <c r="C91" t="s">
        <v>891</v>
      </c>
      <c r="D91" s="1">
        <v>2024</v>
      </c>
      <c r="E91" s="72" t="s">
        <v>1135</v>
      </c>
      <c r="F91" s="72"/>
      <c r="G91" s="6"/>
      <c r="H91" s="6">
        <f>SUMIF(PAGOS[CHASIS],CHASIS[[#This Row],[CHASIS]],PAGOS[[PAGO ]])</f>
        <v>0</v>
      </c>
      <c r="I91" s="6">
        <f>CHASIS[[#This Row],[P/U]]-CHASIS[[#This Row],[PAGO ]]</f>
        <v>0</v>
      </c>
      <c r="J91" s="6"/>
      <c r="K91" s="257">
        <v>45132</v>
      </c>
      <c r="L91" s="257" t="str">
        <f>IF(CHASIS[[#This Row],[ADEUDO]]=0,"SI","NO")</f>
        <v>SI</v>
      </c>
      <c r="M91" s="2" t="str">
        <f t="shared" si="2"/>
        <v>ENTREGADO</v>
      </c>
      <c r="Q91"/>
      <c r="T91" s="6"/>
      <c r="U91" s="198"/>
      <c r="V91" s="2"/>
    </row>
    <row r="92" spans="2:22">
      <c r="B92" t="s">
        <v>731</v>
      </c>
      <c r="C92" t="s">
        <v>814</v>
      </c>
      <c r="D92" s="1">
        <v>2024</v>
      </c>
      <c r="E92" s="72" t="s">
        <v>1129</v>
      </c>
      <c r="F92" s="72" t="s">
        <v>1064</v>
      </c>
      <c r="G92" s="6">
        <v>630000</v>
      </c>
      <c r="H92" s="6">
        <f>SUMIF(PAGOS[CHASIS],CHASIS[[#This Row],[CHASIS]],PAGOS[[PAGO ]])</f>
        <v>630000</v>
      </c>
      <c r="I92" s="6">
        <f>CHASIS[[#This Row],[P/U]]-CHASIS[[#This Row],[PAGO ]]</f>
        <v>0</v>
      </c>
      <c r="J92" s="6"/>
      <c r="K92" s="257">
        <v>45176</v>
      </c>
      <c r="L92" s="257" t="str">
        <f>IF(CHASIS[[#This Row],[ADEUDO]]=0,"SI","NO")</f>
        <v>SI</v>
      </c>
      <c r="M92" s="2" t="str">
        <f t="shared" si="2"/>
        <v>ENTREGADO</v>
      </c>
      <c r="Q92"/>
      <c r="T92" s="6"/>
      <c r="U92" s="198"/>
      <c r="V92" s="2"/>
    </row>
    <row r="93" spans="2:22">
      <c r="B93" t="s">
        <v>731</v>
      </c>
      <c r="C93" t="s">
        <v>892</v>
      </c>
      <c r="D93" s="1">
        <v>2024</v>
      </c>
      <c r="E93" s="72" t="s">
        <v>1129</v>
      </c>
      <c r="F93" s="72" t="s">
        <v>1064</v>
      </c>
      <c r="G93" s="6">
        <v>630000</v>
      </c>
      <c r="H93" s="6">
        <f>SUMIF(PAGOS[CHASIS],CHASIS[[#This Row],[CHASIS]],PAGOS[[PAGO ]])</f>
        <v>0</v>
      </c>
      <c r="I93" s="6">
        <f>CHASIS[[#This Row],[P/U]]-CHASIS[[#This Row],[PAGO ]]</f>
        <v>630000</v>
      </c>
      <c r="J93" s="6"/>
      <c r="K93" s="257">
        <v>45176</v>
      </c>
      <c r="L93" s="257" t="str">
        <f>IF(CHASIS[[#This Row],[ADEUDO]]=0,"SI","NO")</f>
        <v>NO</v>
      </c>
      <c r="M93" s="2" t="str">
        <f t="shared" si="2"/>
        <v>ENTREGADO</v>
      </c>
      <c r="Q93"/>
      <c r="T93" s="6"/>
      <c r="U93" s="198"/>
      <c r="V93" s="2"/>
    </row>
    <row r="94" spans="2:22">
      <c r="B94" t="s">
        <v>731</v>
      </c>
      <c r="C94" t="s">
        <v>893</v>
      </c>
      <c r="D94" s="1">
        <v>2024</v>
      </c>
      <c r="E94" s="72" t="s">
        <v>4</v>
      </c>
      <c r="F94" s="72" t="s">
        <v>1064</v>
      </c>
      <c r="G94" s="6">
        <v>270000</v>
      </c>
      <c r="H94" s="6">
        <f>SUMIF(PAGOS[CHASIS],CHASIS[[#This Row],[CHASIS]],PAGOS[[PAGO ]])</f>
        <v>0</v>
      </c>
      <c r="I94" s="6">
        <f>CHASIS[[#This Row],[P/U]]-CHASIS[[#This Row],[PAGO ]]</f>
        <v>270000</v>
      </c>
      <c r="J94" s="6"/>
      <c r="K94" s="257">
        <v>45176</v>
      </c>
      <c r="L94" s="257" t="str">
        <f>IF(CHASIS[[#This Row],[ADEUDO]]=0,"SI","NO")</f>
        <v>NO</v>
      </c>
      <c r="M94" s="2" t="str">
        <f t="shared" si="2"/>
        <v>ENTREGADO</v>
      </c>
      <c r="Q94"/>
      <c r="T94" s="6"/>
      <c r="U94" s="198"/>
      <c r="V94" s="2"/>
    </row>
    <row r="95" spans="2:22">
      <c r="B95" t="s">
        <v>634</v>
      </c>
      <c r="C95" t="s">
        <v>894</v>
      </c>
      <c r="D95" s="1">
        <v>2024</v>
      </c>
      <c r="E95" s="72"/>
      <c r="F95" s="72"/>
      <c r="G95" s="6"/>
      <c r="H95" s="6">
        <f>SUMIF(PAGOS[CHASIS],CHASIS[[#This Row],[CHASIS]],PAGOS[[PAGO ]])</f>
        <v>0</v>
      </c>
      <c r="I95" s="6">
        <f>CHASIS[[#This Row],[P/U]]-CHASIS[[#This Row],[PAGO ]]</f>
        <v>0</v>
      </c>
      <c r="J95" s="6"/>
      <c r="K95" s="6"/>
      <c r="L95" s="257" t="str">
        <f>IF(CHASIS[[#This Row],[ADEUDO]]=0,"SI","NO")</f>
        <v>SI</v>
      </c>
      <c r="M95" s="2" t="str">
        <f t="shared" si="2"/>
        <v>EN PROCESO</v>
      </c>
      <c r="Q95"/>
      <c r="T95" s="6"/>
      <c r="U95" s="198"/>
      <c r="V95" s="2"/>
    </row>
    <row r="96" spans="2:22">
      <c r="B96" t="s">
        <v>815</v>
      </c>
      <c r="C96" t="s">
        <v>895</v>
      </c>
      <c r="D96" s="1">
        <v>2024</v>
      </c>
      <c r="E96" s="72"/>
      <c r="F96" s="72"/>
      <c r="G96" s="6"/>
      <c r="H96" s="6">
        <f>SUMIF(PAGOS[CHASIS],CHASIS[[#This Row],[CHASIS]],PAGOS[[PAGO ]])</f>
        <v>0</v>
      </c>
      <c r="I96" s="6">
        <f>CHASIS[[#This Row],[P/U]]-CHASIS[[#This Row],[PAGO ]]</f>
        <v>0</v>
      </c>
      <c r="J96" s="6"/>
      <c r="K96" s="6"/>
      <c r="L96" s="257" t="str">
        <f>IF(CHASIS[[#This Row],[ADEUDO]]=0,"SI","NO")</f>
        <v>SI</v>
      </c>
      <c r="M96" s="2" t="str">
        <f t="shared" si="2"/>
        <v>EN PROCESO</v>
      </c>
      <c r="Q96"/>
      <c r="T96" s="6"/>
      <c r="U96" s="198"/>
      <c r="V96" s="2"/>
    </row>
    <row r="97" spans="2:22">
      <c r="B97" t="s">
        <v>634</v>
      </c>
      <c r="C97" t="s">
        <v>896</v>
      </c>
      <c r="D97" s="1">
        <v>2024</v>
      </c>
      <c r="E97" s="72"/>
      <c r="F97" s="72"/>
      <c r="G97" s="6"/>
      <c r="H97" s="6">
        <f>SUMIF(PAGOS[CHASIS],CHASIS[[#This Row],[CHASIS]],PAGOS[[PAGO ]])</f>
        <v>0</v>
      </c>
      <c r="I97" s="6">
        <f>CHASIS[[#This Row],[P/U]]-CHASIS[[#This Row],[PAGO ]]</f>
        <v>0</v>
      </c>
      <c r="J97" s="6"/>
      <c r="K97" s="6"/>
      <c r="L97" s="257" t="str">
        <f>IF(CHASIS[[#This Row],[ADEUDO]]=0,"SI","NO")</f>
        <v>SI</v>
      </c>
      <c r="M97" s="2" t="str">
        <f t="shared" si="2"/>
        <v>EN PROCESO</v>
      </c>
      <c r="Q97"/>
      <c r="T97" s="6"/>
      <c r="U97" s="198"/>
      <c r="V97" s="2"/>
    </row>
    <row r="98" spans="2:22">
      <c r="B98" t="s">
        <v>816</v>
      </c>
      <c r="C98" t="s">
        <v>897</v>
      </c>
      <c r="D98" s="1">
        <v>2024</v>
      </c>
      <c r="E98" s="72" t="s">
        <v>1128</v>
      </c>
      <c r="F98" s="72" t="s">
        <v>1068</v>
      </c>
      <c r="G98" s="6"/>
      <c r="H98" s="6">
        <f>SUMIF(PAGOS[CHASIS],CHASIS[[#This Row],[CHASIS]],PAGOS[[PAGO ]])</f>
        <v>0</v>
      </c>
      <c r="I98" s="6">
        <f>CHASIS[[#This Row],[P/U]]-CHASIS[[#This Row],[PAGO ]]</f>
        <v>0</v>
      </c>
      <c r="J98" s="6"/>
      <c r="K98" s="6"/>
      <c r="L98" s="257" t="str">
        <f>IF(CHASIS[[#This Row],[ADEUDO]]=0,"SI","NO")</f>
        <v>SI</v>
      </c>
      <c r="M98" s="2" t="str">
        <f t="shared" si="2"/>
        <v>EN PROCESO</v>
      </c>
      <c r="Q98"/>
      <c r="T98" s="6"/>
      <c r="U98" s="198"/>
      <c r="V98" s="2"/>
    </row>
    <row r="99" spans="2:22">
      <c r="B99" t="s">
        <v>582</v>
      </c>
      <c r="C99" t="s">
        <v>898</v>
      </c>
      <c r="D99" s="1">
        <v>2024</v>
      </c>
      <c r="E99" s="72"/>
      <c r="F99" s="72"/>
      <c r="G99" s="6"/>
      <c r="H99" s="6">
        <f>SUMIF(PAGOS[CHASIS],CHASIS[[#This Row],[CHASIS]],PAGOS[[PAGO ]])</f>
        <v>0</v>
      </c>
      <c r="I99" s="6">
        <f>CHASIS[[#This Row],[P/U]]-CHASIS[[#This Row],[PAGO ]]</f>
        <v>0</v>
      </c>
      <c r="J99" s="6"/>
      <c r="K99" s="6"/>
      <c r="L99" s="257" t="str">
        <f>IF(CHASIS[[#This Row],[ADEUDO]]=0,"SI","NO")</f>
        <v>SI</v>
      </c>
      <c r="M99" s="2" t="str">
        <f t="shared" si="2"/>
        <v>EN PROCESO</v>
      </c>
      <c r="Q99"/>
      <c r="T99" s="6"/>
      <c r="U99" s="198"/>
      <c r="V99" s="2"/>
    </row>
    <row r="100" spans="2:22">
      <c r="B100" t="s">
        <v>644</v>
      </c>
      <c r="C100" t="s">
        <v>899</v>
      </c>
      <c r="D100" s="1">
        <v>2024</v>
      </c>
      <c r="E100" s="72"/>
      <c r="F100" s="72"/>
      <c r="G100" s="6"/>
      <c r="H100" s="6">
        <f>SUMIF(PAGOS[CHASIS],CHASIS[[#This Row],[CHASIS]],PAGOS[[PAGO ]])</f>
        <v>0</v>
      </c>
      <c r="I100" s="6">
        <f>CHASIS[[#This Row],[P/U]]-CHASIS[[#This Row],[PAGO ]]</f>
        <v>0</v>
      </c>
      <c r="J100" s="6"/>
      <c r="K100" s="6"/>
      <c r="L100" s="257" t="str">
        <f>IF(CHASIS[[#This Row],[ADEUDO]]=0,"SI","NO")</f>
        <v>SI</v>
      </c>
      <c r="M100" s="2" t="str">
        <f t="shared" si="2"/>
        <v>EN PROCESO</v>
      </c>
      <c r="Q100"/>
      <c r="T100" s="6"/>
      <c r="U100" s="198"/>
      <c r="V100" s="2"/>
    </row>
    <row r="101" spans="2:22">
      <c r="B101" t="s">
        <v>950</v>
      </c>
      <c r="C101" t="s">
        <v>900</v>
      </c>
      <c r="D101" s="1">
        <v>2024</v>
      </c>
      <c r="E101" s="72"/>
      <c r="F101" s="72"/>
      <c r="G101" s="6"/>
      <c r="H101" s="6">
        <f>SUMIF(PAGOS[CHASIS],CHASIS[[#This Row],[CHASIS]],PAGOS[[PAGO ]])</f>
        <v>0</v>
      </c>
      <c r="I101" s="6">
        <f>CHASIS[[#This Row],[P/U]]-CHASIS[[#This Row],[PAGO ]]</f>
        <v>0</v>
      </c>
      <c r="J101" s="6"/>
      <c r="K101" s="6"/>
      <c r="L101" s="257" t="str">
        <f>IF(CHASIS[[#This Row],[ADEUDO]]=0,"SI","NO")</f>
        <v>SI</v>
      </c>
      <c r="M101" s="2" t="str">
        <f t="shared" si="2"/>
        <v>EN PROCESO</v>
      </c>
      <c r="Q101"/>
      <c r="T101" s="6"/>
      <c r="U101" s="198"/>
      <c r="V101" s="2"/>
    </row>
    <row r="102" spans="2:22">
      <c r="B102" t="s">
        <v>950</v>
      </c>
      <c r="C102" t="s">
        <v>901</v>
      </c>
      <c r="D102" s="1">
        <v>2024</v>
      </c>
      <c r="E102" s="72"/>
      <c r="F102" s="72"/>
      <c r="G102" s="6"/>
      <c r="H102" s="6">
        <f>SUMIF(PAGOS[CHASIS],CHASIS[[#This Row],[CHASIS]],PAGOS[[PAGO ]])</f>
        <v>0</v>
      </c>
      <c r="I102" s="6">
        <f>CHASIS[[#This Row],[P/U]]-CHASIS[[#This Row],[PAGO ]]</f>
        <v>0</v>
      </c>
      <c r="J102" s="6"/>
      <c r="K102" s="6"/>
      <c r="L102" s="257" t="str">
        <f>IF(CHASIS[[#This Row],[ADEUDO]]=0,"SI","NO")</f>
        <v>SI</v>
      </c>
      <c r="M102" s="2" t="str">
        <f t="shared" si="2"/>
        <v>EN PROCESO</v>
      </c>
      <c r="Q102"/>
      <c r="T102" s="6"/>
      <c r="U102" s="198"/>
      <c r="V102" s="2"/>
    </row>
    <row r="103" spans="2:22">
      <c r="B103" t="s">
        <v>950</v>
      </c>
      <c r="C103" t="s">
        <v>902</v>
      </c>
      <c r="D103" s="1">
        <v>2024</v>
      </c>
      <c r="E103" s="72"/>
      <c r="F103" s="72"/>
      <c r="G103" s="6"/>
      <c r="H103" s="6">
        <f>SUMIF(PAGOS[CHASIS],CHASIS[[#This Row],[CHASIS]],PAGOS[[PAGO ]])</f>
        <v>0</v>
      </c>
      <c r="I103" s="6">
        <f>CHASIS[[#This Row],[P/U]]-CHASIS[[#This Row],[PAGO ]]</f>
        <v>0</v>
      </c>
      <c r="J103" s="6"/>
      <c r="K103" s="6"/>
      <c r="L103" s="257" t="str">
        <f>IF(CHASIS[[#This Row],[ADEUDO]]=0,"SI","NO")</f>
        <v>SI</v>
      </c>
      <c r="M103" s="2" t="str">
        <f t="shared" si="2"/>
        <v>EN PROCESO</v>
      </c>
      <c r="Q103"/>
      <c r="T103" s="6"/>
      <c r="U103" s="198"/>
      <c r="V103" s="2"/>
    </row>
    <row r="104" spans="2:22">
      <c r="B104" t="s">
        <v>644</v>
      </c>
      <c r="C104" t="s">
        <v>903</v>
      </c>
      <c r="D104" s="1">
        <v>2024</v>
      </c>
      <c r="E104" s="72"/>
      <c r="F104" s="72"/>
      <c r="G104" s="6"/>
      <c r="H104" s="6">
        <f>SUMIF(PAGOS[CHASIS],CHASIS[[#This Row],[CHASIS]],PAGOS[[PAGO ]])</f>
        <v>0</v>
      </c>
      <c r="I104" s="6">
        <f>CHASIS[[#This Row],[P/U]]-CHASIS[[#This Row],[PAGO ]]</f>
        <v>0</v>
      </c>
      <c r="J104" s="6"/>
      <c r="K104" s="6"/>
      <c r="L104" s="257" t="str">
        <f>IF(CHASIS[[#This Row],[ADEUDO]]=0,"SI","NO")</f>
        <v>SI</v>
      </c>
      <c r="M104" s="2" t="str">
        <f t="shared" si="2"/>
        <v>EN PROCESO</v>
      </c>
      <c r="Q104"/>
      <c r="T104" s="6"/>
      <c r="U104" s="198"/>
      <c r="V104" s="2"/>
    </row>
    <row r="105" spans="2:22">
      <c r="B105" t="s">
        <v>701</v>
      </c>
      <c r="C105" t="s">
        <v>904</v>
      </c>
      <c r="D105" s="1">
        <v>2024</v>
      </c>
      <c r="E105" s="72"/>
      <c r="F105" s="72"/>
      <c r="G105" s="6"/>
      <c r="H105" s="6">
        <f>SUMIF(PAGOS[CHASIS],CHASIS[[#This Row],[CHASIS]],PAGOS[[PAGO ]])</f>
        <v>0</v>
      </c>
      <c r="I105" s="6">
        <f>CHASIS[[#This Row],[P/U]]-CHASIS[[#This Row],[PAGO ]]</f>
        <v>0</v>
      </c>
      <c r="J105" s="6"/>
      <c r="K105" s="6"/>
      <c r="L105" s="257" t="str">
        <f>IF(CHASIS[[#This Row],[ADEUDO]]=0,"SI","NO")</f>
        <v>SI</v>
      </c>
      <c r="M105" s="2" t="str">
        <f t="shared" si="2"/>
        <v>EN PROCESO</v>
      </c>
      <c r="Q105"/>
      <c r="T105" s="6"/>
      <c r="U105" s="198"/>
      <c r="V105" s="2"/>
    </row>
    <row r="106" spans="2:22">
      <c r="B106" t="s">
        <v>701</v>
      </c>
      <c r="C106" t="s">
        <v>905</v>
      </c>
      <c r="D106" s="1">
        <v>2024</v>
      </c>
      <c r="E106" s="72"/>
      <c r="F106" s="72"/>
      <c r="G106" s="6"/>
      <c r="H106" s="6">
        <f>SUMIF(PAGOS[CHASIS],CHASIS[[#This Row],[CHASIS]],PAGOS[[PAGO ]])</f>
        <v>0</v>
      </c>
      <c r="I106" s="6">
        <f>CHASIS[[#This Row],[P/U]]-CHASIS[[#This Row],[PAGO ]]</f>
        <v>0</v>
      </c>
      <c r="J106" s="6"/>
      <c r="K106" s="6"/>
      <c r="L106" s="257" t="str">
        <f>IF(CHASIS[[#This Row],[ADEUDO]]=0,"SI","NO")</f>
        <v>SI</v>
      </c>
      <c r="M106" s="2" t="str">
        <f t="shared" si="2"/>
        <v>EN PROCESO</v>
      </c>
      <c r="Q106"/>
      <c r="T106" s="6"/>
      <c r="U106" s="198"/>
      <c r="V106" s="2"/>
    </row>
    <row r="107" spans="2:22">
      <c r="B107" t="s">
        <v>701</v>
      </c>
      <c r="C107" t="s">
        <v>906</v>
      </c>
      <c r="D107" s="1">
        <v>2024</v>
      </c>
      <c r="E107" s="72"/>
      <c r="F107" s="72"/>
      <c r="G107" s="6"/>
      <c r="H107" s="6">
        <f>SUMIF(PAGOS[CHASIS],CHASIS[[#This Row],[CHASIS]],PAGOS[[PAGO ]])</f>
        <v>0</v>
      </c>
      <c r="I107" s="6">
        <f>CHASIS[[#This Row],[P/U]]-CHASIS[[#This Row],[PAGO ]]</f>
        <v>0</v>
      </c>
      <c r="J107" s="6"/>
      <c r="K107" s="6"/>
      <c r="L107" s="257" t="str">
        <f>IF(CHASIS[[#This Row],[ADEUDO]]=0,"SI","NO")</f>
        <v>SI</v>
      </c>
      <c r="M107" s="2" t="str">
        <f t="shared" ref="M107:M138" si="3">IF(K107="","EN PROCESO","ENTREGADO")</f>
        <v>EN PROCESO</v>
      </c>
      <c r="Q107"/>
      <c r="T107" s="6"/>
      <c r="U107" s="198"/>
      <c r="V107" s="2"/>
    </row>
    <row r="108" spans="2:22">
      <c r="B108" t="s">
        <v>701</v>
      </c>
      <c r="C108" t="s">
        <v>907</v>
      </c>
      <c r="D108" s="1">
        <v>2024</v>
      </c>
      <c r="E108" s="72"/>
      <c r="F108" s="72"/>
      <c r="G108" s="6"/>
      <c r="H108" s="6">
        <f>SUMIF(PAGOS[CHASIS],CHASIS[[#This Row],[CHASIS]],PAGOS[[PAGO ]])</f>
        <v>0</v>
      </c>
      <c r="I108" s="6">
        <f>CHASIS[[#This Row],[P/U]]-CHASIS[[#This Row],[PAGO ]]</f>
        <v>0</v>
      </c>
      <c r="J108" s="6"/>
      <c r="K108" s="6"/>
      <c r="L108" s="257" t="str">
        <f>IF(CHASIS[[#This Row],[ADEUDO]]=0,"SI","NO")</f>
        <v>SI</v>
      </c>
      <c r="M108" s="2" t="str">
        <f t="shared" si="3"/>
        <v>EN PROCESO</v>
      </c>
      <c r="Q108"/>
      <c r="T108" s="6"/>
      <c r="U108" s="198"/>
      <c r="V108" s="2"/>
    </row>
    <row r="109" spans="2:22">
      <c r="B109" t="s">
        <v>701</v>
      </c>
      <c r="C109" t="s">
        <v>908</v>
      </c>
      <c r="D109" s="1">
        <v>2024</v>
      </c>
      <c r="E109" s="72"/>
      <c r="F109" s="72"/>
      <c r="G109" s="6"/>
      <c r="H109" s="6">
        <f>SUMIF(PAGOS[CHASIS],CHASIS[[#This Row],[CHASIS]],PAGOS[[PAGO ]])</f>
        <v>0</v>
      </c>
      <c r="I109" s="6">
        <f>CHASIS[[#This Row],[P/U]]-CHASIS[[#This Row],[PAGO ]]</f>
        <v>0</v>
      </c>
      <c r="J109" s="6"/>
      <c r="K109" s="6"/>
      <c r="L109" s="257" t="str">
        <f>IF(CHASIS[[#This Row],[ADEUDO]]=0,"SI","NO")</f>
        <v>SI</v>
      </c>
      <c r="M109" s="2" t="str">
        <f t="shared" si="3"/>
        <v>EN PROCESO</v>
      </c>
      <c r="Q109"/>
      <c r="T109" s="6"/>
      <c r="U109" s="198"/>
      <c r="V109" s="2"/>
    </row>
    <row r="110" spans="2:22">
      <c r="B110" t="s">
        <v>701</v>
      </c>
      <c r="C110" t="s">
        <v>909</v>
      </c>
      <c r="D110" s="1">
        <v>2024</v>
      </c>
      <c r="E110" s="72"/>
      <c r="F110" s="72"/>
      <c r="G110" s="6"/>
      <c r="H110" s="6">
        <f>SUMIF(PAGOS[CHASIS],CHASIS[[#This Row],[CHASIS]],PAGOS[[PAGO ]])</f>
        <v>0</v>
      </c>
      <c r="I110" s="6">
        <f>CHASIS[[#This Row],[P/U]]-CHASIS[[#This Row],[PAGO ]]</f>
        <v>0</v>
      </c>
      <c r="J110" s="6"/>
      <c r="K110" s="6"/>
      <c r="L110" s="257" t="str">
        <f>IF(CHASIS[[#This Row],[ADEUDO]]=0,"SI","NO")</f>
        <v>SI</v>
      </c>
      <c r="M110" s="2" t="str">
        <f t="shared" si="3"/>
        <v>EN PROCESO</v>
      </c>
      <c r="Q110"/>
      <c r="T110" s="6"/>
      <c r="U110" s="198"/>
      <c r="V110" s="2"/>
    </row>
    <row r="111" spans="2:22">
      <c r="B111" t="s">
        <v>1069</v>
      </c>
      <c r="C111" t="s">
        <v>817</v>
      </c>
      <c r="D111" s="1">
        <v>2024</v>
      </c>
      <c r="E111" s="72" t="s">
        <v>1129</v>
      </c>
      <c r="F111" s="72" t="s">
        <v>1068</v>
      </c>
      <c r="G111" s="6">
        <v>605000</v>
      </c>
      <c r="H111" s="6">
        <f>SUMIF(PAGOS[CHASIS],CHASIS[[#This Row],[CHASIS]],PAGOS[[PAGO ]])</f>
        <v>605000</v>
      </c>
      <c r="I111" s="6">
        <f>CHASIS[[#This Row],[P/U]]-CHASIS[[#This Row],[PAGO ]]</f>
        <v>0</v>
      </c>
      <c r="J111" s="6"/>
      <c r="K111" s="257">
        <v>45153</v>
      </c>
      <c r="L111" s="257" t="str">
        <f>IF(CHASIS[[#This Row],[ADEUDO]]=0,"SI","NO")</f>
        <v>SI</v>
      </c>
      <c r="M111" s="2" t="str">
        <f t="shared" si="3"/>
        <v>ENTREGADO</v>
      </c>
      <c r="Q111"/>
      <c r="T111" s="6"/>
      <c r="U111" s="198"/>
      <c r="V111" s="2"/>
    </row>
    <row r="112" spans="2:22">
      <c r="B112" t="s">
        <v>1069</v>
      </c>
      <c r="C112" t="s">
        <v>818</v>
      </c>
      <c r="D112" s="1">
        <v>2024</v>
      </c>
      <c r="E112" s="72" t="s">
        <v>1129</v>
      </c>
      <c r="F112" s="72" t="s">
        <v>1068</v>
      </c>
      <c r="G112" s="6">
        <v>605000</v>
      </c>
      <c r="H112" s="6">
        <f>SUMIF(PAGOS[CHASIS],CHASIS[[#This Row],[CHASIS]],PAGOS[[PAGO ]])</f>
        <v>605000</v>
      </c>
      <c r="I112" s="6">
        <f>CHASIS[[#This Row],[P/U]]-CHASIS[[#This Row],[PAGO ]]</f>
        <v>0</v>
      </c>
      <c r="J112" s="6"/>
      <c r="K112" s="257">
        <v>45153</v>
      </c>
      <c r="L112" s="257" t="str">
        <f>IF(CHASIS[[#This Row],[ADEUDO]]=0,"SI","NO")</f>
        <v>SI</v>
      </c>
      <c r="M112" s="2" t="str">
        <f t="shared" si="3"/>
        <v>ENTREGADO</v>
      </c>
      <c r="Q112"/>
      <c r="T112" s="6"/>
      <c r="U112" s="198"/>
      <c r="V112" s="2"/>
    </row>
    <row r="113" spans="2:22">
      <c r="B113" t="s">
        <v>816</v>
      </c>
      <c r="C113" t="s">
        <v>910</v>
      </c>
      <c r="D113" s="1">
        <v>2024</v>
      </c>
      <c r="E113" s="72" t="s">
        <v>1129</v>
      </c>
      <c r="F113" s="72" t="s">
        <v>1068</v>
      </c>
      <c r="G113" s="6"/>
      <c r="H113" s="6">
        <f>SUMIF(PAGOS[CHASIS],CHASIS[[#This Row],[CHASIS]],PAGOS[[PAGO ]])</f>
        <v>0</v>
      </c>
      <c r="I113" s="6">
        <f>CHASIS[[#This Row],[P/U]]-CHASIS[[#This Row],[PAGO ]]</f>
        <v>0</v>
      </c>
      <c r="J113" s="6"/>
      <c r="K113" s="257">
        <v>45178</v>
      </c>
      <c r="L113" s="257" t="str">
        <f>IF(CHASIS[[#This Row],[ADEUDO]]=0,"SI","NO")</f>
        <v>SI</v>
      </c>
      <c r="M113" s="2" t="str">
        <f t="shared" si="3"/>
        <v>ENTREGADO</v>
      </c>
      <c r="Q113"/>
      <c r="T113" s="6"/>
      <c r="U113" s="198"/>
      <c r="V113" s="2"/>
    </row>
    <row r="114" spans="2:22">
      <c r="B114" t="s">
        <v>816</v>
      </c>
      <c r="C114" t="s">
        <v>911</v>
      </c>
      <c r="D114" s="1">
        <v>2024</v>
      </c>
      <c r="E114" s="72" t="s">
        <v>1129</v>
      </c>
      <c r="F114" s="72" t="s">
        <v>1068</v>
      </c>
      <c r="G114" s="6"/>
      <c r="H114" s="6">
        <f>SUMIF(PAGOS[CHASIS],CHASIS[[#This Row],[CHASIS]],PAGOS[[PAGO ]])</f>
        <v>0</v>
      </c>
      <c r="I114" s="6">
        <f>CHASIS[[#This Row],[P/U]]-CHASIS[[#This Row],[PAGO ]]</f>
        <v>0</v>
      </c>
      <c r="J114" s="6"/>
      <c r="K114" s="257">
        <v>45178</v>
      </c>
      <c r="L114" s="257" t="str">
        <f>IF(CHASIS[[#This Row],[ADEUDO]]=0,"SI","NO")</f>
        <v>SI</v>
      </c>
      <c r="M114" s="2" t="str">
        <f t="shared" si="3"/>
        <v>ENTREGADO</v>
      </c>
      <c r="Q114"/>
      <c r="T114" s="6"/>
      <c r="U114" s="198"/>
      <c r="V114" s="2"/>
    </row>
    <row r="115" spans="2:22">
      <c r="B115" t="s">
        <v>816</v>
      </c>
      <c r="C115" t="s">
        <v>912</v>
      </c>
      <c r="D115" s="1">
        <v>2024</v>
      </c>
      <c r="E115" s="72" t="s">
        <v>1129</v>
      </c>
      <c r="F115" s="72" t="s">
        <v>1068</v>
      </c>
      <c r="G115" s="6"/>
      <c r="H115" s="6">
        <f>SUMIF(PAGOS[CHASIS],CHASIS[[#This Row],[CHASIS]],PAGOS[[PAGO ]])</f>
        <v>0</v>
      </c>
      <c r="I115" s="6">
        <f>CHASIS[[#This Row],[P/U]]-CHASIS[[#This Row],[PAGO ]]</f>
        <v>0</v>
      </c>
      <c r="J115" s="6"/>
      <c r="K115" s="6"/>
      <c r="L115" s="257" t="str">
        <f>IF(CHASIS[[#This Row],[ADEUDO]]=0,"SI","NO")</f>
        <v>SI</v>
      </c>
      <c r="M115" s="2" t="str">
        <f t="shared" si="3"/>
        <v>EN PROCESO</v>
      </c>
      <c r="Q115"/>
      <c r="T115" s="6"/>
      <c r="U115" s="198"/>
      <c r="V115" s="2"/>
    </row>
    <row r="116" spans="2:22">
      <c r="B116" t="s">
        <v>816</v>
      </c>
      <c r="C116" t="s">
        <v>913</v>
      </c>
      <c r="D116" s="1">
        <v>2024</v>
      </c>
      <c r="E116" s="72" t="s">
        <v>4</v>
      </c>
      <c r="F116" s="72" t="s">
        <v>1068</v>
      </c>
      <c r="G116" s="6"/>
      <c r="H116" s="6">
        <f>SUMIF(PAGOS[CHASIS],CHASIS[[#This Row],[CHASIS]],PAGOS[[PAGO ]])</f>
        <v>0</v>
      </c>
      <c r="I116" s="6">
        <f>CHASIS[[#This Row],[P/U]]-CHASIS[[#This Row],[PAGO ]]</f>
        <v>0</v>
      </c>
      <c r="J116" s="6"/>
      <c r="K116" s="257">
        <v>45178</v>
      </c>
      <c r="L116" s="257" t="str">
        <f>IF(CHASIS[[#This Row],[ADEUDO]]=0,"SI","NO")</f>
        <v>SI</v>
      </c>
      <c r="M116" s="2" t="str">
        <f t="shared" si="3"/>
        <v>ENTREGADO</v>
      </c>
      <c r="Q116"/>
      <c r="T116" s="6"/>
      <c r="U116" s="198"/>
      <c r="V116" s="2"/>
    </row>
    <row r="117" spans="2:22">
      <c r="B117" t="s">
        <v>701</v>
      </c>
      <c r="C117" t="s">
        <v>914</v>
      </c>
      <c r="D117" s="1">
        <v>2024</v>
      </c>
      <c r="E117" s="72"/>
      <c r="F117" s="72"/>
      <c r="G117" s="6"/>
      <c r="H117" s="6">
        <f>SUMIF(PAGOS[CHASIS],CHASIS[[#This Row],[CHASIS]],PAGOS[[PAGO ]])</f>
        <v>0</v>
      </c>
      <c r="I117" s="6">
        <f>CHASIS[[#This Row],[P/U]]-CHASIS[[#This Row],[PAGO ]]</f>
        <v>0</v>
      </c>
      <c r="J117" s="6"/>
      <c r="K117" s="6"/>
      <c r="L117" s="257" t="str">
        <f>IF(CHASIS[[#This Row],[ADEUDO]]=0,"SI","NO")</f>
        <v>SI</v>
      </c>
      <c r="M117" s="2" t="str">
        <f t="shared" si="3"/>
        <v>EN PROCESO</v>
      </c>
      <c r="Q117"/>
      <c r="T117" s="6"/>
      <c r="U117" s="198"/>
      <c r="V117" s="2"/>
    </row>
    <row r="118" spans="2:22">
      <c r="B118" t="s">
        <v>701</v>
      </c>
      <c r="C118" t="s">
        <v>915</v>
      </c>
      <c r="D118" s="1">
        <v>2024</v>
      </c>
      <c r="E118" s="72"/>
      <c r="F118" s="72"/>
      <c r="G118" s="6"/>
      <c r="H118" s="6">
        <f>SUMIF(PAGOS[CHASIS],CHASIS[[#This Row],[CHASIS]],PAGOS[[PAGO ]])</f>
        <v>0</v>
      </c>
      <c r="I118" s="6">
        <f>CHASIS[[#This Row],[P/U]]-CHASIS[[#This Row],[PAGO ]]</f>
        <v>0</v>
      </c>
      <c r="J118" s="6"/>
      <c r="K118" s="6"/>
      <c r="L118" s="257" t="str">
        <f>IF(CHASIS[[#This Row],[ADEUDO]]=0,"SI","NO")</f>
        <v>SI</v>
      </c>
      <c r="M118" s="2" t="str">
        <f t="shared" si="3"/>
        <v>EN PROCESO</v>
      </c>
      <c r="Q118"/>
      <c r="T118" s="6"/>
      <c r="U118" s="198"/>
      <c r="V118" s="2"/>
    </row>
    <row r="119" spans="2:22">
      <c r="B119" t="s">
        <v>701</v>
      </c>
      <c r="C119" t="s">
        <v>916</v>
      </c>
      <c r="D119" s="1">
        <v>2024</v>
      </c>
      <c r="E119" s="72"/>
      <c r="F119" s="72"/>
      <c r="G119" s="6"/>
      <c r="H119" s="6">
        <f>SUMIF(PAGOS[CHASIS],CHASIS[[#This Row],[CHASIS]],PAGOS[[PAGO ]])</f>
        <v>0</v>
      </c>
      <c r="I119" s="6">
        <f>CHASIS[[#This Row],[P/U]]-CHASIS[[#This Row],[PAGO ]]</f>
        <v>0</v>
      </c>
      <c r="J119" s="6"/>
      <c r="K119" s="6"/>
      <c r="L119" s="257" t="str">
        <f>IF(CHASIS[[#This Row],[ADEUDO]]=0,"SI","NO")</f>
        <v>SI</v>
      </c>
      <c r="M119" s="2" t="str">
        <f t="shared" si="3"/>
        <v>EN PROCESO</v>
      </c>
      <c r="Q119"/>
      <c r="T119" s="6"/>
      <c r="U119" s="198"/>
      <c r="V119" s="2"/>
    </row>
    <row r="120" spans="2:22">
      <c r="B120" t="s">
        <v>701</v>
      </c>
      <c r="C120" t="s">
        <v>917</v>
      </c>
      <c r="D120" s="1">
        <v>2024</v>
      </c>
      <c r="E120" s="72"/>
      <c r="F120" s="72"/>
      <c r="G120" s="6"/>
      <c r="H120" s="6">
        <f>SUMIF(PAGOS[CHASIS],CHASIS[[#This Row],[CHASIS]],PAGOS[[PAGO ]])</f>
        <v>0</v>
      </c>
      <c r="I120" s="6">
        <f>CHASIS[[#This Row],[P/U]]-CHASIS[[#This Row],[PAGO ]]</f>
        <v>0</v>
      </c>
      <c r="J120" s="6"/>
      <c r="K120" s="6"/>
      <c r="L120" s="257" t="str">
        <f>IF(CHASIS[[#This Row],[ADEUDO]]=0,"SI","NO")</f>
        <v>SI</v>
      </c>
      <c r="M120" s="2" t="str">
        <f t="shared" si="3"/>
        <v>EN PROCESO</v>
      </c>
      <c r="Q120"/>
      <c r="T120" s="6"/>
      <c r="U120" s="198"/>
      <c r="V120" s="2"/>
    </row>
    <row r="121" spans="2:22">
      <c r="B121" t="s">
        <v>701</v>
      </c>
      <c r="C121" t="s">
        <v>918</v>
      </c>
      <c r="D121" s="1">
        <v>2024</v>
      </c>
      <c r="E121" s="72"/>
      <c r="F121" s="72"/>
      <c r="G121" s="6"/>
      <c r="H121" s="6">
        <f>SUMIF(PAGOS[CHASIS],CHASIS[[#This Row],[CHASIS]],PAGOS[[PAGO ]])</f>
        <v>0</v>
      </c>
      <c r="I121" s="6">
        <f>CHASIS[[#This Row],[P/U]]-CHASIS[[#This Row],[PAGO ]]</f>
        <v>0</v>
      </c>
      <c r="J121" s="6"/>
      <c r="K121" s="6"/>
      <c r="L121" s="257" t="str">
        <f>IF(CHASIS[[#This Row],[ADEUDO]]=0,"SI","NO")</f>
        <v>SI</v>
      </c>
      <c r="M121" s="2" t="str">
        <f t="shared" si="3"/>
        <v>EN PROCESO</v>
      </c>
      <c r="Q121"/>
      <c r="T121" s="6"/>
      <c r="U121" s="198"/>
      <c r="V121" s="2"/>
    </row>
    <row r="122" spans="2:22">
      <c r="B122" t="s">
        <v>701</v>
      </c>
      <c r="C122" t="s">
        <v>919</v>
      </c>
      <c r="D122" s="1">
        <v>2024</v>
      </c>
      <c r="E122" s="72"/>
      <c r="F122" s="72"/>
      <c r="G122" s="6"/>
      <c r="H122" s="6">
        <f>SUMIF(PAGOS[CHASIS],CHASIS[[#This Row],[CHASIS]],PAGOS[[PAGO ]])</f>
        <v>0</v>
      </c>
      <c r="I122" s="6">
        <f>CHASIS[[#This Row],[P/U]]-CHASIS[[#This Row],[PAGO ]]</f>
        <v>0</v>
      </c>
      <c r="J122" s="6"/>
      <c r="K122" s="6"/>
      <c r="L122" s="257" t="str">
        <f>IF(CHASIS[[#This Row],[ADEUDO]]=0,"SI","NO")</f>
        <v>SI</v>
      </c>
      <c r="M122" s="2" t="str">
        <f t="shared" si="3"/>
        <v>EN PROCESO</v>
      </c>
      <c r="Q122"/>
      <c r="T122" s="6"/>
      <c r="U122" s="198"/>
      <c r="V122" s="2"/>
    </row>
    <row r="123" spans="2:22">
      <c r="B123" t="s">
        <v>701</v>
      </c>
      <c r="C123" t="s">
        <v>920</v>
      </c>
      <c r="D123" s="1">
        <v>2024</v>
      </c>
      <c r="E123" s="72"/>
      <c r="F123" s="72"/>
      <c r="G123" s="6"/>
      <c r="H123" s="6">
        <f>SUMIF(PAGOS[CHASIS],CHASIS[[#This Row],[CHASIS]],PAGOS[[PAGO ]])</f>
        <v>0</v>
      </c>
      <c r="I123" s="6">
        <f>CHASIS[[#This Row],[P/U]]-CHASIS[[#This Row],[PAGO ]]</f>
        <v>0</v>
      </c>
      <c r="J123" s="6"/>
      <c r="K123" s="6"/>
      <c r="L123" s="257" t="str">
        <f>IF(CHASIS[[#This Row],[ADEUDO]]=0,"SI","NO")</f>
        <v>SI</v>
      </c>
      <c r="M123" s="2" t="str">
        <f t="shared" si="3"/>
        <v>EN PROCESO</v>
      </c>
      <c r="Q123"/>
      <c r="T123" s="6"/>
      <c r="U123" s="198"/>
      <c r="V123" s="2"/>
    </row>
    <row r="124" spans="2:22">
      <c r="B124" t="s">
        <v>701</v>
      </c>
      <c r="C124" t="s">
        <v>921</v>
      </c>
      <c r="D124" s="1">
        <v>2024</v>
      </c>
      <c r="E124" s="72"/>
      <c r="F124" s="72"/>
      <c r="G124" s="6"/>
      <c r="H124" s="6">
        <f>SUMIF(PAGOS[CHASIS],CHASIS[[#This Row],[CHASIS]],PAGOS[[PAGO ]])</f>
        <v>0</v>
      </c>
      <c r="I124" s="6">
        <f>CHASIS[[#This Row],[P/U]]-CHASIS[[#This Row],[PAGO ]]</f>
        <v>0</v>
      </c>
      <c r="J124" s="6"/>
      <c r="K124" s="6"/>
      <c r="L124" s="257" t="str">
        <f>IF(CHASIS[[#This Row],[ADEUDO]]=0,"SI","NO")</f>
        <v>SI</v>
      </c>
      <c r="M124" s="2" t="str">
        <f t="shared" si="3"/>
        <v>EN PROCESO</v>
      </c>
      <c r="Q124"/>
      <c r="T124" s="6"/>
      <c r="U124" s="198"/>
      <c r="V124" s="2"/>
    </row>
    <row r="125" spans="2:22">
      <c r="B125" t="s">
        <v>701</v>
      </c>
      <c r="C125" t="s">
        <v>922</v>
      </c>
      <c r="D125" s="1">
        <v>2024</v>
      </c>
      <c r="E125" s="72"/>
      <c r="F125" s="72"/>
      <c r="G125" s="6"/>
      <c r="H125" s="6">
        <f>SUMIF(PAGOS[CHASIS],CHASIS[[#This Row],[CHASIS]],PAGOS[[PAGO ]])</f>
        <v>0</v>
      </c>
      <c r="I125" s="6">
        <f>CHASIS[[#This Row],[P/U]]-CHASIS[[#This Row],[PAGO ]]</f>
        <v>0</v>
      </c>
      <c r="J125" s="6"/>
      <c r="K125" s="6"/>
      <c r="L125" s="257" t="str">
        <f>IF(CHASIS[[#This Row],[ADEUDO]]=0,"SI","NO")</f>
        <v>SI</v>
      </c>
      <c r="M125" s="2" t="str">
        <f t="shared" si="3"/>
        <v>EN PROCESO</v>
      </c>
      <c r="Q125"/>
      <c r="T125" s="6"/>
      <c r="U125" s="198"/>
      <c r="V125" s="2"/>
    </row>
    <row r="126" spans="2:22">
      <c r="B126" t="s">
        <v>731</v>
      </c>
      <c r="C126" t="s">
        <v>923</v>
      </c>
      <c r="D126" s="1">
        <v>2024</v>
      </c>
      <c r="E126" s="72" t="s">
        <v>1128</v>
      </c>
      <c r="F126" s="72" t="s">
        <v>1068</v>
      </c>
      <c r="G126" s="6"/>
      <c r="H126" s="6">
        <f>SUMIF(PAGOS[CHASIS],CHASIS[[#This Row],[CHASIS]],PAGOS[[PAGO ]])</f>
        <v>0</v>
      </c>
      <c r="I126" s="6">
        <f>CHASIS[[#This Row],[P/U]]-CHASIS[[#This Row],[PAGO ]]</f>
        <v>0</v>
      </c>
      <c r="J126" s="6"/>
      <c r="K126" s="6"/>
      <c r="L126" s="257" t="str">
        <f>IF(CHASIS[[#This Row],[ADEUDO]]=0,"SI","NO")</f>
        <v>SI</v>
      </c>
      <c r="M126" s="2" t="str">
        <f t="shared" si="3"/>
        <v>EN PROCESO</v>
      </c>
      <c r="Q126"/>
      <c r="T126" s="6"/>
      <c r="U126" s="198"/>
      <c r="V126" s="2"/>
    </row>
    <row r="127" spans="2:22">
      <c r="B127" t="s">
        <v>819</v>
      </c>
      <c r="C127" t="s">
        <v>924</v>
      </c>
      <c r="D127" s="1">
        <v>2024</v>
      </c>
      <c r="E127" s="72"/>
      <c r="F127" s="72"/>
      <c r="G127" s="6"/>
      <c r="H127" s="6">
        <f>SUMIF(PAGOS[CHASIS],CHASIS[[#This Row],[CHASIS]],PAGOS[[PAGO ]])</f>
        <v>0</v>
      </c>
      <c r="I127" s="6">
        <f>CHASIS[[#This Row],[P/U]]-CHASIS[[#This Row],[PAGO ]]</f>
        <v>0</v>
      </c>
      <c r="J127" s="6"/>
      <c r="K127" s="6"/>
      <c r="L127" s="257" t="str">
        <f>IF(CHASIS[[#This Row],[ADEUDO]]=0,"SI","NO")</f>
        <v>SI</v>
      </c>
      <c r="M127" s="2" t="str">
        <f t="shared" si="3"/>
        <v>EN PROCESO</v>
      </c>
      <c r="Q127"/>
      <c r="T127" s="6"/>
      <c r="U127" s="198"/>
      <c r="V127" s="2"/>
    </row>
    <row r="128" spans="2:22">
      <c r="B128" t="s">
        <v>819</v>
      </c>
      <c r="C128" t="s">
        <v>925</v>
      </c>
      <c r="D128" s="1">
        <v>2024</v>
      </c>
      <c r="E128" s="72"/>
      <c r="F128" s="72"/>
      <c r="G128" s="6"/>
      <c r="H128" s="6">
        <f>SUMIF(PAGOS[CHASIS],CHASIS[[#This Row],[CHASIS]],PAGOS[[PAGO ]])</f>
        <v>0</v>
      </c>
      <c r="I128" s="6">
        <f>CHASIS[[#This Row],[P/U]]-CHASIS[[#This Row],[PAGO ]]</f>
        <v>0</v>
      </c>
      <c r="J128" s="6"/>
      <c r="K128" s="6"/>
      <c r="L128" s="257" t="str">
        <f>IF(CHASIS[[#This Row],[ADEUDO]]=0,"SI","NO")</f>
        <v>SI</v>
      </c>
      <c r="M128" s="2" t="str">
        <f t="shared" si="3"/>
        <v>EN PROCESO</v>
      </c>
      <c r="Q128"/>
      <c r="T128" s="6"/>
      <c r="U128" s="198"/>
      <c r="V128" s="2"/>
    </row>
    <row r="129" spans="2:22">
      <c r="B129" t="s">
        <v>819</v>
      </c>
      <c r="C129" t="s">
        <v>926</v>
      </c>
      <c r="D129" s="1">
        <v>2024</v>
      </c>
      <c r="E129" s="72"/>
      <c r="F129" s="72"/>
      <c r="G129" s="6"/>
      <c r="H129" s="6">
        <f>SUMIF(PAGOS[CHASIS],CHASIS[[#This Row],[CHASIS]],PAGOS[[PAGO ]])</f>
        <v>0</v>
      </c>
      <c r="I129" s="6">
        <f>CHASIS[[#This Row],[P/U]]-CHASIS[[#This Row],[PAGO ]]</f>
        <v>0</v>
      </c>
      <c r="J129" s="6"/>
      <c r="K129" s="6"/>
      <c r="L129" s="257" t="str">
        <f>IF(CHASIS[[#This Row],[ADEUDO]]=0,"SI","NO")</f>
        <v>SI</v>
      </c>
      <c r="M129" s="2" t="str">
        <f t="shared" si="3"/>
        <v>EN PROCESO</v>
      </c>
      <c r="Q129"/>
      <c r="T129" s="6"/>
      <c r="U129" s="198"/>
      <c r="V129" s="2"/>
    </row>
    <row r="130" spans="2:22">
      <c r="B130" t="s">
        <v>820</v>
      </c>
      <c r="C130" t="s">
        <v>927</v>
      </c>
      <c r="D130" s="1">
        <v>2024</v>
      </c>
      <c r="E130" s="72" t="s">
        <v>1130</v>
      </c>
      <c r="F130" s="72" t="s">
        <v>1050</v>
      </c>
      <c r="G130" s="6"/>
      <c r="H130" s="6">
        <f>SUMIF(PAGOS[CHASIS],CHASIS[[#This Row],[CHASIS]],PAGOS[[PAGO ]])</f>
        <v>0</v>
      </c>
      <c r="I130" s="6">
        <f>CHASIS[[#This Row],[P/U]]-CHASIS[[#This Row],[PAGO ]]</f>
        <v>0</v>
      </c>
      <c r="J130" s="6"/>
      <c r="K130" s="257">
        <v>45185</v>
      </c>
      <c r="L130" s="257" t="str">
        <f>IF(CHASIS[[#This Row],[ADEUDO]]=0,"SI","NO")</f>
        <v>SI</v>
      </c>
      <c r="M130" s="2" t="str">
        <f t="shared" si="3"/>
        <v>ENTREGADO</v>
      </c>
      <c r="Q130"/>
      <c r="T130" s="6"/>
      <c r="U130" s="198"/>
      <c r="V130" s="2"/>
    </row>
    <row r="131" spans="2:22">
      <c r="B131" t="s">
        <v>820</v>
      </c>
      <c r="C131" t="s">
        <v>928</v>
      </c>
      <c r="D131" s="1">
        <v>2024</v>
      </c>
      <c r="E131" s="72" t="s">
        <v>4</v>
      </c>
      <c r="F131" s="72" t="s">
        <v>1050</v>
      </c>
      <c r="G131" s="6"/>
      <c r="H131" s="6">
        <f>SUMIF(PAGOS[CHASIS],CHASIS[[#This Row],[CHASIS]],PAGOS[[PAGO ]])</f>
        <v>0</v>
      </c>
      <c r="I131" s="6">
        <f>CHASIS[[#This Row],[P/U]]-CHASIS[[#This Row],[PAGO ]]</f>
        <v>0</v>
      </c>
      <c r="J131" s="6"/>
      <c r="K131" s="257">
        <v>45185</v>
      </c>
      <c r="L131" s="257" t="str">
        <f>IF(CHASIS[[#This Row],[ADEUDO]]=0,"SI","NO")</f>
        <v>SI</v>
      </c>
      <c r="M131" s="2" t="str">
        <f t="shared" si="3"/>
        <v>ENTREGADO</v>
      </c>
      <c r="Q131"/>
      <c r="T131" s="6"/>
      <c r="U131" s="198"/>
      <c r="V131" s="2"/>
    </row>
    <row r="132" spans="2:22">
      <c r="B132" t="s">
        <v>820</v>
      </c>
      <c r="C132" t="s">
        <v>929</v>
      </c>
      <c r="D132" s="1">
        <v>2024</v>
      </c>
      <c r="E132" s="72" t="s">
        <v>1130</v>
      </c>
      <c r="F132" s="72" t="s">
        <v>1050</v>
      </c>
      <c r="G132" s="6"/>
      <c r="H132" s="6">
        <f>SUMIF(PAGOS[CHASIS],CHASIS[[#This Row],[CHASIS]],PAGOS[[PAGO ]])</f>
        <v>0</v>
      </c>
      <c r="I132" s="6">
        <f>CHASIS[[#This Row],[P/U]]-CHASIS[[#This Row],[PAGO ]]</f>
        <v>0</v>
      </c>
      <c r="J132" s="6"/>
      <c r="K132" s="257">
        <v>45185</v>
      </c>
      <c r="L132" s="257" t="str">
        <f>IF(CHASIS[[#This Row],[ADEUDO]]=0,"SI","NO")</f>
        <v>SI</v>
      </c>
      <c r="M132" s="2" t="str">
        <f t="shared" si="3"/>
        <v>ENTREGADO</v>
      </c>
      <c r="Q132"/>
      <c r="T132" s="6"/>
      <c r="U132" s="198"/>
      <c r="V132" s="2"/>
    </row>
    <row r="133" spans="2:22">
      <c r="B133" t="s">
        <v>821</v>
      </c>
      <c r="C133" t="s">
        <v>930</v>
      </c>
      <c r="D133" s="1">
        <v>2024</v>
      </c>
      <c r="E133" s="72"/>
      <c r="F133" s="72"/>
      <c r="G133" s="6"/>
      <c r="H133" s="6">
        <f>SUMIF(PAGOS[CHASIS],CHASIS[[#This Row],[CHASIS]],PAGOS[[PAGO ]])</f>
        <v>0</v>
      </c>
      <c r="I133" s="6">
        <f>CHASIS[[#This Row],[P/U]]-CHASIS[[#This Row],[PAGO ]]</f>
        <v>0</v>
      </c>
      <c r="J133" s="6"/>
      <c r="K133" s="6"/>
      <c r="L133" s="257" t="str">
        <f>IF(CHASIS[[#This Row],[ADEUDO]]=0,"SI","NO")</f>
        <v>SI</v>
      </c>
      <c r="M133" s="2" t="str">
        <f t="shared" si="3"/>
        <v>EN PROCESO</v>
      </c>
      <c r="Q133"/>
      <c r="T133" s="6"/>
      <c r="U133" s="198"/>
      <c r="V133" s="2"/>
    </row>
    <row r="134" spans="2:22">
      <c r="B134" t="s">
        <v>705</v>
      </c>
      <c r="C134" t="s">
        <v>931</v>
      </c>
      <c r="D134" s="1">
        <v>2024</v>
      </c>
      <c r="E134" s="72" t="s">
        <v>1093</v>
      </c>
      <c r="F134" s="72" t="s">
        <v>1127</v>
      </c>
      <c r="G134" s="6"/>
      <c r="H134" s="6">
        <f>SUMIF(PAGOS[CHASIS],CHASIS[[#This Row],[CHASIS]],PAGOS[[PAGO ]])</f>
        <v>0</v>
      </c>
      <c r="I134" s="6">
        <f>CHASIS[[#This Row],[P/U]]-CHASIS[[#This Row],[PAGO ]]</f>
        <v>0</v>
      </c>
      <c r="J134" s="6"/>
      <c r="K134" s="257">
        <v>45183</v>
      </c>
      <c r="L134" s="257" t="str">
        <f>IF(CHASIS[[#This Row],[ADEUDO]]=0,"SI","NO")</f>
        <v>SI</v>
      </c>
      <c r="M134" s="2" t="str">
        <f t="shared" si="3"/>
        <v>ENTREGADO</v>
      </c>
      <c r="Q134"/>
      <c r="T134" s="6"/>
      <c r="U134" s="198"/>
      <c r="V134" s="2"/>
    </row>
    <row r="135" spans="2:22">
      <c r="B135" t="s">
        <v>793</v>
      </c>
      <c r="C135" t="s">
        <v>932</v>
      </c>
      <c r="D135" s="1">
        <v>2024</v>
      </c>
      <c r="E135" s="72"/>
      <c r="F135" s="72"/>
      <c r="G135" s="6"/>
      <c r="H135" s="6">
        <f>SUMIF(PAGOS[CHASIS],CHASIS[[#This Row],[CHASIS]],PAGOS[[PAGO ]])</f>
        <v>0</v>
      </c>
      <c r="I135" s="6">
        <f>CHASIS[[#This Row],[P/U]]-CHASIS[[#This Row],[PAGO ]]</f>
        <v>0</v>
      </c>
      <c r="J135" s="6"/>
      <c r="K135" s="6"/>
      <c r="L135" s="257" t="str">
        <f>IF(CHASIS[[#This Row],[ADEUDO]]=0,"SI","NO")</f>
        <v>SI</v>
      </c>
      <c r="M135" s="2" t="str">
        <f t="shared" si="3"/>
        <v>EN PROCESO</v>
      </c>
      <c r="Q135"/>
      <c r="T135" s="6"/>
      <c r="U135" s="198"/>
      <c r="V135" s="2"/>
    </row>
    <row r="136" spans="2:22">
      <c r="B136" t="s">
        <v>793</v>
      </c>
      <c r="C136" t="s">
        <v>933</v>
      </c>
      <c r="D136" s="1">
        <v>2024</v>
      </c>
      <c r="E136" s="72"/>
      <c r="F136" s="72"/>
      <c r="G136" s="6"/>
      <c r="H136" s="6">
        <f>SUMIF(PAGOS[CHASIS],CHASIS[[#This Row],[CHASIS]],PAGOS[[PAGO ]])</f>
        <v>0</v>
      </c>
      <c r="I136" s="6">
        <f>CHASIS[[#This Row],[P/U]]-CHASIS[[#This Row],[PAGO ]]</f>
        <v>0</v>
      </c>
      <c r="J136" s="6"/>
      <c r="K136" s="6"/>
      <c r="L136" s="257" t="str">
        <f>IF(CHASIS[[#This Row],[ADEUDO]]=0,"SI","NO")</f>
        <v>SI</v>
      </c>
      <c r="M136" s="2" t="str">
        <f t="shared" si="3"/>
        <v>EN PROCESO</v>
      </c>
      <c r="Q136"/>
      <c r="T136" s="6"/>
      <c r="U136" s="198"/>
      <c r="V136" s="2"/>
    </row>
    <row r="137" spans="2:22">
      <c r="B137" t="s">
        <v>793</v>
      </c>
      <c r="C137" t="s">
        <v>934</v>
      </c>
      <c r="D137" s="1">
        <v>2024</v>
      </c>
      <c r="E137" s="72"/>
      <c r="F137" s="72"/>
      <c r="G137" s="6"/>
      <c r="H137" s="6">
        <f>SUMIF(PAGOS[CHASIS],CHASIS[[#This Row],[CHASIS]],PAGOS[[PAGO ]])</f>
        <v>0</v>
      </c>
      <c r="I137" s="6">
        <f>CHASIS[[#This Row],[P/U]]-CHASIS[[#This Row],[PAGO ]]</f>
        <v>0</v>
      </c>
      <c r="J137" s="6"/>
      <c r="K137" s="6"/>
      <c r="L137" s="257" t="str">
        <f>IF(CHASIS[[#This Row],[ADEUDO]]=0,"SI","NO")</f>
        <v>SI</v>
      </c>
      <c r="M137" s="2" t="str">
        <f t="shared" si="3"/>
        <v>EN PROCESO</v>
      </c>
      <c r="Q137"/>
      <c r="T137" s="6"/>
      <c r="U137" s="198"/>
      <c r="V137" s="2"/>
    </row>
    <row r="138" spans="2:22">
      <c r="B138" t="s">
        <v>793</v>
      </c>
      <c r="C138" t="s">
        <v>935</v>
      </c>
      <c r="D138" s="1">
        <v>2024</v>
      </c>
      <c r="E138" s="72"/>
      <c r="F138" s="72"/>
      <c r="G138" s="6"/>
      <c r="H138" s="6">
        <f>SUMIF(PAGOS[CHASIS],CHASIS[[#This Row],[CHASIS]],PAGOS[[PAGO ]])</f>
        <v>0</v>
      </c>
      <c r="I138" s="6">
        <f>CHASIS[[#This Row],[P/U]]-CHASIS[[#This Row],[PAGO ]]</f>
        <v>0</v>
      </c>
      <c r="J138" s="6"/>
      <c r="K138" s="6"/>
      <c r="L138" s="257" t="str">
        <f>IF(CHASIS[[#This Row],[ADEUDO]]=0,"SI","NO")</f>
        <v>SI</v>
      </c>
      <c r="M138" s="2" t="str">
        <f t="shared" si="3"/>
        <v>EN PROCESO</v>
      </c>
      <c r="Q138"/>
      <c r="T138" s="6"/>
      <c r="U138" s="198"/>
      <c r="V138" s="2"/>
    </row>
    <row r="139" spans="2:22">
      <c r="B139" t="s">
        <v>793</v>
      </c>
      <c r="C139" t="s">
        <v>936</v>
      </c>
      <c r="D139" s="1">
        <v>2024</v>
      </c>
      <c r="E139" s="72"/>
      <c r="F139" s="72"/>
      <c r="G139" s="6"/>
      <c r="H139" s="6">
        <f>SUMIF(PAGOS[CHASIS],CHASIS[[#This Row],[CHASIS]],PAGOS[[PAGO ]])</f>
        <v>0</v>
      </c>
      <c r="I139" s="6">
        <f>CHASIS[[#This Row],[P/U]]-CHASIS[[#This Row],[PAGO ]]</f>
        <v>0</v>
      </c>
      <c r="J139" s="6"/>
      <c r="K139" s="6"/>
      <c r="L139" s="257" t="str">
        <f>IF(CHASIS[[#This Row],[ADEUDO]]=0,"SI","NO")</f>
        <v>SI</v>
      </c>
      <c r="M139" s="2" t="str">
        <f t="shared" ref="M139:M159" si="4">IF(K139="","EN PROCESO","ENTREGADO")</f>
        <v>EN PROCESO</v>
      </c>
      <c r="Q139"/>
      <c r="T139" s="6"/>
      <c r="U139" s="198"/>
      <c r="V139" s="2"/>
    </row>
    <row r="140" spans="2:22">
      <c r="B140" t="s">
        <v>793</v>
      </c>
      <c r="C140" t="s">
        <v>937</v>
      </c>
      <c r="D140" s="1">
        <v>2024</v>
      </c>
      <c r="E140" s="72"/>
      <c r="F140" s="72"/>
      <c r="G140" s="6"/>
      <c r="H140" s="6">
        <f>SUMIF(PAGOS[CHASIS],CHASIS[[#This Row],[CHASIS]],PAGOS[[PAGO ]])</f>
        <v>0</v>
      </c>
      <c r="I140" s="6">
        <f>CHASIS[[#This Row],[P/U]]-CHASIS[[#This Row],[PAGO ]]</f>
        <v>0</v>
      </c>
      <c r="J140" s="6"/>
      <c r="K140" s="6"/>
      <c r="L140" s="257" t="str">
        <f>IF(CHASIS[[#This Row],[ADEUDO]]=0,"SI","NO")</f>
        <v>SI</v>
      </c>
      <c r="M140" s="2" t="str">
        <f t="shared" si="4"/>
        <v>EN PROCESO</v>
      </c>
      <c r="Q140"/>
      <c r="T140" s="6"/>
      <c r="U140" s="198"/>
      <c r="V140" s="2"/>
    </row>
    <row r="141" spans="2:22">
      <c r="B141" t="s">
        <v>793</v>
      </c>
      <c r="C141" t="s">
        <v>938</v>
      </c>
      <c r="D141" s="1">
        <v>2024</v>
      </c>
      <c r="E141" s="72"/>
      <c r="F141" s="72"/>
      <c r="G141" s="6"/>
      <c r="H141" s="6">
        <f>SUMIF(PAGOS[CHASIS],CHASIS[[#This Row],[CHASIS]],PAGOS[[PAGO ]])</f>
        <v>0</v>
      </c>
      <c r="I141" s="6">
        <f>CHASIS[[#This Row],[P/U]]-CHASIS[[#This Row],[PAGO ]]</f>
        <v>0</v>
      </c>
      <c r="J141" s="6"/>
      <c r="K141" s="6"/>
      <c r="L141" s="257" t="str">
        <f>IF(CHASIS[[#This Row],[ADEUDO]]=0,"SI","NO")</f>
        <v>SI</v>
      </c>
      <c r="M141" s="2" t="str">
        <f t="shared" si="4"/>
        <v>EN PROCESO</v>
      </c>
      <c r="Q141"/>
      <c r="T141" s="6"/>
      <c r="U141" s="198"/>
      <c r="V141" s="2"/>
    </row>
    <row r="142" spans="2:22">
      <c r="B142" t="s">
        <v>793</v>
      </c>
      <c r="C142" t="s">
        <v>939</v>
      </c>
      <c r="D142" s="1">
        <v>2024</v>
      </c>
      <c r="E142" s="72"/>
      <c r="F142" s="72"/>
      <c r="G142" s="6"/>
      <c r="H142" s="6">
        <f>SUMIF(PAGOS[CHASIS],CHASIS[[#This Row],[CHASIS]],PAGOS[[PAGO ]])</f>
        <v>0</v>
      </c>
      <c r="I142" s="6">
        <f>CHASIS[[#This Row],[P/U]]-CHASIS[[#This Row],[PAGO ]]</f>
        <v>0</v>
      </c>
      <c r="J142" s="6"/>
      <c r="K142" s="6"/>
      <c r="L142" s="257" t="str">
        <f>IF(CHASIS[[#This Row],[ADEUDO]]=0,"SI","NO")</f>
        <v>SI</v>
      </c>
      <c r="M142" s="2" t="str">
        <f t="shared" si="4"/>
        <v>EN PROCESO</v>
      </c>
      <c r="Q142"/>
      <c r="T142" s="6"/>
      <c r="U142" s="198"/>
      <c r="V142" s="2"/>
    </row>
    <row r="143" spans="2:22">
      <c r="B143" t="s">
        <v>793</v>
      </c>
      <c r="C143" t="s">
        <v>940</v>
      </c>
      <c r="D143" s="1">
        <v>2024</v>
      </c>
      <c r="E143" s="72"/>
      <c r="F143" s="72"/>
      <c r="G143" s="6"/>
      <c r="H143" s="6">
        <f>SUMIF(PAGOS[CHASIS],CHASIS[[#This Row],[CHASIS]],PAGOS[[PAGO ]])</f>
        <v>0</v>
      </c>
      <c r="I143" s="6">
        <f>CHASIS[[#This Row],[P/U]]-CHASIS[[#This Row],[PAGO ]]</f>
        <v>0</v>
      </c>
      <c r="J143" s="6"/>
      <c r="K143" s="6"/>
      <c r="L143" s="257" t="str">
        <f>IF(CHASIS[[#This Row],[ADEUDO]]=0,"SI","NO")</f>
        <v>SI</v>
      </c>
      <c r="M143" s="2" t="str">
        <f t="shared" si="4"/>
        <v>EN PROCESO</v>
      </c>
      <c r="Q143"/>
      <c r="T143" s="6"/>
      <c r="U143" s="198"/>
      <c r="V143" s="2"/>
    </row>
    <row r="144" spans="2:22">
      <c r="B144" t="s">
        <v>793</v>
      </c>
      <c r="C144" t="s">
        <v>941</v>
      </c>
      <c r="D144" s="1">
        <v>2024</v>
      </c>
      <c r="E144" s="72"/>
      <c r="F144" s="72"/>
      <c r="G144" s="6"/>
      <c r="H144" s="6">
        <f>SUMIF(PAGOS[CHASIS],CHASIS[[#This Row],[CHASIS]],PAGOS[[PAGO ]])</f>
        <v>0</v>
      </c>
      <c r="I144" s="6">
        <f>CHASIS[[#This Row],[P/U]]-CHASIS[[#This Row],[PAGO ]]</f>
        <v>0</v>
      </c>
      <c r="J144" s="6"/>
      <c r="K144" s="6"/>
      <c r="L144" s="257" t="str">
        <f>IF(CHASIS[[#This Row],[ADEUDO]]=0,"SI","NO")</f>
        <v>SI</v>
      </c>
      <c r="M144" s="2" t="str">
        <f t="shared" si="4"/>
        <v>EN PROCESO</v>
      </c>
      <c r="Q144"/>
      <c r="T144" s="6"/>
      <c r="U144" s="198"/>
      <c r="V144" s="2"/>
    </row>
    <row r="145" spans="2:22">
      <c r="B145" t="s">
        <v>793</v>
      </c>
      <c r="C145" t="s">
        <v>942</v>
      </c>
      <c r="D145" s="1">
        <v>2024</v>
      </c>
      <c r="E145" s="72"/>
      <c r="F145" s="72"/>
      <c r="G145" s="6"/>
      <c r="H145" s="6">
        <f>SUMIF(PAGOS[CHASIS],CHASIS[[#This Row],[CHASIS]],PAGOS[[PAGO ]])</f>
        <v>0</v>
      </c>
      <c r="I145" s="6">
        <f>CHASIS[[#This Row],[P/U]]-CHASIS[[#This Row],[PAGO ]]</f>
        <v>0</v>
      </c>
      <c r="J145" s="6"/>
      <c r="K145" s="6"/>
      <c r="L145" s="257" t="str">
        <f>IF(CHASIS[[#This Row],[ADEUDO]]=0,"SI","NO")</f>
        <v>SI</v>
      </c>
      <c r="M145" s="2" t="str">
        <f t="shared" si="4"/>
        <v>EN PROCESO</v>
      </c>
      <c r="Q145"/>
      <c r="T145" s="6"/>
      <c r="U145" s="198"/>
      <c r="V145" s="2"/>
    </row>
    <row r="146" spans="2:22">
      <c r="B146" t="s">
        <v>793</v>
      </c>
      <c r="C146" t="s">
        <v>943</v>
      </c>
      <c r="D146" s="1">
        <v>2024</v>
      </c>
      <c r="E146" s="72"/>
      <c r="F146" s="72"/>
      <c r="G146" s="6"/>
      <c r="H146" s="6">
        <f>SUMIF(PAGOS[CHASIS],CHASIS[[#This Row],[CHASIS]],PAGOS[[PAGO ]])</f>
        <v>0</v>
      </c>
      <c r="I146" s="6">
        <f>CHASIS[[#This Row],[P/U]]-CHASIS[[#This Row],[PAGO ]]</f>
        <v>0</v>
      </c>
      <c r="J146" s="6"/>
      <c r="K146" s="6"/>
      <c r="L146" s="257" t="str">
        <f>IF(CHASIS[[#This Row],[ADEUDO]]=0,"SI","NO")</f>
        <v>SI</v>
      </c>
      <c r="M146" s="2" t="str">
        <f t="shared" si="4"/>
        <v>EN PROCESO</v>
      </c>
      <c r="Q146"/>
      <c r="T146" s="6"/>
      <c r="U146" s="198"/>
      <c r="V146" s="2"/>
    </row>
    <row r="147" spans="2:22">
      <c r="B147" t="s">
        <v>793</v>
      </c>
      <c r="C147" t="s">
        <v>944</v>
      </c>
      <c r="D147" s="1">
        <v>2024</v>
      </c>
      <c r="E147" s="72"/>
      <c r="F147" s="72"/>
      <c r="G147" s="6"/>
      <c r="H147" s="6">
        <f>SUMIF(PAGOS[CHASIS],CHASIS[[#This Row],[CHASIS]],PAGOS[[PAGO ]])</f>
        <v>0</v>
      </c>
      <c r="I147" s="6">
        <f>CHASIS[[#This Row],[P/U]]-CHASIS[[#This Row],[PAGO ]]</f>
        <v>0</v>
      </c>
      <c r="J147" s="6"/>
      <c r="K147" s="6"/>
      <c r="L147" s="257" t="str">
        <f>IF(CHASIS[[#This Row],[ADEUDO]]=0,"SI","NO")</f>
        <v>SI</v>
      </c>
      <c r="M147" s="2" t="str">
        <f t="shared" si="4"/>
        <v>EN PROCESO</v>
      </c>
      <c r="Q147"/>
      <c r="T147" s="6"/>
      <c r="U147" s="198"/>
      <c r="V147" s="2"/>
    </row>
    <row r="148" spans="2:22">
      <c r="B148" t="s">
        <v>793</v>
      </c>
      <c r="C148" t="s">
        <v>945</v>
      </c>
      <c r="D148" s="1">
        <v>2024</v>
      </c>
      <c r="E148" s="72"/>
      <c r="F148" s="72"/>
      <c r="G148" s="6"/>
      <c r="H148" s="6">
        <f>SUMIF(PAGOS[CHASIS],CHASIS[[#This Row],[CHASIS]],PAGOS[[PAGO ]])</f>
        <v>0</v>
      </c>
      <c r="I148" s="6">
        <f>CHASIS[[#This Row],[P/U]]-CHASIS[[#This Row],[PAGO ]]</f>
        <v>0</v>
      </c>
      <c r="J148" s="6"/>
      <c r="K148" s="6"/>
      <c r="L148" s="257" t="str">
        <f>IF(CHASIS[[#This Row],[ADEUDO]]=0,"SI","NO")</f>
        <v>SI</v>
      </c>
      <c r="M148" s="2" t="str">
        <f t="shared" si="4"/>
        <v>EN PROCESO</v>
      </c>
      <c r="Q148"/>
      <c r="T148" s="6"/>
      <c r="U148" s="198"/>
      <c r="V148" s="2"/>
    </row>
    <row r="149" spans="2:22">
      <c r="B149" t="s">
        <v>793</v>
      </c>
      <c r="C149" t="s">
        <v>946</v>
      </c>
      <c r="D149" s="1">
        <v>2024</v>
      </c>
      <c r="E149" s="72"/>
      <c r="F149" s="72"/>
      <c r="G149" s="6"/>
      <c r="H149" s="6">
        <f>SUMIF(PAGOS[CHASIS],CHASIS[[#This Row],[CHASIS]],PAGOS[[PAGO ]])</f>
        <v>0</v>
      </c>
      <c r="I149" s="6">
        <f>CHASIS[[#This Row],[P/U]]-CHASIS[[#This Row],[PAGO ]]</f>
        <v>0</v>
      </c>
      <c r="J149" s="6"/>
      <c r="K149" s="6"/>
      <c r="L149" s="257" t="str">
        <f>IF(CHASIS[[#This Row],[ADEUDO]]=0,"SI","NO")</f>
        <v>SI</v>
      </c>
      <c r="M149" s="2" t="str">
        <f t="shared" si="4"/>
        <v>EN PROCESO</v>
      </c>
      <c r="Q149"/>
      <c r="T149" s="6"/>
      <c r="U149" s="198"/>
      <c r="V149" s="2"/>
    </row>
    <row r="150" spans="2:22">
      <c r="B150" t="s">
        <v>822</v>
      </c>
      <c r="C150" t="s">
        <v>947</v>
      </c>
      <c r="D150" s="1">
        <v>2024</v>
      </c>
      <c r="E150" s="72"/>
      <c r="F150" s="72"/>
      <c r="G150" s="6"/>
      <c r="H150" s="6">
        <f>SUMIF(PAGOS[CHASIS],CHASIS[[#This Row],[CHASIS]],PAGOS[[PAGO ]])</f>
        <v>0</v>
      </c>
      <c r="I150" s="6">
        <f>CHASIS[[#This Row],[P/U]]-CHASIS[[#This Row],[PAGO ]]</f>
        <v>0</v>
      </c>
      <c r="J150" s="6"/>
      <c r="K150" s="6"/>
      <c r="L150" s="257" t="str">
        <f>IF(CHASIS[[#This Row],[ADEUDO]]=0,"SI","NO")</f>
        <v>SI</v>
      </c>
      <c r="M150" s="2" t="str">
        <f t="shared" si="4"/>
        <v>EN PROCESO</v>
      </c>
      <c r="Q150"/>
      <c r="T150" s="6"/>
      <c r="U150" s="198"/>
      <c r="V150" s="2"/>
    </row>
    <row r="151" spans="2:22">
      <c r="B151" t="s">
        <v>951</v>
      </c>
      <c r="C151" t="s">
        <v>948</v>
      </c>
      <c r="D151" s="1">
        <v>2024</v>
      </c>
      <c r="E151" s="72"/>
      <c r="F151" s="72"/>
      <c r="G151" s="6"/>
      <c r="H151" s="6">
        <f>SUMIF(PAGOS[CHASIS],CHASIS[[#This Row],[CHASIS]],PAGOS[[PAGO ]])</f>
        <v>0</v>
      </c>
      <c r="I151" s="6">
        <f>CHASIS[[#This Row],[P/U]]-CHASIS[[#This Row],[PAGO ]]</f>
        <v>0</v>
      </c>
      <c r="J151" s="6"/>
      <c r="K151" s="6"/>
      <c r="L151" s="257" t="str">
        <f>IF(CHASIS[[#This Row],[ADEUDO]]=0,"SI","NO")</f>
        <v>SI</v>
      </c>
      <c r="M151" s="2" t="str">
        <f t="shared" si="4"/>
        <v>EN PROCESO</v>
      </c>
      <c r="Q151"/>
      <c r="T151" s="6"/>
      <c r="U151" s="198"/>
      <c r="V151" s="2"/>
    </row>
    <row r="152" spans="2:22">
      <c r="B152" t="s">
        <v>823</v>
      </c>
      <c r="C152" t="s">
        <v>949</v>
      </c>
      <c r="D152" s="1">
        <v>2024</v>
      </c>
      <c r="E152" s="72" t="s">
        <v>1046</v>
      </c>
      <c r="F152" s="72" t="s">
        <v>1047</v>
      </c>
      <c r="G152" s="6"/>
      <c r="H152" s="6">
        <f>SUMIF(PAGOS[CHASIS],CHASIS[[#This Row],[CHASIS]],PAGOS[[PAGO ]])</f>
        <v>0</v>
      </c>
      <c r="I152" s="6">
        <f>CHASIS[[#This Row],[P/U]]-CHASIS[[#This Row],[PAGO ]]</f>
        <v>0</v>
      </c>
      <c r="J152" s="6"/>
      <c r="K152" s="6"/>
      <c r="L152" s="257" t="str">
        <f>IF(CHASIS[[#This Row],[ADEUDO]]=0,"SI","NO")</f>
        <v>SI</v>
      </c>
      <c r="M152" s="2" t="str">
        <f t="shared" si="4"/>
        <v>EN PROCESO</v>
      </c>
      <c r="Q152"/>
      <c r="R152"/>
      <c r="S152"/>
      <c r="T152"/>
      <c r="U152"/>
    </row>
    <row r="153" spans="2:22">
      <c r="B153" t="s">
        <v>1041</v>
      </c>
      <c r="C153" t="s">
        <v>1040</v>
      </c>
      <c r="D153" s="1">
        <v>2024</v>
      </c>
      <c r="E153" s="72" t="s">
        <v>1129</v>
      </c>
      <c r="F153" s="287" t="s">
        <v>1043</v>
      </c>
      <c r="G153" s="6">
        <v>0</v>
      </c>
      <c r="H153" s="6">
        <f>SUMIF(PAGOS[CHASIS],CHASIS[[#This Row],[CHASIS]],PAGOS[[PAGO ]])</f>
        <v>0</v>
      </c>
      <c r="I153" s="6">
        <f>CHASIS[[#This Row],[P/U]]-CHASIS[[#This Row],[PAGO ]]</f>
        <v>0</v>
      </c>
      <c r="J153" s="6"/>
      <c r="K153" s="6"/>
      <c r="L153" s="257" t="str">
        <f>IF(CHASIS[[#This Row],[ADEUDO]]=0,"SI","NO")</f>
        <v>SI</v>
      </c>
      <c r="M153" s="2" t="str">
        <f t="shared" si="4"/>
        <v>EN PROCESO</v>
      </c>
      <c r="Q153"/>
      <c r="T153" s="6"/>
      <c r="U153" s="198"/>
      <c r="V153" s="2"/>
    </row>
    <row r="154" spans="2:22">
      <c r="B154" t="s">
        <v>585</v>
      </c>
      <c r="C154" t="s">
        <v>1044</v>
      </c>
      <c r="D154" s="1">
        <v>2024</v>
      </c>
      <c r="E154" s="287" t="s">
        <v>4</v>
      </c>
      <c r="F154" s="287" t="s">
        <v>1045</v>
      </c>
      <c r="G154" s="6"/>
      <c r="H154" s="6">
        <f>SUMIF(PAGOS[CHASIS],CHASIS[[#This Row],[CHASIS]],PAGOS[[PAGO ]])</f>
        <v>0</v>
      </c>
      <c r="I154" s="6">
        <f>CHASIS[[#This Row],[P/U]]-CHASIS[[#This Row],[PAGO ]]</f>
        <v>0</v>
      </c>
      <c r="J154" s="6"/>
      <c r="K154" s="257">
        <v>45143</v>
      </c>
      <c r="L154" s="257" t="str">
        <f>IF(CHASIS[[#This Row],[ADEUDO]]=0,"SI","NO")</f>
        <v>SI</v>
      </c>
      <c r="M154" s="2" t="str">
        <f t="shared" si="4"/>
        <v>ENTREGADO</v>
      </c>
      <c r="Q154"/>
      <c r="T154" s="6"/>
      <c r="U154" s="198"/>
      <c r="V154" s="2"/>
    </row>
    <row r="155" spans="2:22">
      <c r="B155" t="s">
        <v>1048</v>
      </c>
      <c r="C155" t="s">
        <v>1049</v>
      </c>
      <c r="D155" s="1">
        <v>2024</v>
      </c>
      <c r="E155" s="287" t="s">
        <v>4</v>
      </c>
      <c r="F155" s="287" t="s">
        <v>1050</v>
      </c>
      <c r="G155" s="6"/>
      <c r="H155" s="6">
        <f>SUMIF(PAGOS[CHASIS],CHASIS[[#This Row],[CHASIS]],PAGOS[[PAGO ]])</f>
        <v>0</v>
      </c>
      <c r="I155" s="6">
        <f>CHASIS[[#This Row],[P/U]]-CHASIS[[#This Row],[PAGO ]]</f>
        <v>0</v>
      </c>
      <c r="J155" s="6"/>
      <c r="K155" s="6"/>
      <c r="L155" s="257" t="str">
        <f>IF(CHASIS[[#This Row],[ADEUDO]]=0,"SI","NO")</f>
        <v>SI</v>
      </c>
      <c r="M155" s="2" t="str">
        <f t="shared" si="4"/>
        <v>EN PROCESO</v>
      </c>
      <c r="Q155"/>
      <c r="T155" s="6"/>
      <c r="U155" s="198"/>
      <c r="V155" s="2"/>
    </row>
    <row r="156" spans="2:22">
      <c r="B156" t="s">
        <v>1048</v>
      </c>
      <c r="C156" t="s">
        <v>1051</v>
      </c>
      <c r="D156" s="1">
        <v>2024</v>
      </c>
      <c r="E156" s="72" t="s">
        <v>1129</v>
      </c>
      <c r="F156" s="287" t="s">
        <v>1050</v>
      </c>
      <c r="G156" s="6"/>
      <c r="H156" s="6">
        <f>SUMIF(PAGOS[CHASIS],CHASIS[[#This Row],[CHASIS]],PAGOS[[PAGO ]])</f>
        <v>0</v>
      </c>
      <c r="I156" s="6">
        <f>CHASIS[[#This Row],[P/U]]-CHASIS[[#This Row],[PAGO ]]</f>
        <v>0</v>
      </c>
      <c r="J156" s="6"/>
      <c r="K156" s="6"/>
      <c r="L156" s="257" t="str">
        <f>IF(CHASIS[[#This Row],[ADEUDO]]=0,"SI","NO")</f>
        <v>SI</v>
      </c>
      <c r="M156" s="2" t="str">
        <f t="shared" si="4"/>
        <v>EN PROCESO</v>
      </c>
    </row>
    <row r="157" spans="2:22">
      <c r="B157" t="s">
        <v>786</v>
      </c>
      <c r="C157" t="s">
        <v>1052</v>
      </c>
      <c r="D157" s="1">
        <v>2024</v>
      </c>
      <c r="E157" s="72" t="s">
        <v>1130</v>
      </c>
      <c r="F157" s="287" t="s">
        <v>1053</v>
      </c>
      <c r="G157" s="6"/>
      <c r="H157" s="6">
        <f>SUMIF(PAGOS[CHASIS],CHASIS[[#This Row],[CHASIS]],PAGOS[[PAGO ]])</f>
        <v>0</v>
      </c>
      <c r="I157" s="6">
        <f>CHASIS[[#This Row],[P/U]]-CHASIS[[#This Row],[PAGO ]]</f>
        <v>0</v>
      </c>
      <c r="J157" s="6"/>
      <c r="K157" s="6"/>
      <c r="L157" s="257" t="str">
        <f>IF(CHASIS[[#This Row],[ADEUDO]]=0,"SI","NO")</f>
        <v>SI</v>
      </c>
      <c r="M157" s="2" t="str">
        <f t="shared" si="4"/>
        <v>EN PROCESO</v>
      </c>
    </row>
    <row r="158" spans="2:22">
      <c r="B158" t="s">
        <v>586</v>
      </c>
      <c r="C158" t="s">
        <v>1054</v>
      </c>
      <c r="D158" s="1">
        <v>2024</v>
      </c>
      <c r="E158" s="72" t="s">
        <v>1129</v>
      </c>
      <c r="F158" s="287" t="s">
        <v>1060</v>
      </c>
      <c r="G158" s="6"/>
      <c r="H158" s="6">
        <f>SUMIF(PAGOS[CHASIS],CHASIS[[#This Row],[CHASIS]],PAGOS[[PAGO ]])</f>
        <v>0</v>
      </c>
      <c r="I158" s="6">
        <f>CHASIS[[#This Row],[P/U]]-CHASIS[[#This Row],[PAGO ]]</f>
        <v>0</v>
      </c>
      <c r="J158" s="6"/>
      <c r="K158" s="6"/>
      <c r="L158" s="257" t="str">
        <f>IF(CHASIS[[#This Row],[ADEUDO]]=0,"SI","NO")</f>
        <v>SI</v>
      </c>
      <c r="M158" s="2" t="str">
        <f t="shared" si="4"/>
        <v>EN PROCESO</v>
      </c>
    </row>
    <row r="159" spans="2:22">
      <c r="B159" t="s">
        <v>586</v>
      </c>
      <c r="C159" t="s">
        <v>1055</v>
      </c>
      <c r="D159" s="1">
        <v>2024</v>
      </c>
      <c r="E159" s="72" t="s">
        <v>1129</v>
      </c>
      <c r="F159" s="287" t="s">
        <v>1060</v>
      </c>
      <c r="G159" s="6"/>
      <c r="H159" s="6">
        <f>SUMIF(PAGOS[CHASIS],CHASIS[[#This Row],[CHASIS]],PAGOS[[PAGO ]])</f>
        <v>0</v>
      </c>
      <c r="I159" s="6">
        <f>CHASIS[[#This Row],[P/U]]-CHASIS[[#This Row],[PAGO ]]</f>
        <v>0</v>
      </c>
      <c r="J159" s="6"/>
      <c r="K159" s="6"/>
      <c r="L159" s="257" t="str">
        <f>IF(CHASIS[[#This Row],[ADEUDO]]=0,"SI","NO")</f>
        <v>SI</v>
      </c>
      <c r="M159" s="2" t="str">
        <f t="shared" si="4"/>
        <v>EN PROCESO</v>
      </c>
    </row>
    <row r="160" spans="2:22">
      <c r="B160" t="s">
        <v>586</v>
      </c>
      <c r="C160" t="s">
        <v>1056</v>
      </c>
      <c r="D160" s="1">
        <v>2024</v>
      </c>
      <c r="E160" s="287" t="s">
        <v>4</v>
      </c>
      <c r="F160" s="287" t="s">
        <v>1060</v>
      </c>
      <c r="G160" s="6"/>
      <c r="H160" s="6">
        <f>SUMIF(PAGOS[CHASIS],CHASIS[[#This Row],[CHASIS]],PAGOS[[PAGO ]])</f>
        <v>0</v>
      </c>
      <c r="I160" s="6">
        <f>CHASIS[[#This Row],[P/U]]-CHASIS[[#This Row],[PAGO ]]</f>
        <v>0</v>
      </c>
      <c r="J160" s="6"/>
      <c r="K160" s="6"/>
      <c r="L160" s="257" t="str">
        <f>IF(CHASIS[[#This Row],[ADEUDO]]=0,"SI","NO")</f>
        <v>SI</v>
      </c>
      <c r="M160" s="2" t="str">
        <f>IF(K160="","EN PROCESO","ENTREGADO")</f>
        <v>EN PROCESO</v>
      </c>
    </row>
    <row r="161" spans="2:13">
      <c r="B161" t="s">
        <v>586</v>
      </c>
      <c r="C161" t="s">
        <v>1057</v>
      </c>
      <c r="D161" s="1">
        <v>2024</v>
      </c>
      <c r="E161" s="72" t="s">
        <v>1129</v>
      </c>
      <c r="F161" s="287" t="s">
        <v>1060</v>
      </c>
      <c r="G161" s="6"/>
      <c r="H161" s="6">
        <f>SUMIF(PAGOS[CHASIS],CHASIS[[#This Row],[CHASIS]],PAGOS[[PAGO ]])</f>
        <v>0</v>
      </c>
      <c r="I161" s="6">
        <f>CHASIS[[#This Row],[P/U]]-CHASIS[[#This Row],[PAGO ]]</f>
        <v>0</v>
      </c>
      <c r="J161" s="6"/>
      <c r="K161" s="6"/>
      <c r="L161" s="257" t="str">
        <f>IF(CHASIS[[#This Row],[ADEUDO]]=0,"SI","NO")</f>
        <v>SI</v>
      </c>
      <c r="M161" s="2" t="str">
        <f>IF(K161="","EN PROCESO","ENTREGADO")</f>
        <v>EN PROCESO</v>
      </c>
    </row>
    <row r="162" spans="2:13">
      <c r="B162" t="s">
        <v>586</v>
      </c>
      <c r="C162" t="s">
        <v>1058</v>
      </c>
      <c r="D162" s="1">
        <v>2024</v>
      </c>
      <c r="E162" s="72" t="s">
        <v>1129</v>
      </c>
      <c r="F162" s="287" t="s">
        <v>1060</v>
      </c>
      <c r="G162" s="6"/>
      <c r="H162" s="6">
        <f>SUMIF(PAGOS[CHASIS],CHASIS[[#This Row],[CHASIS]],PAGOS[[PAGO ]])</f>
        <v>0</v>
      </c>
      <c r="I162" s="6">
        <f>CHASIS[[#This Row],[P/U]]-CHASIS[[#This Row],[PAGO ]]</f>
        <v>0</v>
      </c>
      <c r="J162" s="6"/>
      <c r="K162" s="6"/>
      <c r="L162" s="257" t="str">
        <f>IF(CHASIS[[#This Row],[ADEUDO]]=0,"SI","NO")</f>
        <v>SI</v>
      </c>
      <c r="M162" s="2" t="str">
        <f t="shared" ref="M162:M209" si="5">IF(K162="","EN PROCESO","ENTREGADO")</f>
        <v>EN PROCESO</v>
      </c>
    </row>
    <row r="163" spans="2:13">
      <c r="B163" t="s">
        <v>586</v>
      </c>
      <c r="C163" t="s">
        <v>1059</v>
      </c>
      <c r="D163" s="1">
        <v>2024</v>
      </c>
      <c r="E163" s="287" t="s">
        <v>4</v>
      </c>
      <c r="F163" s="287" t="s">
        <v>1060</v>
      </c>
      <c r="G163" s="6"/>
      <c r="H163" s="6">
        <f>SUMIF(PAGOS[CHASIS],CHASIS[[#This Row],[CHASIS]],PAGOS[[PAGO ]])</f>
        <v>0</v>
      </c>
      <c r="I163" s="6">
        <f>CHASIS[[#This Row],[P/U]]-CHASIS[[#This Row],[PAGO ]]</f>
        <v>0</v>
      </c>
      <c r="J163" s="6"/>
      <c r="K163" s="6"/>
      <c r="L163" s="257" t="str">
        <f>IF(CHASIS[[#This Row],[ADEUDO]]=0,"SI","NO")</f>
        <v>SI</v>
      </c>
      <c r="M163" s="2" t="str">
        <f t="shared" si="5"/>
        <v>EN PROCESO</v>
      </c>
    </row>
    <row r="164" spans="2:13">
      <c r="B164" t="s">
        <v>731</v>
      </c>
      <c r="C164" t="s">
        <v>1061</v>
      </c>
      <c r="D164" s="1">
        <v>2024</v>
      </c>
      <c r="E164" s="72" t="s">
        <v>1129</v>
      </c>
      <c r="F164" s="287" t="s">
        <v>1064</v>
      </c>
      <c r="G164" s="6"/>
      <c r="H164" s="6">
        <f>SUMIF(PAGOS[CHASIS],CHASIS[[#This Row],[CHASIS]],PAGOS[[PAGO ]])</f>
        <v>0</v>
      </c>
      <c r="I164" s="6">
        <f>CHASIS[[#This Row],[P/U]]-CHASIS[[#This Row],[PAGO ]]</f>
        <v>0</v>
      </c>
      <c r="J164" s="6"/>
      <c r="K164" s="6"/>
      <c r="L164" s="257" t="str">
        <f>IF(CHASIS[[#This Row],[ADEUDO]]=0,"SI","NO")</f>
        <v>SI</v>
      </c>
      <c r="M164" s="2" t="str">
        <f t="shared" si="5"/>
        <v>EN PROCESO</v>
      </c>
    </row>
    <row r="165" spans="2:13">
      <c r="B165" t="s">
        <v>731</v>
      </c>
      <c r="C165" t="s">
        <v>1062</v>
      </c>
      <c r="D165" s="1">
        <v>2024</v>
      </c>
      <c r="E165" s="72" t="s">
        <v>1129</v>
      </c>
      <c r="F165" s="287" t="s">
        <v>1064</v>
      </c>
      <c r="G165" s="6"/>
      <c r="H165" s="6">
        <f>SUMIF(PAGOS[CHASIS],CHASIS[[#This Row],[CHASIS]],PAGOS[[PAGO ]])</f>
        <v>0</v>
      </c>
      <c r="I165" s="6">
        <f>CHASIS[[#This Row],[P/U]]-CHASIS[[#This Row],[PAGO ]]</f>
        <v>0</v>
      </c>
      <c r="J165" s="6"/>
      <c r="K165" s="6"/>
      <c r="L165" s="257" t="str">
        <f>IF(CHASIS[[#This Row],[ADEUDO]]=0,"SI","NO")</f>
        <v>SI</v>
      </c>
      <c r="M165" s="2" t="str">
        <f t="shared" si="5"/>
        <v>EN PROCESO</v>
      </c>
    </row>
    <row r="166" spans="2:13">
      <c r="B166" t="s">
        <v>731</v>
      </c>
      <c r="C166" t="s">
        <v>1063</v>
      </c>
      <c r="D166" s="1">
        <v>2024</v>
      </c>
      <c r="E166" s="287" t="s">
        <v>4</v>
      </c>
      <c r="F166" s="287" t="s">
        <v>1064</v>
      </c>
      <c r="G166" s="6"/>
      <c r="H166" s="6">
        <f>SUMIF(PAGOS[CHASIS],CHASIS[[#This Row],[CHASIS]],PAGOS[[PAGO ]])</f>
        <v>0</v>
      </c>
      <c r="I166" s="6">
        <f>CHASIS[[#This Row],[P/U]]-CHASIS[[#This Row],[PAGO ]]</f>
        <v>0</v>
      </c>
      <c r="J166" s="6"/>
      <c r="K166" s="6"/>
      <c r="L166" s="257" t="str">
        <f>IF(CHASIS[[#This Row],[ADEUDO]]=0,"SI","NO")</f>
        <v>SI</v>
      </c>
      <c r="M166" s="2" t="str">
        <f t="shared" si="5"/>
        <v>EN PROCESO</v>
      </c>
    </row>
    <row r="167" spans="2:13">
      <c r="B167" t="s">
        <v>1065</v>
      </c>
      <c r="C167" t="s">
        <v>1066</v>
      </c>
      <c r="D167" s="1">
        <v>2024</v>
      </c>
      <c r="E167" s="287" t="s">
        <v>1070</v>
      </c>
      <c r="F167" s="287" t="s">
        <v>1050</v>
      </c>
      <c r="G167" s="6"/>
      <c r="H167" s="6">
        <f>SUMIF(PAGOS[CHASIS],CHASIS[[#This Row],[CHASIS]],PAGOS[[PAGO ]])</f>
        <v>0</v>
      </c>
      <c r="I167" s="6">
        <f>CHASIS[[#This Row],[P/U]]-CHASIS[[#This Row],[PAGO ]]</f>
        <v>0</v>
      </c>
      <c r="J167" s="6"/>
      <c r="K167" s="257">
        <v>45192</v>
      </c>
      <c r="L167" s="257" t="str">
        <f>IF(CHASIS[[#This Row],[ADEUDO]]=0,"SI","NO")</f>
        <v>SI</v>
      </c>
      <c r="M167" s="2" t="str">
        <f t="shared" si="5"/>
        <v>ENTREGADO</v>
      </c>
    </row>
    <row r="168" spans="2:13">
      <c r="B168" t="s">
        <v>1069</v>
      </c>
      <c r="C168" t="s">
        <v>1067</v>
      </c>
      <c r="D168" s="1">
        <v>2024</v>
      </c>
      <c r="E168" s="287" t="s">
        <v>4</v>
      </c>
      <c r="F168" s="287" t="s">
        <v>1068</v>
      </c>
      <c r="G168" s="6"/>
      <c r="H168" s="6">
        <f>SUMIF(PAGOS[CHASIS],CHASIS[[#This Row],[CHASIS]],PAGOS[[PAGO ]])</f>
        <v>0</v>
      </c>
      <c r="I168" s="6">
        <f>CHASIS[[#This Row],[P/U]]-CHASIS[[#This Row],[PAGO ]]</f>
        <v>0</v>
      </c>
      <c r="J168" s="6"/>
      <c r="K168" s="257">
        <v>45153</v>
      </c>
      <c r="L168" s="257" t="str">
        <f>IF(CHASIS[[#This Row],[ADEUDO]]=0,"SI","NO")</f>
        <v>SI</v>
      </c>
      <c r="M168" s="2" t="str">
        <f t="shared" si="5"/>
        <v>ENTREGADO</v>
      </c>
    </row>
    <row r="169" spans="2:13">
      <c r="B169" t="s">
        <v>1071</v>
      </c>
      <c r="C169" t="s">
        <v>1072</v>
      </c>
      <c r="D169" s="1">
        <v>2024</v>
      </c>
      <c r="E169" s="287" t="s">
        <v>4</v>
      </c>
      <c r="F169" s="287" t="s">
        <v>1068</v>
      </c>
      <c r="G169" s="6"/>
      <c r="H169" s="6">
        <f>SUMIF(PAGOS[CHASIS],CHASIS[[#This Row],[CHASIS]],PAGOS[[PAGO ]])</f>
        <v>0</v>
      </c>
      <c r="I169" s="6">
        <f>CHASIS[[#This Row],[P/U]]-CHASIS[[#This Row],[PAGO ]]</f>
        <v>0</v>
      </c>
      <c r="J169" s="6"/>
      <c r="K169" s="6"/>
      <c r="L169" s="257" t="str">
        <f>IF(CHASIS[[#This Row],[ADEUDO]]=0,"SI","NO")</f>
        <v>SI</v>
      </c>
      <c r="M169" s="2" t="str">
        <f t="shared" si="5"/>
        <v>EN PROCESO</v>
      </c>
    </row>
    <row r="170" spans="2:13">
      <c r="B170" t="s">
        <v>816</v>
      </c>
      <c r="C170" t="s">
        <v>1073</v>
      </c>
      <c r="D170" s="1">
        <v>2024</v>
      </c>
      <c r="E170" s="72" t="s">
        <v>1129</v>
      </c>
      <c r="F170" s="287" t="s">
        <v>1068</v>
      </c>
      <c r="G170" s="6"/>
      <c r="H170" s="6">
        <f>SUMIF(PAGOS[CHASIS],CHASIS[[#This Row],[CHASIS]],PAGOS[[PAGO ]])</f>
        <v>0</v>
      </c>
      <c r="I170" s="6">
        <f>CHASIS[[#This Row],[P/U]]-CHASIS[[#This Row],[PAGO ]]</f>
        <v>0</v>
      </c>
      <c r="J170" s="6"/>
      <c r="K170" s="6"/>
      <c r="L170" s="257" t="str">
        <f>IF(CHASIS[[#This Row],[ADEUDO]]=0,"SI","NO")</f>
        <v>SI</v>
      </c>
      <c r="M170" s="2" t="str">
        <f t="shared" si="5"/>
        <v>EN PROCESO</v>
      </c>
    </row>
    <row r="171" spans="2:13">
      <c r="B171" t="s">
        <v>1074</v>
      </c>
      <c r="C171" t="s">
        <v>1075</v>
      </c>
      <c r="D171" s="1">
        <v>2024</v>
      </c>
      <c r="E171" s="72" t="s">
        <v>1129</v>
      </c>
      <c r="F171" s="287" t="s">
        <v>1043</v>
      </c>
      <c r="G171" s="6"/>
      <c r="H171" s="6">
        <f>SUMIF(PAGOS[CHASIS],CHASIS[[#This Row],[CHASIS]],PAGOS[[PAGO ]])</f>
        <v>0</v>
      </c>
      <c r="I171" s="6">
        <f>CHASIS[[#This Row],[P/U]]-CHASIS[[#This Row],[PAGO ]]</f>
        <v>0</v>
      </c>
      <c r="J171" s="6"/>
      <c r="K171" s="6"/>
      <c r="L171" s="257" t="str">
        <f>IF(CHASIS[[#This Row],[ADEUDO]]=0,"SI","NO")</f>
        <v>SI</v>
      </c>
      <c r="M171" s="2" t="str">
        <f t="shared" si="5"/>
        <v>EN PROCESO</v>
      </c>
    </row>
    <row r="172" spans="2:13">
      <c r="B172" t="s">
        <v>1074</v>
      </c>
      <c r="C172" t="s">
        <v>1076</v>
      </c>
      <c r="D172" s="1">
        <v>2024</v>
      </c>
      <c r="E172" s="72" t="s">
        <v>1129</v>
      </c>
      <c r="F172" s="287" t="s">
        <v>1043</v>
      </c>
      <c r="G172" s="6"/>
      <c r="H172" s="6">
        <f>SUMIF(PAGOS[CHASIS],CHASIS[[#This Row],[CHASIS]],PAGOS[[PAGO ]])</f>
        <v>0</v>
      </c>
      <c r="I172" s="6">
        <f>CHASIS[[#This Row],[P/U]]-CHASIS[[#This Row],[PAGO ]]</f>
        <v>0</v>
      </c>
      <c r="J172" s="6"/>
      <c r="K172" s="6"/>
      <c r="L172" s="257" t="str">
        <f>IF(CHASIS[[#This Row],[ADEUDO]]=0,"SI","NO")</f>
        <v>SI</v>
      </c>
      <c r="M172" s="2" t="str">
        <f t="shared" si="5"/>
        <v>EN PROCESO</v>
      </c>
    </row>
    <row r="173" spans="2:13">
      <c r="B173" t="s">
        <v>1074</v>
      </c>
      <c r="C173" t="s">
        <v>1077</v>
      </c>
      <c r="D173" s="1">
        <v>2024</v>
      </c>
      <c r="E173" s="287" t="s">
        <v>4</v>
      </c>
      <c r="F173" s="287" t="s">
        <v>1043</v>
      </c>
      <c r="G173" s="6"/>
      <c r="H173" s="6">
        <f>SUMIF(PAGOS[CHASIS],CHASIS[[#This Row],[CHASIS]],PAGOS[[PAGO ]])</f>
        <v>0</v>
      </c>
      <c r="I173" s="6">
        <f>CHASIS[[#This Row],[P/U]]-CHASIS[[#This Row],[PAGO ]]</f>
        <v>0</v>
      </c>
      <c r="J173" s="6"/>
      <c r="K173" s="6"/>
      <c r="L173" s="257" t="str">
        <f>IF(CHASIS[[#This Row],[ADEUDO]]=0,"SI","NO")</f>
        <v>SI</v>
      </c>
      <c r="M173" s="2" t="str">
        <f t="shared" si="5"/>
        <v>EN PROCESO</v>
      </c>
    </row>
    <row r="174" spans="2:13">
      <c r="B174" t="s">
        <v>1078</v>
      </c>
      <c r="C174" t="s">
        <v>1079</v>
      </c>
      <c r="D174" s="1">
        <v>2024</v>
      </c>
      <c r="E174" s="287" t="s">
        <v>1132</v>
      </c>
      <c r="F174" s="287" t="s">
        <v>1080</v>
      </c>
      <c r="G174" s="6"/>
      <c r="H174" s="6">
        <f>SUMIF(PAGOS[CHASIS],CHASIS[[#This Row],[CHASIS]],PAGOS[[PAGO ]])</f>
        <v>0</v>
      </c>
      <c r="I174" s="6">
        <f>CHASIS[[#This Row],[P/U]]-CHASIS[[#This Row],[PAGO ]]</f>
        <v>0</v>
      </c>
      <c r="J174" s="6"/>
      <c r="K174" s="6"/>
      <c r="L174" s="257" t="str">
        <f>IF(CHASIS[[#This Row],[ADEUDO]]=0,"SI","NO")</f>
        <v>SI</v>
      </c>
      <c r="M174" s="2" t="str">
        <f t="shared" si="5"/>
        <v>EN PROCESO</v>
      </c>
    </row>
    <row r="175" spans="2:13">
      <c r="B175" t="s">
        <v>1081</v>
      </c>
      <c r="C175" t="s">
        <v>1082</v>
      </c>
      <c r="D175" s="1">
        <v>2024</v>
      </c>
      <c r="E175" s="72" t="s">
        <v>1129</v>
      </c>
      <c r="F175" s="287" t="s">
        <v>1043</v>
      </c>
      <c r="G175" s="6"/>
      <c r="H175" s="6">
        <f>SUMIF(PAGOS[CHASIS],CHASIS[[#This Row],[CHASIS]],PAGOS[[PAGO ]])</f>
        <v>0</v>
      </c>
      <c r="I175" s="6">
        <f>CHASIS[[#This Row],[P/U]]-CHASIS[[#This Row],[PAGO ]]</f>
        <v>0</v>
      </c>
      <c r="J175" s="6"/>
      <c r="K175" s="6"/>
      <c r="L175" s="257" t="str">
        <f>IF(CHASIS[[#This Row],[ADEUDO]]=0,"SI","NO")</f>
        <v>SI</v>
      </c>
      <c r="M175" s="2" t="str">
        <f t="shared" si="5"/>
        <v>EN PROCESO</v>
      </c>
    </row>
    <row r="176" spans="2:13">
      <c r="B176" t="s">
        <v>1081</v>
      </c>
      <c r="C176" t="s">
        <v>1083</v>
      </c>
      <c r="D176" s="1">
        <v>2024</v>
      </c>
      <c r="E176" s="72" t="s">
        <v>1129</v>
      </c>
      <c r="F176" s="287" t="s">
        <v>1043</v>
      </c>
      <c r="G176" s="6"/>
      <c r="H176" s="6">
        <f>SUMIF(PAGOS[CHASIS],CHASIS[[#This Row],[CHASIS]],PAGOS[[PAGO ]])</f>
        <v>0</v>
      </c>
      <c r="I176" s="6">
        <f>CHASIS[[#This Row],[P/U]]-CHASIS[[#This Row],[PAGO ]]</f>
        <v>0</v>
      </c>
      <c r="J176" s="6"/>
      <c r="K176" s="6"/>
      <c r="L176" s="257" t="str">
        <f>IF(CHASIS[[#This Row],[ADEUDO]]=0,"SI","NO")</f>
        <v>SI</v>
      </c>
      <c r="M176" s="2" t="str">
        <f t="shared" si="5"/>
        <v>EN PROCESO</v>
      </c>
    </row>
    <row r="177" spans="2:13">
      <c r="B177" t="s">
        <v>1081</v>
      </c>
      <c r="C177" t="s">
        <v>1084</v>
      </c>
      <c r="D177" s="1">
        <v>2024</v>
      </c>
      <c r="E177" s="287" t="s">
        <v>4</v>
      </c>
      <c r="F177" s="287" t="s">
        <v>1043</v>
      </c>
      <c r="G177" s="6"/>
      <c r="H177" s="6">
        <f>SUMIF(PAGOS[CHASIS],CHASIS[[#This Row],[CHASIS]],PAGOS[[PAGO ]])</f>
        <v>0</v>
      </c>
      <c r="I177" s="6">
        <f>CHASIS[[#This Row],[P/U]]-CHASIS[[#This Row],[PAGO ]]</f>
        <v>0</v>
      </c>
      <c r="J177" s="6"/>
      <c r="K177" s="6"/>
      <c r="L177" s="257" t="str">
        <f>IF(CHASIS[[#This Row],[ADEUDO]]=0,"SI","NO")</f>
        <v>SI</v>
      </c>
      <c r="M177" s="2" t="str">
        <f t="shared" si="5"/>
        <v>EN PROCESO</v>
      </c>
    </row>
    <row r="178" spans="2:13">
      <c r="B178" t="s">
        <v>825</v>
      </c>
      <c r="C178" t="s">
        <v>1085</v>
      </c>
      <c r="D178" s="1">
        <v>2024</v>
      </c>
      <c r="E178" s="287" t="s">
        <v>1131</v>
      </c>
      <c r="F178" s="287" t="s">
        <v>1086</v>
      </c>
      <c r="G178" s="6"/>
      <c r="H178" s="6">
        <f>SUMIF(PAGOS[CHASIS],CHASIS[[#This Row],[CHASIS]],PAGOS[[PAGO ]])</f>
        <v>0</v>
      </c>
      <c r="I178" s="6">
        <f>CHASIS[[#This Row],[P/U]]-CHASIS[[#This Row],[PAGO ]]</f>
        <v>0</v>
      </c>
      <c r="J178" s="6"/>
      <c r="K178" s="6"/>
      <c r="L178" s="257" t="str">
        <f>IF(CHASIS[[#This Row],[ADEUDO]]=0,"SI","NO")</f>
        <v>SI</v>
      </c>
      <c r="M178" s="2" t="str">
        <f t="shared" si="5"/>
        <v>EN PROCESO</v>
      </c>
    </row>
    <row r="179" spans="2:13">
      <c r="B179" t="s">
        <v>1091</v>
      </c>
      <c r="C179" t="s">
        <v>1087</v>
      </c>
      <c r="D179" s="1">
        <v>2024</v>
      </c>
      <c r="E179" s="72" t="s">
        <v>1129</v>
      </c>
      <c r="F179" s="287" t="s">
        <v>1043</v>
      </c>
      <c r="G179" s="6"/>
      <c r="H179" s="6">
        <f>SUMIF(PAGOS[CHASIS],CHASIS[[#This Row],[CHASIS]],PAGOS[[PAGO ]])</f>
        <v>0</v>
      </c>
      <c r="I179" s="6">
        <f>CHASIS[[#This Row],[P/U]]-CHASIS[[#This Row],[PAGO ]]</f>
        <v>0</v>
      </c>
      <c r="J179" s="6"/>
      <c r="K179" s="6"/>
      <c r="L179" s="257" t="str">
        <f>IF(CHASIS[[#This Row],[ADEUDO]]=0,"SI","NO")</f>
        <v>SI</v>
      </c>
      <c r="M179" s="2" t="str">
        <f t="shared" si="5"/>
        <v>EN PROCESO</v>
      </c>
    </row>
    <row r="180" spans="2:13">
      <c r="B180" t="s">
        <v>1091</v>
      </c>
      <c r="C180" t="s">
        <v>1088</v>
      </c>
      <c r="D180" s="1">
        <v>2024</v>
      </c>
      <c r="E180" s="72" t="s">
        <v>1129</v>
      </c>
      <c r="F180" s="287" t="s">
        <v>1043</v>
      </c>
      <c r="G180" s="6"/>
      <c r="H180" s="6">
        <f>SUMIF(PAGOS[CHASIS],CHASIS[[#This Row],[CHASIS]],PAGOS[[PAGO ]])</f>
        <v>0</v>
      </c>
      <c r="I180" s="6">
        <f>CHASIS[[#This Row],[P/U]]-CHASIS[[#This Row],[PAGO ]]</f>
        <v>0</v>
      </c>
      <c r="J180" s="6"/>
      <c r="K180" s="6"/>
      <c r="L180" s="257" t="str">
        <f>IF(CHASIS[[#This Row],[ADEUDO]]=0,"SI","NO")</f>
        <v>SI</v>
      </c>
      <c r="M180" s="2" t="str">
        <f t="shared" si="5"/>
        <v>EN PROCESO</v>
      </c>
    </row>
    <row r="181" spans="2:13">
      <c r="B181" t="s">
        <v>1091</v>
      </c>
      <c r="C181" t="s">
        <v>1089</v>
      </c>
      <c r="D181" s="1">
        <v>2024</v>
      </c>
      <c r="E181" s="72" t="s">
        <v>1129</v>
      </c>
      <c r="F181" s="287" t="s">
        <v>1043</v>
      </c>
      <c r="G181" s="6"/>
      <c r="H181" s="6">
        <f>SUMIF(PAGOS[CHASIS],CHASIS[[#This Row],[CHASIS]],PAGOS[[PAGO ]])</f>
        <v>0</v>
      </c>
      <c r="I181" s="6">
        <f>CHASIS[[#This Row],[P/U]]-CHASIS[[#This Row],[PAGO ]]</f>
        <v>0</v>
      </c>
      <c r="J181" s="6"/>
      <c r="K181" s="6"/>
      <c r="L181" s="257" t="str">
        <f>IF(CHASIS[[#This Row],[ADEUDO]]=0,"SI","NO")</f>
        <v>SI</v>
      </c>
      <c r="M181" s="2" t="str">
        <f t="shared" si="5"/>
        <v>EN PROCESO</v>
      </c>
    </row>
    <row r="182" spans="2:13">
      <c r="B182" t="s">
        <v>1091</v>
      </c>
      <c r="C182" t="s">
        <v>1090</v>
      </c>
      <c r="D182" s="1">
        <v>2024</v>
      </c>
      <c r="E182" s="72" t="s">
        <v>1129</v>
      </c>
      <c r="F182" s="287" t="s">
        <v>1043</v>
      </c>
      <c r="G182" s="6"/>
      <c r="H182" s="6">
        <f>SUMIF(PAGOS[CHASIS],CHASIS[[#This Row],[CHASIS]],PAGOS[[PAGO ]])</f>
        <v>0</v>
      </c>
      <c r="I182" s="6">
        <f>CHASIS[[#This Row],[P/U]]-CHASIS[[#This Row],[PAGO ]]</f>
        <v>0</v>
      </c>
      <c r="J182" s="6"/>
      <c r="K182" s="6"/>
      <c r="L182" s="257" t="str">
        <f>IF(CHASIS[[#This Row],[ADEUDO]]=0,"SI","NO")</f>
        <v>SI</v>
      </c>
      <c r="M182" s="2" t="str">
        <f t="shared" si="5"/>
        <v>EN PROCESO</v>
      </c>
    </row>
    <row r="183" spans="2:13">
      <c r="B183" t="s">
        <v>634</v>
      </c>
      <c r="C183" t="s">
        <v>1092</v>
      </c>
      <c r="D183" s="1">
        <v>2024</v>
      </c>
      <c r="E183" s="287" t="s">
        <v>1093</v>
      </c>
      <c r="F183" s="287" t="s">
        <v>1053</v>
      </c>
      <c r="G183" s="6"/>
      <c r="H183" s="6">
        <f>SUMIF(PAGOS[CHASIS],CHASIS[[#This Row],[CHASIS]],PAGOS[[PAGO ]])</f>
        <v>0</v>
      </c>
      <c r="I183" s="6">
        <f>CHASIS[[#This Row],[P/U]]-CHASIS[[#This Row],[PAGO ]]</f>
        <v>0</v>
      </c>
      <c r="J183" s="6"/>
      <c r="K183" s="6"/>
      <c r="L183" s="257" t="str">
        <f>IF(CHASIS[[#This Row],[ADEUDO]]=0,"SI","NO")</f>
        <v>SI</v>
      </c>
      <c r="M183" s="2" t="str">
        <f t="shared" si="5"/>
        <v>EN PROCESO</v>
      </c>
    </row>
    <row r="184" spans="2:13">
      <c r="B184" t="s">
        <v>1094</v>
      </c>
      <c r="C184" t="s">
        <v>1095</v>
      </c>
      <c r="D184" s="1">
        <v>2024</v>
      </c>
      <c r="E184" s="287" t="s">
        <v>1093</v>
      </c>
      <c r="F184" s="287" t="s">
        <v>1053</v>
      </c>
      <c r="G184" s="6"/>
      <c r="H184" s="6">
        <f>SUMIF(PAGOS[CHASIS],CHASIS[[#This Row],[CHASIS]],PAGOS[[PAGO ]])</f>
        <v>0</v>
      </c>
      <c r="I184" s="6">
        <f>CHASIS[[#This Row],[P/U]]-CHASIS[[#This Row],[PAGO ]]</f>
        <v>0</v>
      </c>
      <c r="J184" s="6"/>
      <c r="K184" s="257">
        <v>45176</v>
      </c>
      <c r="L184" s="257" t="str">
        <f>IF(CHASIS[[#This Row],[ADEUDO]]=0,"SI","NO")</f>
        <v>SI</v>
      </c>
      <c r="M184" s="2" t="str">
        <f t="shared" si="5"/>
        <v>ENTREGADO</v>
      </c>
    </row>
    <row r="185" spans="2:13">
      <c r="B185" t="s">
        <v>766</v>
      </c>
      <c r="C185" t="s">
        <v>1096</v>
      </c>
      <c r="D185" s="1">
        <v>2024</v>
      </c>
      <c r="E185" s="72" t="s">
        <v>1129</v>
      </c>
      <c r="F185" s="287" t="s">
        <v>1043</v>
      </c>
      <c r="G185" s="6"/>
      <c r="H185" s="6">
        <f>SUMIF(PAGOS[CHASIS],CHASIS[[#This Row],[CHASIS]],PAGOS[[PAGO ]])</f>
        <v>0</v>
      </c>
      <c r="I185" s="6">
        <f>CHASIS[[#This Row],[P/U]]-CHASIS[[#This Row],[PAGO ]]</f>
        <v>0</v>
      </c>
      <c r="J185" s="6"/>
      <c r="K185" s="6"/>
      <c r="L185" s="257" t="str">
        <f>IF(CHASIS[[#This Row],[ADEUDO]]=0,"SI","NO")</f>
        <v>SI</v>
      </c>
      <c r="M185" s="2" t="str">
        <f t="shared" si="5"/>
        <v>EN PROCESO</v>
      </c>
    </row>
    <row r="186" spans="2:13">
      <c r="B186" t="s">
        <v>1098</v>
      </c>
      <c r="C186" t="s">
        <v>1097</v>
      </c>
      <c r="D186" s="1">
        <v>2024</v>
      </c>
      <c r="E186" s="72" t="s">
        <v>1129</v>
      </c>
      <c r="F186" s="287" t="s">
        <v>1043</v>
      </c>
      <c r="G186" s="6"/>
      <c r="H186" s="6">
        <f>SUMIF(PAGOS[CHASIS],CHASIS[[#This Row],[CHASIS]],PAGOS[[PAGO ]])</f>
        <v>0</v>
      </c>
      <c r="I186" s="6">
        <f>CHASIS[[#This Row],[P/U]]-CHASIS[[#This Row],[PAGO ]]</f>
        <v>0</v>
      </c>
      <c r="J186" s="6"/>
      <c r="K186" s="6"/>
      <c r="L186" s="257" t="str">
        <f>IF(CHASIS[[#This Row],[ADEUDO]]=0,"SI","NO")</f>
        <v>SI</v>
      </c>
      <c r="M186" s="2" t="str">
        <f t="shared" si="5"/>
        <v>EN PROCESO</v>
      </c>
    </row>
    <row r="187" spans="2:13">
      <c r="B187" t="s">
        <v>808</v>
      </c>
      <c r="C187" t="s">
        <v>1099</v>
      </c>
      <c r="D187" s="1">
        <v>2024</v>
      </c>
      <c r="E187" s="72" t="s">
        <v>1129</v>
      </c>
      <c r="F187" s="287" t="s">
        <v>1101</v>
      </c>
      <c r="G187" s="6"/>
      <c r="H187" s="6">
        <f>SUMIF(PAGOS[CHASIS],CHASIS[[#This Row],[CHASIS]],PAGOS[[PAGO ]])</f>
        <v>0</v>
      </c>
      <c r="I187" s="6">
        <f>CHASIS[[#This Row],[P/U]]-CHASIS[[#This Row],[PAGO ]]</f>
        <v>0</v>
      </c>
      <c r="J187" s="6"/>
      <c r="K187" s="6"/>
      <c r="L187" s="257" t="str">
        <f>IF(CHASIS[[#This Row],[ADEUDO]]=0,"SI","NO")</f>
        <v>SI</v>
      </c>
      <c r="M187" s="2" t="str">
        <f t="shared" si="5"/>
        <v>EN PROCESO</v>
      </c>
    </row>
    <row r="188" spans="2:13">
      <c r="B188" t="s">
        <v>808</v>
      </c>
      <c r="C188" t="s">
        <v>1100</v>
      </c>
      <c r="D188" s="1">
        <v>2024</v>
      </c>
      <c r="E188" s="72" t="s">
        <v>1129</v>
      </c>
      <c r="F188" s="287" t="s">
        <v>1101</v>
      </c>
      <c r="G188" s="6"/>
      <c r="H188" s="6">
        <f>SUMIF(PAGOS[CHASIS],CHASIS[[#This Row],[CHASIS]],PAGOS[[PAGO ]])</f>
        <v>0</v>
      </c>
      <c r="I188" s="6">
        <f>CHASIS[[#This Row],[P/U]]-CHASIS[[#This Row],[PAGO ]]</f>
        <v>0</v>
      </c>
      <c r="J188" s="6"/>
      <c r="K188" s="6"/>
      <c r="L188" s="257" t="str">
        <f>IF(CHASIS[[#This Row],[ADEUDO]]=0,"SI","NO")</f>
        <v>SI</v>
      </c>
      <c r="M188" s="2" t="str">
        <f t="shared" si="5"/>
        <v>EN PROCESO</v>
      </c>
    </row>
    <row r="189" spans="2:13">
      <c r="B189" t="s">
        <v>808</v>
      </c>
      <c r="C189" s="260" t="s">
        <v>1102</v>
      </c>
      <c r="D189" s="1">
        <v>2024</v>
      </c>
      <c r="E189" s="287" t="s">
        <v>4</v>
      </c>
      <c r="F189" s="287" t="s">
        <v>1101</v>
      </c>
      <c r="G189" s="6"/>
      <c r="H189" s="6">
        <f>SUMIF(PAGOS[CHASIS],CHASIS[[#This Row],[CHASIS]],PAGOS[[PAGO ]])</f>
        <v>0</v>
      </c>
      <c r="I189" s="6">
        <f>CHASIS[[#This Row],[P/U]]-CHASIS[[#This Row],[PAGO ]]</f>
        <v>0</v>
      </c>
      <c r="J189" s="6"/>
      <c r="K189" s="6"/>
      <c r="L189" s="257" t="str">
        <f>IF(CHASIS[[#This Row],[ADEUDO]]=0,"SI","NO")</f>
        <v>SI</v>
      </c>
      <c r="M189" s="2" t="str">
        <f t="shared" si="5"/>
        <v>EN PROCESO</v>
      </c>
    </row>
    <row r="190" spans="2:13" hidden="1">
      <c r="C190" s="260" t="s">
        <v>1103</v>
      </c>
      <c r="D190" s="1">
        <v>2024</v>
      </c>
      <c r="E190" s="72" t="s">
        <v>1129</v>
      </c>
      <c r="F190" s="287" t="s">
        <v>1045</v>
      </c>
      <c r="G190" s="6"/>
      <c r="H190" s="6">
        <f>SUMIF(PAGOS[CHASIS],CHASIS[[#This Row],[CHASIS]],PAGOS[[PAGO ]])</f>
        <v>0</v>
      </c>
      <c r="I190" s="6">
        <f>CHASIS[[#This Row],[P/U]]-CHASIS[[#This Row],[PAGO ]]</f>
        <v>0</v>
      </c>
      <c r="J190" s="6"/>
      <c r="K190" s="6"/>
      <c r="L190" s="257" t="str">
        <f>IF(CHASIS[[#This Row],[ADEUDO]]=0,"SI","NO")</f>
        <v>SI</v>
      </c>
      <c r="M190" s="2" t="str">
        <f t="shared" si="5"/>
        <v>EN PROCESO</v>
      </c>
    </row>
    <row r="191" spans="2:13" hidden="1">
      <c r="C191" s="260" t="s">
        <v>1104</v>
      </c>
      <c r="D191" s="1">
        <v>2024</v>
      </c>
      <c r="E191" s="72" t="s">
        <v>1129</v>
      </c>
      <c r="F191" s="287" t="s">
        <v>1045</v>
      </c>
      <c r="G191" s="6"/>
      <c r="H191" s="6">
        <f>SUMIF(PAGOS[CHASIS],CHASIS[[#This Row],[CHASIS]],PAGOS[[PAGO ]])</f>
        <v>0</v>
      </c>
      <c r="I191" s="6">
        <f>CHASIS[[#This Row],[P/U]]-CHASIS[[#This Row],[PAGO ]]</f>
        <v>0</v>
      </c>
      <c r="J191" s="6"/>
      <c r="K191" s="6"/>
      <c r="L191" s="257" t="str">
        <f>IF(CHASIS[[#This Row],[ADEUDO]]=0,"SI","NO")</f>
        <v>SI</v>
      </c>
      <c r="M191" s="2" t="str">
        <f t="shared" si="5"/>
        <v>EN PROCESO</v>
      </c>
    </row>
    <row r="192" spans="2:13" hidden="1">
      <c r="C192" s="260" t="s">
        <v>1105</v>
      </c>
      <c r="D192" s="1">
        <v>2024</v>
      </c>
      <c r="E192" s="287" t="s">
        <v>4</v>
      </c>
      <c r="F192" s="287" t="s">
        <v>1045</v>
      </c>
      <c r="G192" s="6"/>
      <c r="H192" s="6">
        <f>SUMIF(PAGOS[CHASIS],CHASIS[[#This Row],[CHASIS]],PAGOS[[PAGO ]])</f>
        <v>0</v>
      </c>
      <c r="I192" s="6">
        <f>CHASIS[[#This Row],[P/U]]-CHASIS[[#This Row],[PAGO ]]</f>
        <v>0</v>
      </c>
      <c r="J192" s="6"/>
      <c r="K192" s="6"/>
      <c r="L192" s="257" t="str">
        <f>IF(CHASIS[[#This Row],[ADEUDO]]=0,"SI","NO")</f>
        <v>SI</v>
      </c>
      <c r="M192" s="2" t="str">
        <f t="shared" si="5"/>
        <v>EN PROCESO</v>
      </c>
    </row>
    <row r="193" spans="2:13">
      <c r="B193" t="s">
        <v>1106</v>
      </c>
      <c r="C193" s="260" t="s">
        <v>1107</v>
      </c>
      <c r="D193" s="1">
        <v>2024</v>
      </c>
      <c r="E193" s="287" t="s">
        <v>4</v>
      </c>
      <c r="F193" s="287" t="s">
        <v>1050</v>
      </c>
      <c r="G193" s="6"/>
      <c r="H193" s="6">
        <f>SUMIF(PAGOS[CHASIS],CHASIS[[#This Row],[CHASIS]],PAGOS[[PAGO ]])</f>
        <v>0</v>
      </c>
      <c r="I193" s="6">
        <f>CHASIS[[#This Row],[P/U]]-CHASIS[[#This Row],[PAGO ]]</f>
        <v>0</v>
      </c>
      <c r="J193" s="6"/>
      <c r="K193" s="6"/>
      <c r="L193" s="257" t="str">
        <f>IF(CHASIS[[#This Row],[ADEUDO]]=0,"SI","NO")</f>
        <v>SI</v>
      </c>
      <c r="M193" s="2" t="str">
        <f t="shared" si="5"/>
        <v>EN PROCESO</v>
      </c>
    </row>
    <row r="194" spans="2:13">
      <c r="B194" t="s">
        <v>585</v>
      </c>
      <c r="C194" s="260" t="s">
        <v>1108</v>
      </c>
      <c r="D194" s="1">
        <v>2024</v>
      </c>
      <c r="E194" s="72" t="s">
        <v>1129</v>
      </c>
      <c r="F194" s="287" t="s">
        <v>1043</v>
      </c>
      <c r="G194" s="6"/>
      <c r="H194" s="6">
        <f>SUMIF(PAGOS[CHASIS],CHASIS[[#This Row],[CHASIS]],PAGOS[[PAGO ]])</f>
        <v>0</v>
      </c>
      <c r="I194" s="6">
        <f>CHASIS[[#This Row],[P/U]]-CHASIS[[#This Row],[PAGO ]]</f>
        <v>0</v>
      </c>
      <c r="J194" s="6"/>
      <c r="K194" s="6"/>
      <c r="L194" s="257" t="str">
        <f>IF(CHASIS[[#This Row],[ADEUDO]]=0,"SI","NO")</f>
        <v>SI</v>
      </c>
      <c r="M194" s="2" t="str">
        <f t="shared" si="5"/>
        <v>EN PROCESO</v>
      </c>
    </row>
    <row r="195" spans="2:13">
      <c r="B195" t="s">
        <v>585</v>
      </c>
      <c r="C195" s="260" t="s">
        <v>1109</v>
      </c>
      <c r="D195" s="1">
        <v>2024</v>
      </c>
      <c r="E195" s="72" t="s">
        <v>1129</v>
      </c>
      <c r="F195" s="287" t="s">
        <v>1043</v>
      </c>
      <c r="G195" s="6"/>
      <c r="H195" s="6">
        <f>SUMIF(PAGOS[CHASIS],CHASIS[[#This Row],[CHASIS]],PAGOS[[PAGO ]])</f>
        <v>0</v>
      </c>
      <c r="I195" s="6">
        <f>CHASIS[[#This Row],[P/U]]-CHASIS[[#This Row],[PAGO ]]</f>
        <v>0</v>
      </c>
      <c r="J195" s="6"/>
      <c r="K195" s="6"/>
      <c r="L195" s="257" t="str">
        <f>IF(CHASIS[[#This Row],[ADEUDO]]=0,"SI","NO")</f>
        <v>SI</v>
      </c>
      <c r="M195" s="2" t="str">
        <f t="shared" si="5"/>
        <v>EN PROCESO</v>
      </c>
    </row>
    <row r="196" spans="2:13">
      <c r="B196" t="s">
        <v>585</v>
      </c>
      <c r="C196" s="260" t="s">
        <v>1110</v>
      </c>
      <c r="D196" s="1">
        <v>2024</v>
      </c>
      <c r="E196" s="287" t="s">
        <v>4</v>
      </c>
      <c r="F196" s="287" t="s">
        <v>1043</v>
      </c>
      <c r="G196" s="6"/>
      <c r="H196" s="6">
        <f>SUMIF(PAGOS[CHASIS],CHASIS[[#This Row],[CHASIS]],PAGOS[[PAGO ]])</f>
        <v>0</v>
      </c>
      <c r="I196" s="6">
        <f>CHASIS[[#This Row],[P/U]]-CHASIS[[#This Row],[PAGO ]]</f>
        <v>0</v>
      </c>
      <c r="J196" s="6"/>
      <c r="K196" s="6"/>
      <c r="L196" s="257" t="str">
        <f>IF(CHASIS[[#This Row],[ADEUDO]]=0,"SI","NO")</f>
        <v>SI</v>
      </c>
      <c r="M196" s="2" t="str">
        <f t="shared" si="5"/>
        <v>EN PROCESO</v>
      </c>
    </row>
    <row r="197" spans="2:13">
      <c r="B197" t="s">
        <v>1106</v>
      </c>
      <c r="C197" s="260" t="s">
        <v>1111</v>
      </c>
      <c r="D197" s="1">
        <v>2024</v>
      </c>
      <c r="E197" s="287" t="s">
        <v>1131</v>
      </c>
      <c r="F197" s="287" t="s">
        <v>1050</v>
      </c>
      <c r="G197" s="6"/>
      <c r="H197" s="6">
        <f>SUMIF(PAGOS[CHASIS],CHASIS[[#This Row],[CHASIS]],PAGOS[[PAGO ]])</f>
        <v>0</v>
      </c>
      <c r="I197" s="6">
        <f>CHASIS[[#This Row],[P/U]]-CHASIS[[#This Row],[PAGO ]]</f>
        <v>0</v>
      </c>
      <c r="J197" s="6"/>
      <c r="K197" s="6"/>
      <c r="L197" s="257" t="str">
        <f>IF(CHASIS[[#This Row],[ADEUDO]]=0,"SI","NO")</f>
        <v>SI</v>
      </c>
      <c r="M197" s="2" t="str">
        <f t="shared" si="5"/>
        <v>EN PROCESO</v>
      </c>
    </row>
    <row r="198" spans="2:13">
      <c r="B198" t="s">
        <v>1106</v>
      </c>
      <c r="C198" s="260" t="s">
        <v>1112</v>
      </c>
      <c r="D198" s="1">
        <v>2024</v>
      </c>
      <c r="E198" s="287" t="s">
        <v>1131</v>
      </c>
      <c r="F198" s="287" t="s">
        <v>1050</v>
      </c>
      <c r="G198" s="6"/>
      <c r="H198" s="6">
        <f>SUMIF(PAGOS[CHASIS],CHASIS[[#This Row],[CHASIS]],PAGOS[[PAGO ]])</f>
        <v>0</v>
      </c>
      <c r="I198" s="6">
        <f>CHASIS[[#This Row],[P/U]]-CHASIS[[#This Row],[PAGO ]]</f>
        <v>0</v>
      </c>
      <c r="J198" s="6"/>
      <c r="K198" s="6"/>
      <c r="L198" s="257" t="str">
        <f>IF(CHASIS[[#This Row],[ADEUDO]]=0,"SI","NO")</f>
        <v>SI</v>
      </c>
      <c r="M198" s="2" t="str">
        <f t="shared" si="5"/>
        <v>EN PROCESO</v>
      </c>
    </row>
    <row r="199" spans="2:13">
      <c r="B199" t="s">
        <v>1113</v>
      </c>
      <c r="C199" s="260" t="s">
        <v>1114</v>
      </c>
      <c r="D199" s="1">
        <v>2024</v>
      </c>
      <c r="E199" s="287" t="s">
        <v>1133</v>
      </c>
      <c r="F199" s="287" t="s">
        <v>1043</v>
      </c>
      <c r="G199" s="6"/>
      <c r="H199" s="6">
        <f>SUMIF(PAGOS[CHASIS],CHASIS[[#This Row],[CHASIS]],PAGOS[[PAGO ]])</f>
        <v>0</v>
      </c>
      <c r="I199" s="6">
        <f>CHASIS[[#This Row],[P/U]]-CHASIS[[#This Row],[PAGO ]]</f>
        <v>0</v>
      </c>
      <c r="J199" s="6"/>
      <c r="K199" s="6"/>
      <c r="L199" s="257" t="str">
        <f>IF(CHASIS[[#This Row],[ADEUDO]]=0,"SI","NO")</f>
        <v>SI</v>
      </c>
      <c r="M199" s="2" t="str">
        <f t="shared" si="5"/>
        <v>EN PROCESO</v>
      </c>
    </row>
    <row r="200" spans="2:13" hidden="1">
      <c r="C200" s="260" t="s">
        <v>1115</v>
      </c>
      <c r="D200" s="1">
        <v>2024</v>
      </c>
      <c r="E200" s="72" t="s">
        <v>1129</v>
      </c>
      <c r="F200" s="287" t="s">
        <v>1050</v>
      </c>
      <c r="G200" s="6"/>
      <c r="H200" s="6">
        <f>SUMIF(PAGOS[CHASIS],CHASIS[[#This Row],[CHASIS]],PAGOS[[PAGO ]])</f>
        <v>0</v>
      </c>
      <c r="I200" s="6">
        <f>CHASIS[[#This Row],[P/U]]-CHASIS[[#This Row],[PAGO ]]</f>
        <v>0</v>
      </c>
      <c r="J200" s="6"/>
      <c r="K200" s="6"/>
      <c r="L200" s="257" t="str">
        <f>IF(CHASIS[[#This Row],[ADEUDO]]=0,"SI","NO")</f>
        <v>SI</v>
      </c>
      <c r="M200" s="2" t="str">
        <f t="shared" si="5"/>
        <v>EN PROCESO</v>
      </c>
    </row>
    <row r="201" spans="2:13" hidden="1">
      <c r="C201" s="260" t="s">
        <v>1116</v>
      </c>
      <c r="D201" s="1">
        <v>2024</v>
      </c>
      <c r="E201" s="72" t="s">
        <v>1129</v>
      </c>
      <c r="F201" s="287" t="s">
        <v>1050</v>
      </c>
      <c r="G201" s="6"/>
      <c r="H201" s="6">
        <f>SUMIF(PAGOS[CHASIS],CHASIS[[#This Row],[CHASIS]],PAGOS[[PAGO ]])</f>
        <v>0</v>
      </c>
      <c r="I201" s="6">
        <f>CHASIS[[#This Row],[P/U]]-CHASIS[[#This Row],[PAGO ]]</f>
        <v>0</v>
      </c>
      <c r="J201" s="6"/>
      <c r="K201" s="6"/>
      <c r="L201" s="257" t="str">
        <f>IF(CHASIS[[#This Row],[ADEUDO]]=0,"SI","NO")</f>
        <v>SI</v>
      </c>
      <c r="M201" s="2" t="str">
        <f t="shared" si="5"/>
        <v>EN PROCESO</v>
      </c>
    </row>
    <row r="202" spans="2:13">
      <c r="B202" t="s">
        <v>1117</v>
      </c>
      <c r="C202" s="260" t="s">
        <v>1118</v>
      </c>
      <c r="D202" s="1">
        <v>2024</v>
      </c>
      <c r="E202" s="72" t="s">
        <v>1129</v>
      </c>
      <c r="F202" s="287" t="s">
        <v>1043</v>
      </c>
      <c r="G202" s="6"/>
      <c r="H202" s="6">
        <f>SUMIF(PAGOS[CHASIS],CHASIS[[#This Row],[CHASIS]],PAGOS[[PAGO ]])</f>
        <v>0</v>
      </c>
      <c r="I202" s="6">
        <f>CHASIS[[#This Row],[P/U]]-CHASIS[[#This Row],[PAGO ]]</f>
        <v>0</v>
      </c>
      <c r="J202" s="6"/>
      <c r="K202" s="6"/>
      <c r="L202" s="257" t="str">
        <f>IF(CHASIS[[#This Row],[ADEUDO]]=0,"SI","NO")</f>
        <v>SI</v>
      </c>
      <c r="M202" s="2" t="str">
        <f t="shared" si="5"/>
        <v>EN PROCESO</v>
      </c>
    </row>
    <row r="203" spans="2:13">
      <c r="B203" t="s">
        <v>788</v>
      </c>
      <c r="C203" s="260" t="s">
        <v>1119</v>
      </c>
      <c r="D203" s="1">
        <v>2024</v>
      </c>
      <c r="E203" s="72" t="s">
        <v>1129</v>
      </c>
      <c r="F203" s="287" t="s">
        <v>1068</v>
      </c>
      <c r="G203" s="6"/>
      <c r="H203" s="6">
        <f>SUMIF(PAGOS[CHASIS],CHASIS[[#This Row],[CHASIS]],PAGOS[[PAGO ]])</f>
        <v>0</v>
      </c>
      <c r="I203" s="6">
        <f>CHASIS[[#This Row],[P/U]]-CHASIS[[#This Row],[PAGO ]]</f>
        <v>0</v>
      </c>
      <c r="J203" s="6"/>
      <c r="K203" s="6"/>
      <c r="L203" s="257" t="str">
        <f>IF(CHASIS[[#This Row],[ADEUDO]]=0,"SI","NO")</f>
        <v>SI</v>
      </c>
      <c r="M203" s="2" t="str">
        <f t="shared" si="5"/>
        <v>EN PROCESO</v>
      </c>
    </row>
    <row r="204" spans="2:13">
      <c r="B204" t="s">
        <v>788</v>
      </c>
      <c r="C204" s="260" t="s">
        <v>1120</v>
      </c>
      <c r="D204" s="1">
        <v>2024</v>
      </c>
      <c r="E204" s="72" t="s">
        <v>1129</v>
      </c>
      <c r="F204" s="287" t="s">
        <v>1068</v>
      </c>
      <c r="G204" s="6"/>
      <c r="H204" s="6">
        <f>SUMIF(PAGOS[CHASIS],CHASIS[[#This Row],[CHASIS]],PAGOS[[PAGO ]])</f>
        <v>0</v>
      </c>
      <c r="I204" s="6">
        <f>CHASIS[[#This Row],[P/U]]-CHASIS[[#This Row],[PAGO ]]</f>
        <v>0</v>
      </c>
      <c r="J204" s="6"/>
      <c r="K204" s="6"/>
      <c r="L204" s="257" t="str">
        <f>IF(CHASIS[[#This Row],[ADEUDO]]=0,"SI","NO")</f>
        <v>SI</v>
      </c>
      <c r="M204" s="2" t="str">
        <f t="shared" si="5"/>
        <v>EN PROCESO</v>
      </c>
    </row>
    <row r="205" spans="2:13">
      <c r="B205" t="s">
        <v>788</v>
      </c>
      <c r="C205" s="260" t="s">
        <v>1121</v>
      </c>
      <c r="D205" s="1">
        <v>2024</v>
      </c>
      <c r="E205" s="287" t="s">
        <v>4</v>
      </c>
      <c r="F205" s="287" t="s">
        <v>1068</v>
      </c>
      <c r="G205" s="6"/>
      <c r="H205" s="6">
        <f>SUMIF(PAGOS[CHASIS],CHASIS[[#This Row],[CHASIS]],PAGOS[[PAGO ]])</f>
        <v>0</v>
      </c>
      <c r="I205" s="6">
        <f>CHASIS[[#This Row],[P/U]]-CHASIS[[#This Row],[PAGO ]]</f>
        <v>0</v>
      </c>
      <c r="J205" s="6"/>
      <c r="K205" s="6"/>
      <c r="L205" s="257" t="str">
        <f>IF(CHASIS[[#This Row],[ADEUDO]]=0,"SI","NO")</f>
        <v>SI</v>
      </c>
      <c r="M205" s="2" t="str">
        <f t="shared" si="5"/>
        <v>EN PROCESO</v>
      </c>
    </row>
    <row r="206" spans="2:13">
      <c r="B206" t="s">
        <v>824</v>
      </c>
      <c r="C206" s="260" t="s">
        <v>1122</v>
      </c>
      <c r="D206" s="1">
        <v>2024</v>
      </c>
      <c r="E206" s="287" t="s">
        <v>1123</v>
      </c>
      <c r="F206" s="287" t="s">
        <v>1068</v>
      </c>
      <c r="G206" s="6"/>
      <c r="H206" s="6">
        <f>SUMIF(PAGOS[CHASIS],CHASIS[[#This Row],[CHASIS]],PAGOS[[PAGO ]])</f>
        <v>0</v>
      </c>
      <c r="I206" s="6">
        <f>CHASIS[[#This Row],[P/U]]-CHASIS[[#This Row],[PAGO ]]</f>
        <v>0</v>
      </c>
      <c r="J206" s="6"/>
      <c r="K206" s="6"/>
      <c r="L206" s="257" t="str">
        <f>IF(CHASIS[[#This Row],[ADEUDO]]=0,"SI","NO")</f>
        <v>SI</v>
      </c>
      <c r="M206" s="2" t="str">
        <f t="shared" si="5"/>
        <v>EN PROCESO</v>
      </c>
    </row>
    <row r="207" spans="2:13">
      <c r="B207" t="s">
        <v>1033</v>
      </c>
      <c r="C207" s="260" t="s">
        <v>1124</v>
      </c>
      <c r="D207" s="1">
        <v>2024</v>
      </c>
      <c r="E207" s="72" t="s">
        <v>1129</v>
      </c>
      <c r="F207" s="287" t="s">
        <v>1068</v>
      </c>
      <c r="G207" s="6"/>
      <c r="H207" s="6">
        <f>SUMIF(PAGOS[CHASIS],CHASIS[[#This Row],[CHASIS]],PAGOS[[PAGO ]])</f>
        <v>0</v>
      </c>
      <c r="I207" s="6">
        <f>CHASIS[[#This Row],[P/U]]-CHASIS[[#This Row],[PAGO ]]</f>
        <v>0</v>
      </c>
      <c r="J207" s="6"/>
      <c r="K207" s="6"/>
      <c r="L207" s="257" t="str">
        <f>IF(CHASIS[[#This Row],[ADEUDO]]=0,"SI","NO")</f>
        <v>SI</v>
      </c>
      <c r="M207" s="2" t="str">
        <f t="shared" si="5"/>
        <v>EN PROCESO</v>
      </c>
    </row>
    <row r="208" spans="2:13">
      <c r="B208" t="s">
        <v>1033</v>
      </c>
      <c r="C208" s="260" t="s">
        <v>1125</v>
      </c>
      <c r="D208" s="1">
        <v>2024</v>
      </c>
      <c r="E208" s="72" t="s">
        <v>1129</v>
      </c>
      <c r="F208" s="287" t="s">
        <v>1068</v>
      </c>
      <c r="G208" s="6"/>
      <c r="H208" s="6">
        <f>SUMIF(PAGOS[CHASIS],CHASIS[[#This Row],[CHASIS]],PAGOS[[PAGO ]])</f>
        <v>0</v>
      </c>
      <c r="I208" s="6">
        <f>CHASIS[[#This Row],[P/U]]-CHASIS[[#This Row],[PAGO ]]</f>
        <v>0</v>
      </c>
      <c r="J208" s="6"/>
      <c r="K208" s="6"/>
      <c r="L208" s="257" t="str">
        <f>IF(CHASIS[[#This Row],[ADEUDO]]=0,"SI","NO")</f>
        <v>SI</v>
      </c>
      <c r="M208" s="2" t="str">
        <f t="shared" si="5"/>
        <v>EN PROCESO</v>
      </c>
    </row>
    <row r="209" spans="2:13">
      <c r="B209" t="s">
        <v>1033</v>
      </c>
      <c r="C209" s="260" t="s">
        <v>1126</v>
      </c>
      <c r="D209" s="1">
        <v>2024</v>
      </c>
      <c r="E209" s="287" t="s">
        <v>4</v>
      </c>
      <c r="F209" s="287" t="s">
        <v>1068</v>
      </c>
      <c r="G209" s="6"/>
      <c r="H209" s="6">
        <f>SUMIF(PAGOS[CHASIS],CHASIS[[#This Row],[CHASIS]],PAGOS[[PAGO ]])</f>
        <v>0</v>
      </c>
      <c r="I209" s="6">
        <f>CHASIS[[#This Row],[P/U]]-CHASIS[[#This Row],[PAGO ]]</f>
        <v>0</v>
      </c>
      <c r="J209" s="6"/>
      <c r="K209" s="6"/>
      <c r="L209" s="257" t="str">
        <f>IF(CHASIS[[#This Row],[ADEUDO]]=0,"SI","NO")</f>
        <v>SI</v>
      </c>
      <c r="M209" s="2" t="str">
        <f t="shared" si="5"/>
        <v>EN PROCESO</v>
      </c>
    </row>
    <row r="210" spans="2:13">
      <c r="B210" t="s">
        <v>6</v>
      </c>
      <c r="G210" s="7">
        <f>SUBTOTAL(109,CHASIS[P/U])</f>
        <v>28600183</v>
      </c>
      <c r="H210" s="7">
        <f>SUBTOTAL(109,CHASIS[[PAGO ]])</f>
        <v>9578183</v>
      </c>
      <c r="I210" s="7">
        <f>SUBTOTAL(109,CHASIS[ADEUDO])</f>
        <v>19022000</v>
      </c>
      <c r="J210" s="7"/>
      <c r="M210" s="2">
        <f>SUBTOTAL(103,CHASIS[EQUI. ENTREGADOS])</f>
        <v>194</v>
      </c>
    </row>
  </sheetData>
  <phoneticPr fontId="3" type="noConversion"/>
  <conditionalFormatting sqref="M11:M209">
    <cfRule type="containsText" dxfId="8" priority="4" operator="containsText" text="ENTREGADO">
      <formula>NOT(ISERROR(SEARCH("ENTREGADO",M11)))</formula>
    </cfRule>
    <cfRule type="containsText" dxfId="7" priority="5" operator="containsText" text="ENTREGADO">
      <formula>NOT(ISERROR(SEARCH("ENTREGADO",M11)))</formula>
    </cfRule>
    <cfRule type="containsText" dxfId="6" priority="6" operator="containsText" text="EN PROCESO">
      <formula>NOT(ISERROR(SEARCH("EN PROCESO",M11)))</formula>
    </cfRule>
    <cfRule type="containsText" dxfId="5" priority="8" operator="containsText" text="ENTREGADO">
      <formula>NOT(ISERROR(SEARCH("ENTREGADO",M11)))</formula>
    </cfRule>
    <cfRule type="containsText" dxfId="4" priority="9" operator="containsText" text="PENDIENTE">
      <formula>NOT(ISERROR(SEARCH("PENDIENTE",M11)))</formula>
    </cfRule>
  </conditionalFormatting>
  <conditionalFormatting sqref="M11:M209">
    <cfRule type="containsText" dxfId="3" priority="7" operator="containsText" text="PENDIENTE">
      <formula>NOT(ISERROR(SEARCH("PENDIENTE",M11)))</formula>
    </cfRule>
  </conditionalFormatting>
  <conditionalFormatting sqref="W10">
    <cfRule type="containsText" dxfId="2" priority="1" operator="containsText" text="EN PROCESO">
      <formula>NOT(ISERROR(SEARCH("EN PROCESO",W10)))</formula>
    </cfRule>
    <cfRule type="containsText" dxfId="1" priority="2" operator="containsText" text="EN PROCESOS">
      <formula>NOT(ISERROR(SEARCH("EN PROCESOS",W10)))</formula>
    </cfRule>
    <cfRule type="containsText" dxfId="0" priority="3" operator="containsText" text="ENTREGADO">
      <formula>NOT(ISERROR(SEARCH("ENTREGADO",W10)))</formula>
    </cfRule>
  </conditionalFormatting>
  <dataValidations count="3">
    <dataValidation allowBlank="1" showInputMessage="1" showErrorMessage="1" prompt="ESCRIBIR NOMBRE COMPLETO O ALGUNA FRASE DE REFERENCIA SOBRE EL CLIENTE" sqref="O8" xr:uid="{57AC55A5-7EB0-4ACB-A8BF-DA83935ADD3A}"/>
    <dataValidation allowBlank="1" showInputMessage="1" showErrorMessage="1" prompt="LA SUMA DE PRECIO UNITARIO DE CHASIS " sqref="F9:G9" xr:uid="{1EF30440-506C-4EA0-9F85-E0467FD9DE22}"/>
    <dataValidation allowBlank="1" showInputMessage="1" showErrorMessage="1" prompt="SUMA DE LA CANTIDAD RESTANTE POR PARGAR POR PARTE DEL CLIENTE _x000a__x000a_" sqref="H9:I9" xr:uid="{C9EC4BE9-A237-424B-A0E8-01B17856855C}"/>
  </dataValidations>
  <pageMargins left="0.7" right="0.7" top="0.75" bottom="0.75" header="0.3" footer="0.3"/>
  <pageSetup scale="45" fitToHeight="0" orientation="landscape" r:id="rId1"/>
  <drawing r:id="rId2"/>
  <legacyDrawing r:id="rId3"/>
  <controls>
    <mc:AlternateContent xmlns:mc="http://schemas.openxmlformats.org/markup-compatibility/2006">
      <mc:Choice Requires="x14">
        <control shapeId="78849" r:id="rId4" name="TextBox1">
          <controlPr defaultSize="0" autoLine="0" r:id="rId5">
            <anchor moveWithCells="1">
              <from>
                <xdr:col>6</xdr:col>
                <xdr:colOff>762000</xdr:colOff>
                <xdr:row>2</xdr:row>
                <xdr:rowOff>83820</xdr:rowOff>
              </from>
              <to>
                <xdr:col>8</xdr:col>
                <xdr:colOff>220980</xdr:colOff>
                <xdr:row>3</xdr:row>
                <xdr:rowOff>152400</xdr:rowOff>
              </to>
            </anchor>
          </controlPr>
        </control>
      </mc:Choice>
      <mc:Fallback>
        <control shapeId="78849" r:id="rId4" name="TextBox1"/>
      </mc:Fallback>
    </mc:AlternateContent>
    <mc:AlternateContent xmlns:mc="http://schemas.openxmlformats.org/markup-compatibility/2006">
      <mc:Choice Requires="x14">
        <control shapeId="78850" r:id="rId6" name="TextBox2">
          <controlPr defaultSize="0" autoLine="0" r:id="rId7">
            <anchor moveWithCells="1">
              <from>
                <xdr:col>6</xdr:col>
                <xdr:colOff>769620</xdr:colOff>
                <xdr:row>5</xdr:row>
                <xdr:rowOff>83820</xdr:rowOff>
              </from>
              <to>
                <xdr:col>8</xdr:col>
                <xdr:colOff>228600</xdr:colOff>
                <xdr:row>6</xdr:row>
                <xdr:rowOff>167640</xdr:rowOff>
              </to>
            </anchor>
          </controlPr>
        </control>
      </mc:Choice>
      <mc:Fallback>
        <control shapeId="78850" r:id="rId6" name="TextBox2"/>
      </mc:Fallback>
    </mc:AlternateContent>
    <mc:AlternateContent xmlns:mc="http://schemas.openxmlformats.org/markup-compatibility/2006">
      <mc:Choice Requires="x14">
        <control shapeId="78862" r:id="rId8" name="bt_niv_lobby">
          <controlPr defaultSize="0" autoLine="0" r:id="rId9">
            <anchor moveWithCells="1">
              <from>
                <xdr:col>12</xdr:col>
                <xdr:colOff>45720</xdr:colOff>
                <xdr:row>2</xdr:row>
                <xdr:rowOff>106680</xdr:rowOff>
              </from>
              <to>
                <xdr:col>13</xdr:col>
                <xdr:colOff>419100</xdr:colOff>
                <xdr:row>4</xdr:row>
                <xdr:rowOff>167640</xdr:rowOff>
              </to>
            </anchor>
          </controlPr>
        </control>
      </mc:Choice>
      <mc:Fallback>
        <control shapeId="78862" r:id="rId8" name="bt_niv_lobby"/>
      </mc:Fallback>
    </mc:AlternateContent>
  </controls>
  <tableParts count="1">
    <tablePart r:id="rId10"/>
  </tableParts>
  <extLst>
    <ext xmlns:x15="http://schemas.microsoft.com/office/spreadsheetml/2010/11/main" uri="{3A4CF648-6AED-40f4-86FF-DC5316D8AED3}">
      <x14:slicerList xmlns:x14="http://schemas.microsoft.com/office/spreadsheetml/2009/9/main">
        <x14:slicer r:id="rId11"/>
      </x14:slicerList>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0897B-A1CA-4A42-ABFC-E0A6C0B0F0F2}">
  <sheetPr codeName="Hoja20"/>
  <dimension ref="B6:H76"/>
  <sheetViews>
    <sheetView workbookViewId="0">
      <pane ySplit="10" topLeftCell="A53" activePane="bottomLeft" state="frozen"/>
      <selection pane="bottomLeft" activeCell="E7" sqref="E7"/>
    </sheetView>
  </sheetViews>
  <sheetFormatPr baseColWidth="10" defaultRowHeight="14.4"/>
  <cols>
    <col min="2" max="2" width="26.6640625" customWidth="1"/>
    <col min="3" max="3" width="17" customWidth="1"/>
    <col min="4" max="4" width="23" customWidth="1"/>
    <col min="5" max="5" width="18" customWidth="1"/>
  </cols>
  <sheetData>
    <row r="6" spans="2:8">
      <c r="E6" t="s">
        <v>981</v>
      </c>
    </row>
    <row r="7" spans="2:8">
      <c r="E7" s="7">
        <f>PAGOS[[#Totals],[PAGO ]]</f>
        <v>9578183</v>
      </c>
    </row>
    <row r="10" spans="2:8" ht="28.8">
      <c r="B10" s="272" t="s">
        <v>774</v>
      </c>
      <c r="C10" s="272" t="s">
        <v>775</v>
      </c>
      <c r="D10" s="273" t="s">
        <v>827</v>
      </c>
      <c r="E10" s="273" t="s">
        <v>777</v>
      </c>
      <c r="F10" s="273" t="s">
        <v>1235</v>
      </c>
      <c r="G10" s="273" t="s">
        <v>955</v>
      </c>
    </row>
    <row r="11" spans="2:8">
      <c r="B11" t="str">
        <f>INDEX(CHASIS[],MATCH(PAGOS!C11,CHASIS[CHASIS],0),MATCH(PAGOS[[#Headers],[CLIENTE ]],CHASIS[#Headers],0))</f>
        <v>HELIBERIO ORTEGA</v>
      </c>
      <c r="C11" t="s">
        <v>783</v>
      </c>
      <c r="D11" s="257"/>
      <c r="E11" s="6">
        <v>370000</v>
      </c>
    </row>
    <row r="12" spans="2:8">
      <c r="B12" t="str">
        <f>INDEX(CHASIS[],MATCH(PAGOS!C12,CHASIS[CHASIS],0),MATCH(PAGOS[[#Headers],[CLIENTE ]],CHASIS[#Headers],0))</f>
        <v>GRUPO GYM O ALONSO CUEVAS</v>
      </c>
      <c r="C12" t="s">
        <v>818</v>
      </c>
      <c r="D12" s="257"/>
      <c r="E12" s="6">
        <v>605000</v>
      </c>
      <c r="F12" s="257"/>
      <c r="G12" s="257"/>
    </row>
    <row r="13" spans="2:8">
      <c r="B13" t="str">
        <f>INDEX(CHASIS[],MATCH(PAGOS!C13,CHASIS[CHASIS],0),MATCH(PAGOS[[#Headers],[CLIENTE ]],CHASIS[#Headers],0))</f>
        <v>GRUPO GYM O ALONSO CUEVAS</v>
      </c>
      <c r="C13" t="s">
        <v>817</v>
      </c>
      <c r="D13" s="257"/>
      <c r="E13" s="6">
        <v>605000</v>
      </c>
    </row>
    <row r="14" spans="2:8">
      <c r="B14" t="str">
        <f>INDEX(CHASIS[],MATCH(PAGOS!C14,CHASIS[CHASIS],0),MATCH(PAGOS[[#Headers],[CLIENTE ]],CHASIS[#Headers],0))</f>
        <v>RENE CORTEZ ORTEGA</v>
      </c>
      <c r="C14" t="s">
        <v>814</v>
      </c>
      <c r="D14" s="257"/>
      <c r="E14" s="6">
        <v>630000</v>
      </c>
      <c r="F14" s="6"/>
      <c r="G14" s="6"/>
      <c r="H14" s="257"/>
    </row>
    <row r="15" spans="2:8">
      <c r="B15" t="str">
        <f>INDEX(CHASIS[],MATCH(PAGOS!C15,CHASIS[CHASIS],0),MATCH(PAGOS[[#Headers],[CLIENTE ]],CHASIS[#Headers],0))</f>
        <v>JORGE ISLAS (LEO ISLAS AVILA)</v>
      </c>
      <c r="C15" t="s">
        <v>812</v>
      </c>
      <c r="D15" s="257"/>
      <c r="E15" s="6">
        <v>315000</v>
      </c>
    </row>
    <row r="16" spans="2:8">
      <c r="B16" t="str">
        <f>INDEX(CHASIS[],MATCH(PAGOS!C16,CHASIS[CHASIS],0),MATCH(PAGOS[[#Headers],[CLIENTE ]],CHASIS[#Headers],0))</f>
        <v xml:space="preserve">FILIBERTA MUÑOZ RODRIGUEZ </v>
      </c>
      <c r="C16" t="s">
        <v>804</v>
      </c>
      <c r="D16" s="257"/>
      <c r="E16" s="6">
        <v>200000</v>
      </c>
    </row>
    <row r="17" spans="2:8">
      <c r="B17" t="str">
        <f>INDEX(CHASIS[],MATCH(PAGOS!C17,CHASIS[CHASIS],0),MATCH(PAGOS[[#Headers],[CLIENTE ]],CHASIS[#Headers],0))</f>
        <v>GENARO GONZALES</v>
      </c>
      <c r="C17" t="s">
        <v>797</v>
      </c>
      <c r="D17" s="257"/>
      <c r="E17" s="6">
        <v>350000</v>
      </c>
      <c r="F17" s="6"/>
      <c r="G17" s="6"/>
      <c r="H17" s="257"/>
    </row>
    <row r="18" spans="2:8">
      <c r="B18" t="str">
        <f>INDEX(CHASIS[],MATCH(PAGOS!C18,CHASIS[CHASIS],0),MATCH(PAGOS[[#Headers],[CLIENTE ]],CHASIS[#Headers],0))</f>
        <v>GENARO GONZALES</v>
      </c>
      <c r="C18" t="s">
        <v>795</v>
      </c>
      <c r="D18" s="257"/>
      <c r="E18" s="6">
        <v>550000</v>
      </c>
    </row>
    <row r="19" spans="2:8">
      <c r="B19" t="str">
        <f>INDEX(CHASIS[],MATCH(PAGOS!C19,CHASIS[CHASIS],0),MATCH(PAGOS[[#Headers],[CLIENTE ]],CHASIS[#Headers],0))</f>
        <v>GENARO GONZALES</v>
      </c>
      <c r="C19" t="s">
        <v>796</v>
      </c>
      <c r="D19" s="257"/>
      <c r="E19" s="6">
        <v>350000</v>
      </c>
      <c r="F19" s="6"/>
      <c r="G19" s="6"/>
      <c r="H19" s="257"/>
    </row>
    <row r="20" spans="2:8">
      <c r="B20" t="str">
        <f>INDEX(CHASIS[],MATCH(PAGOS!C20,CHASIS[CHASIS],0),MATCH(PAGOS[[#Headers],[CLIENTE ]],CHASIS[#Headers],0))</f>
        <v>GENARO GONZALES</v>
      </c>
      <c r="C20" t="s">
        <v>794</v>
      </c>
      <c r="D20" s="257"/>
      <c r="E20" s="6">
        <v>500000</v>
      </c>
    </row>
    <row r="21" spans="2:8">
      <c r="B21" t="str">
        <f>INDEX(CHASIS[],MATCH(PAGOS!C21,CHASIS[CHASIS],0),MATCH(PAGOS[[#Headers],[CLIENTE ]],CHASIS[#Headers],0))</f>
        <v>ZENON VARGAS LOPEZ</v>
      </c>
      <c r="C21" t="s">
        <v>790</v>
      </c>
      <c r="D21" s="257"/>
      <c r="E21" s="6">
        <v>500000</v>
      </c>
    </row>
    <row r="22" spans="2:8">
      <c r="B22" t="str">
        <f>INDEX(CHASIS[],MATCH(PAGOS!C22,CHASIS[CHASIS],0),MATCH(PAGOS[[#Headers],[CLIENTE ]],CHASIS[#Headers],0))</f>
        <v>AMANDO ORTEGA</v>
      </c>
      <c r="C22" t="s">
        <v>789</v>
      </c>
      <c r="D22" s="257"/>
      <c r="E22" s="6">
        <v>463000</v>
      </c>
    </row>
    <row r="23" spans="2:8">
      <c r="B23" t="str">
        <f>INDEX(CHASIS[],MATCH(PAGOS!C23,CHASIS[CHASIS],0),MATCH(PAGOS[[#Headers],[CLIENTE ]],CHASIS[#Headers],0))</f>
        <v xml:space="preserve">MARGARITA SOTO </v>
      </c>
      <c r="C23" t="s">
        <v>787</v>
      </c>
      <c r="D23" s="257"/>
      <c r="E23" s="6">
        <v>350000</v>
      </c>
    </row>
    <row r="24" spans="2:8">
      <c r="B24" t="str">
        <f>INDEX(CHASIS[],MATCH(PAGOS!C24,CHASIS[CHASIS],0),MATCH(PAGOS[[#Headers],[CLIENTE ]],CHASIS[#Headers],0))</f>
        <v>JAVIER GAYOSSO</v>
      </c>
      <c r="C24" t="s">
        <v>785</v>
      </c>
      <c r="D24" s="257"/>
      <c r="E24" s="6">
        <v>797183</v>
      </c>
    </row>
    <row r="25" spans="2:8">
      <c r="B25" t="str">
        <f>INDEX(CHASIS[],MATCH(PAGOS!C25,CHASIS[CHASIS],0),MATCH(PAGOS[[#Headers],[CLIENTE ]],CHASIS[#Headers],0))</f>
        <v>HELIBERIO ORTEGA</v>
      </c>
      <c r="C25" t="s">
        <v>782</v>
      </c>
      <c r="D25" s="257"/>
      <c r="E25" s="6">
        <v>610000</v>
      </c>
    </row>
    <row r="26" spans="2:8">
      <c r="B26" t="str">
        <f>INDEX(CHASIS[],MATCH(PAGOS!C26,CHASIS[CHASIS],0),MATCH(PAGOS[[#Headers],[CLIENTE ]],CHASIS[#Headers],0))</f>
        <v>ALDO ROJAS</v>
      </c>
      <c r="C26" t="s">
        <v>781</v>
      </c>
      <c r="D26" s="257"/>
      <c r="E26" s="6">
        <v>150000</v>
      </c>
    </row>
    <row r="27" spans="2:8">
      <c r="B27" t="str">
        <f>INDEX(CHASIS[],MATCH(PAGOS!C27,CHASIS[CHASIS],0),MATCH(PAGOS[[#Headers],[CLIENTE ]],CHASIS[#Headers],0))</f>
        <v>GABINO MALDONADO MORALES</v>
      </c>
      <c r="C27" t="s">
        <v>954</v>
      </c>
      <c r="D27" s="257">
        <v>44706</v>
      </c>
      <c r="E27" s="6">
        <v>200000</v>
      </c>
      <c r="G27" t="s">
        <v>956</v>
      </c>
    </row>
    <row r="28" spans="2:8">
      <c r="B28" t="str">
        <f>INDEX(CHASIS[],MATCH(PAGOS!C28,CHASIS[CHASIS],0),MATCH(PAGOS[[#Headers],[CLIENTE ]],CHASIS[#Headers],0))</f>
        <v>GABINO MALDONADO MORALES</v>
      </c>
      <c r="C28" t="s">
        <v>954</v>
      </c>
      <c r="D28" s="257">
        <v>44744</v>
      </c>
      <c r="E28" s="6">
        <v>150000</v>
      </c>
      <c r="G28" t="s">
        <v>957</v>
      </c>
    </row>
    <row r="29" spans="2:8">
      <c r="B29" t="str">
        <f>INDEX(CHASIS[],MATCH(PAGOS!C29,CHASIS[CHASIS],0),MATCH(PAGOS[[#Headers],[CLIENTE ]],CHASIS[#Headers],0))</f>
        <v>GABINO MALDONADO MORALES</v>
      </c>
      <c r="C29" t="s">
        <v>954</v>
      </c>
      <c r="D29" s="257">
        <v>44786</v>
      </c>
      <c r="E29" s="6">
        <v>50000</v>
      </c>
      <c r="G29" t="s">
        <v>958</v>
      </c>
    </row>
    <row r="30" spans="2:8">
      <c r="B30" t="str">
        <f>INDEX(CHASIS[],MATCH(PAGOS!C30,CHASIS[CHASIS],0),MATCH(PAGOS[[#Headers],[CLIENTE ]],CHASIS[#Headers],0))</f>
        <v>GABINO MALDONADO MORALES</v>
      </c>
      <c r="C30" t="s">
        <v>954</v>
      </c>
      <c r="D30" s="257">
        <v>44834</v>
      </c>
      <c r="E30" s="6">
        <v>100000</v>
      </c>
      <c r="G30" t="s">
        <v>982</v>
      </c>
    </row>
    <row r="31" spans="2:8">
      <c r="B31" t="str">
        <f>INDEX(CHASIS[],MATCH(PAGOS!C31,CHASIS[CHASIS],0),MATCH(PAGOS[[#Headers],[CLIENTE ]],CHASIS[#Headers],0))</f>
        <v>GABINO MALDONADO MORALES</v>
      </c>
      <c r="C31" t="s">
        <v>954</v>
      </c>
      <c r="D31" s="257">
        <v>44861</v>
      </c>
      <c r="E31" s="6">
        <v>50000</v>
      </c>
      <c r="G31" t="s">
        <v>959</v>
      </c>
    </row>
    <row r="32" spans="2:8">
      <c r="B32" t="str">
        <f>INDEX(CHASIS[],MATCH(PAGOS!C32,CHASIS[CHASIS],0),MATCH(PAGOS[[#Headers],[CLIENTE ]],CHASIS[#Headers],0))</f>
        <v>GABINO MALDONADO MORALES</v>
      </c>
      <c r="C32" t="s">
        <v>954</v>
      </c>
      <c r="D32" s="257">
        <v>44895</v>
      </c>
      <c r="E32" s="6">
        <v>50000</v>
      </c>
      <c r="G32" t="s">
        <v>960</v>
      </c>
    </row>
    <row r="33" spans="2:7">
      <c r="B33" t="str">
        <f>INDEX(CHASIS[],MATCH(PAGOS!C33,CHASIS[CHASIS],0),MATCH(PAGOS[[#Headers],[CLIENTE ]],CHASIS[#Headers],0))</f>
        <v>GABINO MALDONADO MORALES</v>
      </c>
      <c r="C33" t="s">
        <v>954</v>
      </c>
      <c r="D33" s="257">
        <v>44928</v>
      </c>
      <c r="E33" s="6">
        <v>50000</v>
      </c>
      <c r="G33" t="s">
        <v>961</v>
      </c>
    </row>
    <row r="34" spans="2:7">
      <c r="B34" t="str">
        <f>INDEX(CHASIS[],MATCH(PAGOS!C34,CHASIS[CHASIS],0),MATCH(PAGOS[[#Headers],[CLIENTE ]],CHASIS[#Headers],0))</f>
        <v>GABINO MALDONADO MORALES</v>
      </c>
      <c r="C34" t="s">
        <v>954</v>
      </c>
      <c r="D34" s="257">
        <v>45016</v>
      </c>
      <c r="E34" s="6">
        <v>50000</v>
      </c>
      <c r="G34" t="s">
        <v>962</v>
      </c>
    </row>
    <row r="35" spans="2:7">
      <c r="B35" t="str">
        <f>INDEX(CHASIS[],MATCH(PAGOS!C35,CHASIS[CHASIS],0),MATCH(PAGOS[[#Headers],[CLIENTE ]],CHASIS[#Headers],0))</f>
        <v>GABINO MALDONADO MORALES</v>
      </c>
      <c r="C35" t="s">
        <v>963</v>
      </c>
      <c r="D35" s="257">
        <v>44725</v>
      </c>
      <c r="E35" s="6">
        <v>50000</v>
      </c>
      <c r="G35" t="s">
        <v>964</v>
      </c>
    </row>
    <row r="36" spans="2:7">
      <c r="B36" t="str">
        <f>INDEX(CHASIS[],MATCH(PAGOS!C36,CHASIS[CHASIS],0),MATCH(PAGOS[[#Headers],[CLIENTE ]],CHASIS[#Headers],0))</f>
        <v>GABINO MALDONADO MORALES</v>
      </c>
      <c r="C36" t="s">
        <v>963</v>
      </c>
      <c r="D36" s="257">
        <v>44727</v>
      </c>
      <c r="E36" s="6">
        <v>100000</v>
      </c>
      <c r="G36" t="s">
        <v>965</v>
      </c>
    </row>
    <row r="37" spans="2:7">
      <c r="B37" t="str">
        <f>INDEX(CHASIS[],MATCH(PAGOS!C37,CHASIS[CHASIS],0),MATCH(PAGOS[[#Headers],[CLIENTE ]],CHASIS[#Headers],0))</f>
        <v>GABINO MALDONADO MORALES</v>
      </c>
      <c r="C37" t="s">
        <v>963</v>
      </c>
      <c r="D37" s="257">
        <v>44767</v>
      </c>
      <c r="E37" s="6">
        <v>40000</v>
      </c>
      <c r="G37" t="s">
        <v>966</v>
      </c>
    </row>
    <row r="38" spans="2:7">
      <c r="B38" t="str">
        <f>INDEX(CHASIS[],MATCH(PAGOS!C38,CHASIS[CHASIS],0),MATCH(PAGOS[[#Headers],[CLIENTE ]],CHASIS[#Headers],0))</f>
        <v>GABINO MALDONADO MORALES</v>
      </c>
      <c r="C38" t="s">
        <v>963</v>
      </c>
      <c r="D38" s="257">
        <v>44981</v>
      </c>
      <c r="E38" s="6">
        <v>20000</v>
      </c>
      <c r="G38" t="s">
        <v>967</v>
      </c>
    </row>
    <row r="39" spans="2:7">
      <c r="B39" t="str">
        <f>INDEX(CHASIS[],MATCH(PAGOS!C39,CHASIS[CHASIS],0),MATCH(PAGOS[[#Headers],[CLIENTE ]],CHASIS[#Headers],0))</f>
        <v>GABINO MALDONADO MORALES</v>
      </c>
      <c r="C39" t="s">
        <v>963</v>
      </c>
      <c r="D39" s="257">
        <v>44959</v>
      </c>
      <c r="E39" s="6">
        <v>50000</v>
      </c>
      <c r="G39" t="s">
        <v>968</v>
      </c>
    </row>
    <row r="40" spans="2:7">
      <c r="B40" t="str">
        <f>INDEX(CHASIS[],MATCH(PAGOS!C40,CHASIS[CHASIS],0),MATCH(PAGOS[[#Headers],[CLIENTE ]],CHASIS[#Headers],0))</f>
        <v>GABINO MALDONADO MORALES</v>
      </c>
      <c r="C40" t="s">
        <v>963</v>
      </c>
      <c r="D40" s="257">
        <v>44978</v>
      </c>
      <c r="E40" s="6">
        <v>50000</v>
      </c>
      <c r="G40" t="s">
        <v>969</v>
      </c>
    </row>
    <row r="41" spans="2:7">
      <c r="B41" t="str">
        <f>INDEX(CHASIS[],MATCH(PAGOS!C41,CHASIS[CHASIS],0),MATCH(PAGOS[[#Headers],[CLIENTE ]],CHASIS[#Headers],0))</f>
        <v>GABINO MALDONADO MORALES</v>
      </c>
      <c r="C41" t="s">
        <v>963</v>
      </c>
      <c r="D41" s="257">
        <v>45045</v>
      </c>
      <c r="E41" s="6">
        <v>50000</v>
      </c>
      <c r="G41" t="s">
        <v>970</v>
      </c>
    </row>
    <row r="42" spans="2:7">
      <c r="B42" t="str">
        <f>INDEX(CHASIS[],MATCH(PAGOS!C42,CHASIS[CHASIS],0),MATCH(PAGOS[[#Headers],[CLIENTE ]],CHASIS[#Headers],0))</f>
        <v>GABINO MALDONADO MORALES</v>
      </c>
      <c r="C42" t="s">
        <v>963</v>
      </c>
      <c r="D42" s="257">
        <v>45012</v>
      </c>
      <c r="E42" s="6">
        <v>30000</v>
      </c>
      <c r="G42" t="s">
        <v>971</v>
      </c>
    </row>
    <row r="43" spans="2:7">
      <c r="B43" t="str">
        <f>INDEX(CHASIS[],MATCH(PAGOS!C43,CHASIS[CHASIS],0),MATCH(PAGOS[[#Headers],[CLIENTE ]],CHASIS[#Headers],0))</f>
        <v>GABINO MALDONADO MORALES</v>
      </c>
      <c r="C43" t="s">
        <v>963</v>
      </c>
      <c r="D43" s="257">
        <v>45077</v>
      </c>
      <c r="E43" s="6">
        <v>50000</v>
      </c>
      <c r="G43" t="s">
        <v>972</v>
      </c>
    </row>
    <row r="44" spans="2:7">
      <c r="B44" t="str">
        <f>INDEX(CHASIS[],MATCH(PAGOS!C44,CHASIS[CHASIS],0),MATCH(PAGOS[[#Headers],[CLIENTE ]],CHASIS[#Headers],0))</f>
        <v>GABINO MALDONADO MORALES</v>
      </c>
      <c r="C44" t="s">
        <v>963</v>
      </c>
      <c r="D44" s="257">
        <v>45110</v>
      </c>
      <c r="E44" s="6">
        <v>50000</v>
      </c>
      <c r="G44" t="s">
        <v>973</v>
      </c>
    </row>
    <row r="45" spans="2:7">
      <c r="B45" t="str">
        <f>INDEX(CHASIS[],MATCH(PAGOS!C45,CHASIS[CHASIS],0),MATCH(PAGOS[[#Headers],[CLIENTE ]],CHASIS[#Headers],0))</f>
        <v>GABINO MALDONADO MORALES</v>
      </c>
      <c r="C45" t="s">
        <v>963</v>
      </c>
      <c r="D45" s="257">
        <v>45141</v>
      </c>
      <c r="E45" s="6">
        <v>50000</v>
      </c>
      <c r="G45" t="s">
        <v>974</v>
      </c>
    </row>
    <row r="46" spans="2:7">
      <c r="B46" t="str">
        <f>INDEX(CHASIS[],MATCH(PAGOS!C46,CHASIS[CHASIS],0),MATCH(PAGOS[[#Headers],[CLIENTE ]],CHASIS[#Headers],0))</f>
        <v>GABINO MALDONADO MORALES</v>
      </c>
      <c r="C46" t="s">
        <v>963</v>
      </c>
      <c r="D46" s="257">
        <v>45169</v>
      </c>
      <c r="E46" s="6">
        <v>50000</v>
      </c>
      <c r="G46" t="s">
        <v>975</v>
      </c>
    </row>
    <row r="47" spans="2:7">
      <c r="B47" t="str">
        <f>INDEX(CHASIS[],MATCH(PAGOS!C47,CHASIS[CHASIS],0),MATCH(PAGOS[[#Headers],[CLIENTE ]],CHASIS[#Headers],0))</f>
        <v>GABINO MALDONADO MORALES</v>
      </c>
      <c r="C47" t="s">
        <v>963</v>
      </c>
      <c r="D47" s="257">
        <v>44751</v>
      </c>
      <c r="E47" s="6">
        <v>30000</v>
      </c>
      <c r="G47" t="s">
        <v>976</v>
      </c>
    </row>
    <row r="48" spans="2:7">
      <c r="B48" t="str">
        <f>INDEX(CHASIS[],MATCH(PAGOS!C48,CHASIS[CHASIS],0),MATCH(PAGOS[[#Headers],[CLIENTE ]],CHASIS[#Headers],0))</f>
        <v>GABINO MALDONADO MORALES</v>
      </c>
      <c r="C48" t="s">
        <v>963</v>
      </c>
      <c r="D48" s="257">
        <v>45180</v>
      </c>
      <c r="E48" s="6">
        <v>80000</v>
      </c>
      <c r="G48" t="s">
        <v>977</v>
      </c>
    </row>
    <row r="49" spans="2:7">
      <c r="B49" t="str">
        <f>INDEX(CHASIS[],MATCH(PAGOS!C49,CHASIS[CHASIS],0),MATCH(PAGOS[[#Headers],[CLIENTE ]],CHASIS[#Headers],0))</f>
        <v>GABINO MALDONADO MORALES</v>
      </c>
      <c r="C49" t="s">
        <v>978</v>
      </c>
      <c r="D49" s="257">
        <v>44779</v>
      </c>
      <c r="E49" s="6">
        <v>390000</v>
      </c>
    </row>
    <row r="50" spans="2:7">
      <c r="B50" t="str">
        <f>INDEX(CHASIS[],MATCH(PAGOS!C50,CHASIS[CHASIS],0),MATCH(PAGOS[[#Headers],[CLIENTE ]],CHASIS[#Headers],0))</f>
        <v>GABINO MALDONADO MORALES</v>
      </c>
      <c r="C50" t="s">
        <v>979</v>
      </c>
      <c r="D50" s="257">
        <v>44112</v>
      </c>
      <c r="E50" s="6">
        <v>50000</v>
      </c>
    </row>
    <row r="51" spans="2:7">
      <c r="B51" t="str">
        <f>INDEX(CHASIS[],MATCH(PAGOS!C51,CHASIS[CHASIS],0),MATCH(PAGOS[[#Headers],[CLIENTE ]],CHASIS[#Headers],0))</f>
        <v>GABINO MALDONADO MORALES</v>
      </c>
      <c r="C51" t="s">
        <v>979</v>
      </c>
      <c r="D51" s="257">
        <v>44116</v>
      </c>
      <c r="E51" s="6">
        <v>50000</v>
      </c>
    </row>
    <row r="52" spans="2:7">
      <c r="B52" t="str">
        <f>INDEX(CHASIS[],MATCH(PAGOS!C52,CHASIS[CHASIS],0),MATCH(PAGOS[[#Headers],[CLIENTE ]],CHASIS[#Headers],0))</f>
        <v>GABINO MALDONADO MORALES</v>
      </c>
      <c r="C52" t="s">
        <v>979</v>
      </c>
      <c r="D52" s="257">
        <v>44130</v>
      </c>
      <c r="E52" s="6">
        <v>20000</v>
      </c>
    </row>
    <row r="53" spans="2:7">
      <c r="B53" t="str">
        <f>INDEX(CHASIS[],MATCH(PAGOS!C53,CHASIS[CHASIS],0),MATCH(PAGOS[[#Headers],[CLIENTE ]],CHASIS[#Headers],0))</f>
        <v>GABINO MALDONADO MORALES</v>
      </c>
      <c r="C53" t="s">
        <v>979</v>
      </c>
      <c r="D53" s="257">
        <v>44134</v>
      </c>
      <c r="E53" s="6">
        <v>20000</v>
      </c>
    </row>
    <row r="54" spans="2:7">
      <c r="B54" t="str">
        <f>INDEX(CHASIS[],MATCH(PAGOS!C54,CHASIS[CHASIS],0),MATCH(PAGOS[[#Headers],[CLIENTE ]],CHASIS[#Headers],0))</f>
        <v>GABINO MALDONADO MORALES</v>
      </c>
      <c r="C54" t="s">
        <v>979</v>
      </c>
      <c r="D54" s="257">
        <v>44140</v>
      </c>
      <c r="E54" s="6">
        <v>10000</v>
      </c>
    </row>
    <row r="55" spans="2:7">
      <c r="B55" t="str">
        <f>INDEX(CHASIS[],MATCH(PAGOS!C55,CHASIS[CHASIS],0),MATCH(PAGOS[[#Headers],[CLIENTE ]],CHASIS[#Headers],0))</f>
        <v>GABINO MALDONADO MORALES</v>
      </c>
      <c r="C55" t="s">
        <v>979</v>
      </c>
      <c r="D55" s="257">
        <v>44144</v>
      </c>
      <c r="E55" s="6">
        <v>20000</v>
      </c>
    </row>
    <row r="56" spans="2:7">
      <c r="B56" t="str">
        <f>INDEX(CHASIS[],MATCH(PAGOS!C56,CHASIS[CHASIS],0),MATCH(PAGOS[[#Headers],[CLIENTE ]],CHASIS[#Headers],0))</f>
        <v>GABINO MALDONADO MORALES</v>
      </c>
      <c r="C56" t="s">
        <v>979</v>
      </c>
      <c r="D56" s="257">
        <v>44152</v>
      </c>
      <c r="E56" s="6">
        <v>10000</v>
      </c>
    </row>
    <row r="57" spans="2:7">
      <c r="B57" t="str">
        <f>INDEX(CHASIS[],MATCH(PAGOS!C57,CHASIS[CHASIS],0),MATCH(PAGOS[[#Headers],[CLIENTE ]],CHASIS[#Headers],0))</f>
        <v>GABINO MALDONADO MORALES</v>
      </c>
      <c r="C57" t="s">
        <v>979</v>
      </c>
      <c r="D57" s="257">
        <v>44152</v>
      </c>
      <c r="E57" s="6">
        <v>5500</v>
      </c>
    </row>
    <row r="58" spans="2:7">
      <c r="B58" t="str">
        <f>INDEX(CHASIS[],MATCH(PAGOS!C58,CHASIS[CHASIS],0),MATCH(PAGOS[[#Headers],[CLIENTE ]],CHASIS[#Headers],0))</f>
        <v>GABINO MALDONADO MORALES</v>
      </c>
      <c r="C58" t="s">
        <v>979</v>
      </c>
      <c r="D58" s="257">
        <v>44152</v>
      </c>
      <c r="E58" s="6">
        <v>2000</v>
      </c>
    </row>
    <row r="59" spans="2:7">
      <c r="B59" t="str">
        <f>INDEX(CHASIS[],MATCH(PAGOS!C59,CHASIS[CHASIS],0),MATCH(PAGOS[[#Headers],[CLIENTE ]],CHASIS[#Headers],0))</f>
        <v>GABINO MALDONADO MORALES</v>
      </c>
      <c r="C59" t="s">
        <v>979</v>
      </c>
      <c r="D59" s="257">
        <v>44158</v>
      </c>
      <c r="E59" s="6">
        <v>10000</v>
      </c>
    </row>
    <row r="60" spans="2:7">
      <c r="B60" t="str">
        <f>INDEX(CHASIS[],MATCH(PAGOS!C60,CHASIS[CHASIS],0),MATCH(PAGOS[[#Headers],[CLIENTE ]],CHASIS[#Headers],0))</f>
        <v>GABINO MALDONADO MORALES</v>
      </c>
      <c r="C60" t="s">
        <v>979</v>
      </c>
      <c r="D60" s="257">
        <v>44160</v>
      </c>
      <c r="E60" s="6">
        <v>10000</v>
      </c>
    </row>
    <row r="61" spans="2:7">
      <c r="B61" t="str">
        <f>INDEX(CHASIS[],MATCH(PAGOS!C61,CHASIS[CHASIS],0),MATCH(PAGOS[[#Headers],[CLIENTE ]],CHASIS[#Headers],0))</f>
        <v>GABINO MALDONADO MORALES</v>
      </c>
      <c r="C61" t="s">
        <v>979</v>
      </c>
      <c r="D61" s="257">
        <v>44165</v>
      </c>
      <c r="E61" s="6">
        <v>10000</v>
      </c>
    </row>
    <row r="62" spans="2:7">
      <c r="B62" t="str">
        <f>INDEX(CHASIS[],MATCH(PAGOS!C62,CHASIS[CHASIS],0),MATCH(PAGOS[[#Headers],[CLIENTE ]],CHASIS[#Headers],0))</f>
        <v>GABINO MALDONADO MORALES</v>
      </c>
      <c r="C62" t="s">
        <v>979</v>
      </c>
      <c r="D62" s="257">
        <v>44176</v>
      </c>
      <c r="E62" s="6">
        <v>20000</v>
      </c>
    </row>
    <row r="63" spans="2:7">
      <c r="B63" t="str">
        <f>INDEX(CHASIS[],MATCH(PAGOS!C63,CHASIS[CHASIS],0),MATCH(PAGOS[[#Headers],[CLIENTE ]],CHASIS[#Headers],0))</f>
        <v>GABINO MALDONADO MORALES</v>
      </c>
      <c r="C63" t="s">
        <v>980</v>
      </c>
      <c r="D63" s="257">
        <v>44221</v>
      </c>
      <c r="E63" s="6">
        <v>6000</v>
      </c>
    </row>
    <row r="64" spans="2:7">
      <c r="B64" t="str">
        <f>INDEX(CHASIS[],MATCH(PAGOS!C64,CHASIS[CHASIS],0),MATCH(PAGOS[[#Headers],[CLIENTE ]],CHASIS[#Headers],0))</f>
        <v>GABINO MALDONADO MORALES</v>
      </c>
      <c r="C64" t="s">
        <v>980</v>
      </c>
      <c r="D64" s="257">
        <v>44224</v>
      </c>
      <c r="E64" s="6">
        <v>4000</v>
      </c>
    </row>
    <row r="65" spans="2:7">
      <c r="B65" t="str">
        <f>INDEX(CHASIS[],MATCH(PAGOS!C65,CHASIS[CHASIS],0),MATCH(PAGOS[[#Headers],[CLIENTE ]],CHASIS[#Headers],0))</f>
        <v>GABINO MALDONADO MORALES</v>
      </c>
      <c r="C65" t="s">
        <v>980</v>
      </c>
      <c r="D65" s="257">
        <v>44253</v>
      </c>
      <c r="E65" s="6">
        <v>10000</v>
      </c>
    </row>
    <row r="66" spans="2:7">
      <c r="B66" t="str">
        <f>INDEX(CHASIS[],MATCH(PAGOS!C66,CHASIS[CHASIS],0),MATCH(PAGOS[[#Headers],[CLIENTE ]],CHASIS[#Headers],0))</f>
        <v>GABINO MALDONADO MORALES</v>
      </c>
      <c r="C66" t="s">
        <v>980</v>
      </c>
      <c r="D66" s="257">
        <v>44298</v>
      </c>
      <c r="E66" s="6">
        <v>30000</v>
      </c>
    </row>
    <row r="67" spans="2:7">
      <c r="B67" t="str">
        <f>INDEX(CHASIS[],MATCH(PAGOS!C67,CHASIS[CHASIS],0),MATCH(PAGOS[[#Headers],[CLIENTE ]],CHASIS[#Headers],0))</f>
        <v>GABINO MALDONADO MORALES</v>
      </c>
      <c r="C67" t="s">
        <v>980</v>
      </c>
      <c r="D67" s="257">
        <v>44370</v>
      </c>
      <c r="E67" s="6">
        <v>20000</v>
      </c>
    </row>
    <row r="68" spans="2:7">
      <c r="B68" t="str">
        <f>INDEX(CHASIS[],MATCH(PAGOS!C68,CHASIS[CHASIS],0),MATCH(PAGOS[[#Headers],[CLIENTE ]],CHASIS[#Headers],0))</f>
        <v>GABINO MALDONADO MORALES</v>
      </c>
      <c r="C68" t="s">
        <v>980</v>
      </c>
      <c r="D68" s="257">
        <v>44375</v>
      </c>
      <c r="E68" s="6">
        <v>50000</v>
      </c>
    </row>
    <row r="69" spans="2:7">
      <c r="B69" t="str">
        <f>INDEX(CHASIS[],MATCH(PAGOS!C69,CHASIS[CHASIS],0),MATCH(PAGOS[[#Headers],[CLIENTE ]],CHASIS[#Headers],0))</f>
        <v>GABINO MALDONADO MORALES</v>
      </c>
      <c r="C69" t="s">
        <v>980</v>
      </c>
      <c r="D69" s="257">
        <v>44399</v>
      </c>
      <c r="E69" s="6">
        <v>5500</v>
      </c>
    </row>
    <row r="70" spans="2:7">
      <c r="B70" t="str">
        <f>INDEX(CHASIS[],MATCH(PAGOS!C70,CHASIS[CHASIS],0),MATCH(PAGOS[[#Headers],[CLIENTE ]],CHASIS[#Headers],0))</f>
        <v>GABINO MALDONADO MORALES</v>
      </c>
      <c r="C70" t="s">
        <v>980</v>
      </c>
      <c r="D70" s="257">
        <v>44410</v>
      </c>
      <c r="E70" s="6">
        <v>10000</v>
      </c>
    </row>
    <row r="71" spans="2:7">
      <c r="B71" t="str">
        <f>INDEX(CHASIS[],MATCH(PAGOS!C71,CHASIS[CHASIS],0),MATCH(PAGOS[[#Headers],[CLIENTE ]],CHASIS[#Headers],0))</f>
        <v>GABINO MALDONADO MORALES</v>
      </c>
      <c r="C71" t="s">
        <v>980</v>
      </c>
      <c r="D71" s="257">
        <v>44445</v>
      </c>
      <c r="E71" s="6">
        <v>20000</v>
      </c>
    </row>
    <row r="72" spans="2:7">
      <c r="B72" t="str">
        <f>INDEX(CHASIS[],MATCH(PAGOS!C72,CHASIS[CHASIS],0),MATCH(PAGOS[[#Headers],[CLIENTE ]],CHASIS[#Headers],0))</f>
        <v>GABINO MALDONADO MORALES</v>
      </c>
      <c r="C72" t="s">
        <v>980</v>
      </c>
      <c r="D72" s="257">
        <v>44480</v>
      </c>
      <c r="E72" s="6">
        <v>5000</v>
      </c>
    </row>
    <row r="73" spans="2:7">
      <c r="B73" t="str">
        <f>INDEX(CHASIS[],MATCH(PAGOS!C73,CHASIS[CHASIS],0),MATCH(PAGOS[[#Headers],[CLIENTE ]],CHASIS[#Headers],0))</f>
        <v>GABINO MALDONADO MORALES</v>
      </c>
      <c r="C73" t="s">
        <v>980</v>
      </c>
      <c r="D73" s="257">
        <v>44513</v>
      </c>
      <c r="E73" s="6">
        <v>15000</v>
      </c>
    </row>
    <row r="74" spans="2:7">
      <c r="B74" t="str">
        <f>INDEX(CHASIS[],MATCH(PAGOS!C74,CHASIS[CHASIS],0),MATCH(PAGOS[[#Headers],[CLIENTE ]],CHASIS[#Headers],0))</f>
        <v>GABINO MALDONADO MORALES</v>
      </c>
      <c r="C74" t="s">
        <v>979</v>
      </c>
      <c r="D74" s="257">
        <v>44648</v>
      </c>
      <c r="E74" s="6">
        <v>30000</v>
      </c>
    </row>
    <row r="75" spans="2:7">
      <c r="B75" t="e">
        <f>INDEX(CHASIS[],MATCH(PAGOS!C75,CHASIS[CHASIS],0),MATCH(PAGOS[[#Headers],[CLIENTE ]],CHASIS[#Headers],0))</f>
        <v>#N/A</v>
      </c>
      <c r="D75" s="257"/>
      <c r="E75" s="6"/>
    </row>
    <row r="76" spans="2:7">
      <c r="B76" t="s">
        <v>6</v>
      </c>
      <c r="E76" s="7">
        <f>SUBTOTAL(109,PAGOS[[PAGO ]])</f>
        <v>9578183</v>
      </c>
      <c r="G76">
        <f>SUBTOTAL(103,PAGOS[FOLIO FACTURA])</f>
        <v>22</v>
      </c>
    </row>
  </sheetData>
  <phoneticPr fontId="3" type="noConversion"/>
  <pageMargins left="0.7" right="0.7" top="0.75" bottom="0.75" header="0.3" footer="0.3"/>
  <drawing r:id="rId1"/>
  <legacyDrawing r:id="rId2"/>
  <controls>
    <mc:AlternateContent xmlns:mc="http://schemas.openxmlformats.org/markup-compatibility/2006">
      <mc:Choice Requires="x14">
        <control shapeId="84997" r:id="rId3" name="TXB_BUS_NUM_CHASIS_PAGOS">
          <controlPr defaultSize="0" autoLine="0" r:id="rId4">
            <anchor moveWithCells="1">
              <from>
                <xdr:col>1</xdr:col>
                <xdr:colOff>106680</xdr:colOff>
                <xdr:row>7</xdr:row>
                <xdr:rowOff>7620</xdr:rowOff>
              </from>
              <to>
                <xdr:col>2</xdr:col>
                <xdr:colOff>624840</xdr:colOff>
                <xdr:row>8</xdr:row>
                <xdr:rowOff>83820</xdr:rowOff>
              </to>
            </anchor>
          </controlPr>
        </control>
      </mc:Choice>
      <mc:Fallback>
        <control shapeId="84997" r:id="rId3" name="TXB_BUS_NUM_CHASIS_PAGOS"/>
      </mc:Fallback>
    </mc:AlternateContent>
    <mc:AlternateContent xmlns:mc="http://schemas.openxmlformats.org/markup-compatibility/2006">
      <mc:Choice Requires="x14">
        <control shapeId="84994" r:id="rId5" name="TextBox1BUSCPAGOS">
          <controlPr defaultSize="0" autoLine="0" autoPict="0" r:id="rId6">
            <anchor moveWithCells="1">
              <from>
                <xdr:col>1</xdr:col>
                <xdr:colOff>114300</xdr:colOff>
                <xdr:row>4</xdr:row>
                <xdr:rowOff>7620</xdr:rowOff>
              </from>
              <to>
                <xdr:col>2</xdr:col>
                <xdr:colOff>670560</xdr:colOff>
                <xdr:row>5</xdr:row>
                <xdr:rowOff>83820</xdr:rowOff>
              </to>
            </anchor>
          </controlPr>
        </control>
      </mc:Choice>
      <mc:Fallback>
        <control shapeId="84994" r:id="rId5" name="TextBox1BUSCPAGOS"/>
      </mc:Fallback>
    </mc:AlternateContent>
    <mc:AlternateContent xmlns:mc="http://schemas.openxmlformats.org/markup-compatibility/2006">
      <mc:Choice Requires="x14">
        <control shapeId="84995" r:id="rId7" name="BTLOBBYPAGOS">
          <controlPr defaultSize="0" autoLine="0" r:id="rId8">
            <anchor moveWithCells="1">
              <from>
                <xdr:col>6</xdr:col>
                <xdr:colOff>121920</xdr:colOff>
                <xdr:row>3</xdr:row>
                <xdr:rowOff>175260</xdr:rowOff>
              </from>
              <to>
                <xdr:col>7</xdr:col>
                <xdr:colOff>312420</xdr:colOff>
                <xdr:row>5</xdr:row>
                <xdr:rowOff>167640</xdr:rowOff>
              </to>
            </anchor>
          </controlPr>
        </control>
      </mc:Choice>
      <mc:Fallback>
        <control shapeId="84995" r:id="rId7" name="BTLOBBYPAGOS"/>
      </mc:Fallback>
    </mc:AlternateContent>
  </controls>
  <tableParts count="1">
    <tablePart r:id="rId9"/>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84BE8-596C-4FAF-8690-BDB7BD2B9BF7}">
  <sheetPr codeName="Hoja17"/>
  <dimension ref="B1:I118"/>
  <sheetViews>
    <sheetView showGridLines="0" workbookViewId="0">
      <selection activeCell="B9" sqref="B9"/>
    </sheetView>
  </sheetViews>
  <sheetFormatPr baseColWidth="10" defaultRowHeight="14.4"/>
  <cols>
    <col min="1" max="1" width="5.88671875" customWidth="1"/>
    <col min="2" max="2" width="24.6640625" customWidth="1"/>
    <col min="3" max="3" width="18.44140625" customWidth="1"/>
    <col min="4" max="4" width="31.109375" customWidth="1"/>
    <col min="5" max="6" width="31.33203125" customWidth="1"/>
    <col min="7" max="7" width="12" customWidth="1"/>
    <col min="8" max="8" width="12.88671875" bestFit="1" customWidth="1"/>
    <col min="9" max="9" width="29" customWidth="1"/>
  </cols>
  <sheetData>
    <row r="1" spans="2:9">
      <c r="B1" s="155"/>
      <c r="C1" s="690"/>
      <c r="D1" s="690"/>
    </row>
    <row r="3" spans="2:9">
      <c r="B3" s="253"/>
      <c r="C3" s="253"/>
      <c r="D3" s="253"/>
      <c r="E3" s="253"/>
      <c r="F3" s="253"/>
      <c r="G3" s="253"/>
      <c r="H3" s="253"/>
      <c r="I3" s="253"/>
    </row>
    <row r="4" spans="2:9">
      <c r="B4" s="255"/>
      <c r="C4" s="255"/>
      <c r="D4" s="255"/>
      <c r="E4" s="255"/>
      <c r="F4" s="255"/>
      <c r="G4" s="255"/>
      <c r="H4" s="255"/>
      <c r="I4" s="255"/>
    </row>
    <row r="7" spans="2:9">
      <c r="B7" s="202">
        <v>1</v>
      </c>
    </row>
    <row r="8" spans="2:9">
      <c r="B8" s="254">
        <v>21</v>
      </c>
    </row>
    <row r="9" spans="2:9">
      <c r="B9" s="253" t="s">
        <v>1</v>
      </c>
      <c r="C9" s="252" t="s">
        <v>263</v>
      </c>
      <c r="D9" s="252" t="s">
        <v>387</v>
      </c>
      <c r="E9" s="252" t="s">
        <v>259</v>
      </c>
      <c r="F9" s="252" t="s">
        <v>261</v>
      </c>
      <c r="G9" s="252" t="s">
        <v>434</v>
      </c>
      <c r="H9" s="252" t="s">
        <v>145</v>
      </c>
      <c r="I9" s="252" t="s">
        <v>95</v>
      </c>
    </row>
    <row r="10" spans="2:9">
      <c r="B10" s="135"/>
      <c r="C10" s="135"/>
      <c r="D10" s="135"/>
      <c r="E10" s="135"/>
      <c r="F10" s="135"/>
      <c r="G10" s="136"/>
      <c r="H10" s="135"/>
      <c r="I10" s="137"/>
    </row>
    <row r="11" spans="2:9">
      <c r="B11" s="135" t="s">
        <v>1634</v>
      </c>
      <c r="C11" s="135"/>
      <c r="D11" s="135"/>
      <c r="E11" s="135"/>
      <c r="F11" s="135"/>
      <c r="G11" s="136"/>
      <c r="H11" s="135"/>
      <c r="I11" s="137"/>
    </row>
    <row r="12" spans="2:9">
      <c r="B12" s="135" t="s">
        <v>1624</v>
      </c>
      <c r="C12" s="135"/>
      <c r="D12" s="135"/>
      <c r="E12" s="135"/>
      <c r="F12" s="135"/>
      <c r="G12" s="136"/>
      <c r="H12" s="135"/>
      <c r="I12" s="137"/>
    </row>
    <row r="13" spans="2:9">
      <c r="B13" s="135" t="s">
        <v>1624</v>
      </c>
      <c r="C13" s="135"/>
      <c r="D13" s="135"/>
      <c r="E13" s="135"/>
      <c r="F13" s="135"/>
      <c r="G13" s="136"/>
      <c r="H13" s="135"/>
      <c r="I13" s="137"/>
    </row>
    <row r="14" spans="2:9">
      <c r="B14" s="135" t="s">
        <v>1611</v>
      </c>
      <c r="C14" s="135" t="s">
        <v>1612</v>
      </c>
      <c r="D14" s="135" t="s">
        <v>1611</v>
      </c>
      <c r="E14" s="135"/>
      <c r="F14" s="135"/>
      <c r="G14" s="136"/>
      <c r="H14" s="135"/>
      <c r="I14" s="137"/>
    </row>
    <row r="15" spans="2:9">
      <c r="B15" s="135" t="s">
        <v>1610</v>
      </c>
      <c r="C15" s="135"/>
      <c r="D15" s="135"/>
      <c r="E15" s="135"/>
      <c r="F15" s="135"/>
      <c r="G15" s="136"/>
      <c r="H15" s="135"/>
      <c r="I15" s="137"/>
    </row>
    <row r="16" spans="2:9">
      <c r="B16" s="135" t="s">
        <v>1603</v>
      </c>
      <c r="C16" s="135"/>
      <c r="D16" s="135"/>
      <c r="E16" s="135"/>
      <c r="F16" s="135"/>
      <c r="G16" s="136"/>
      <c r="H16" s="135"/>
      <c r="I16" s="137"/>
    </row>
    <row r="17" spans="2:9">
      <c r="B17" s="135" t="s">
        <v>1566</v>
      </c>
      <c r="C17" s="135"/>
      <c r="D17" s="135"/>
      <c r="E17" s="135"/>
      <c r="F17" s="135" t="s">
        <v>1568</v>
      </c>
      <c r="G17" s="136"/>
      <c r="H17" s="135" t="s">
        <v>1567</v>
      </c>
      <c r="I17" s="137"/>
    </row>
    <row r="18" spans="2:9">
      <c r="B18" s="135" t="s">
        <v>1561</v>
      </c>
      <c r="C18" s="135"/>
      <c r="D18" s="135"/>
      <c r="E18" s="135"/>
      <c r="F18" s="135"/>
      <c r="G18" s="136"/>
      <c r="H18" s="135" t="s">
        <v>1560</v>
      </c>
      <c r="I18" s="137"/>
    </row>
    <row r="19" spans="2:9">
      <c r="B19" s="135" t="s">
        <v>1549</v>
      </c>
      <c r="C19" s="135"/>
      <c r="D19" s="135"/>
      <c r="E19" s="135"/>
      <c r="F19" s="135"/>
      <c r="G19" s="136"/>
      <c r="H19" s="135"/>
      <c r="I19" s="137"/>
    </row>
    <row r="20" spans="2:9">
      <c r="B20" s="135" t="s">
        <v>1541</v>
      </c>
      <c r="C20" s="135"/>
      <c r="D20" s="135"/>
      <c r="E20" s="135"/>
      <c r="F20" s="135" t="s">
        <v>1542</v>
      </c>
      <c r="G20" s="136"/>
      <c r="H20" s="135" t="s">
        <v>1543</v>
      </c>
      <c r="I20" s="137"/>
    </row>
    <row r="21" spans="2:9">
      <c r="B21" s="135" t="s">
        <v>1535</v>
      </c>
      <c r="C21" s="135"/>
      <c r="D21" s="135" t="s">
        <v>1538</v>
      </c>
      <c r="E21" s="135"/>
      <c r="F21" s="135" t="s">
        <v>1537</v>
      </c>
      <c r="G21" s="136"/>
      <c r="H21" s="135" t="s">
        <v>1536</v>
      </c>
      <c r="I21" s="137"/>
    </row>
    <row r="22" spans="2:9">
      <c r="B22" s="135" t="s">
        <v>1524</v>
      </c>
      <c r="C22" s="135"/>
      <c r="D22" s="135"/>
      <c r="E22" s="135"/>
      <c r="F22" s="135" t="s">
        <v>1525</v>
      </c>
      <c r="G22" s="136"/>
      <c r="H22" s="135" t="s">
        <v>1526</v>
      </c>
      <c r="I22" s="137"/>
    </row>
    <row r="23" spans="2:9">
      <c r="B23" s="135" t="s">
        <v>1522</v>
      </c>
      <c r="C23" s="135"/>
      <c r="D23" s="135"/>
      <c r="E23" s="135"/>
      <c r="F23" s="135"/>
      <c r="G23" s="136"/>
      <c r="H23" s="135" t="s">
        <v>1523</v>
      </c>
      <c r="I23" s="137"/>
    </row>
    <row r="24" spans="2:9">
      <c r="B24" s="135" t="s">
        <v>1518</v>
      </c>
      <c r="C24" s="135"/>
      <c r="D24" s="135"/>
      <c r="E24" s="135"/>
      <c r="F24" s="135"/>
      <c r="G24" s="136"/>
      <c r="H24" s="135" t="s">
        <v>1519</v>
      </c>
      <c r="I24" s="137"/>
    </row>
    <row r="25" spans="2:9">
      <c r="B25" s="135" t="s">
        <v>1517</v>
      </c>
      <c r="C25" s="135"/>
      <c r="D25" s="135"/>
      <c r="E25" s="135"/>
      <c r="F25" s="135"/>
      <c r="G25" s="136"/>
      <c r="H25" s="135"/>
      <c r="I25" s="137"/>
    </row>
    <row r="26" spans="2:9">
      <c r="B26" s="135" t="s">
        <v>1512</v>
      </c>
      <c r="C26" s="135"/>
      <c r="D26" s="135"/>
      <c r="E26" s="135"/>
      <c r="F26" s="135"/>
      <c r="G26" s="136"/>
      <c r="H26" s="135" t="s">
        <v>1513</v>
      </c>
      <c r="I26" s="137"/>
    </row>
    <row r="27" spans="2:9">
      <c r="B27" s="135" t="s">
        <v>1503</v>
      </c>
      <c r="C27" s="135"/>
      <c r="D27" s="135"/>
      <c r="E27" s="135"/>
      <c r="F27" s="135" t="s">
        <v>1504</v>
      </c>
      <c r="G27" s="136"/>
      <c r="H27" s="135" t="s">
        <v>1505</v>
      </c>
      <c r="I27" s="137"/>
    </row>
    <row r="28" spans="2:9">
      <c r="B28" s="135" t="s">
        <v>1486</v>
      </c>
      <c r="C28" s="135"/>
      <c r="D28" s="135"/>
      <c r="E28" s="135"/>
      <c r="F28" s="135"/>
      <c r="G28" s="136"/>
      <c r="H28" s="135" t="s">
        <v>1487</v>
      </c>
      <c r="I28" s="137"/>
    </row>
    <row r="29" spans="2:9">
      <c r="B29" s="135" t="s">
        <v>1480</v>
      </c>
      <c r="C29" s="135"/>
      <c r="D29" s="135"/>
      <c r="E29" s="135"/>
      <c r="F29" s="135"/>
      <c r="G29" s="136"/>
      <c r="H29" s="135" t="s">
        <v>1481</v>
      </c>
      <c r="I29" s="137"/>
    </row>
    <row r="30" spans="2:9">
      <c r="B30" s="135" t="s">
        <v>1473</v>
      </c>
      <c r="C30" s="135"/>
      <c r="D30" s="135" t="s">
        <v>1472</v>
      </c>
      <c r="E30" s="135"/>
      <c r="F30" s="135"/>
      <c r="G30" s="136"/>
      <c r="H30" s="135" t="s">
        <v>1474</v>
      </c>
      <c r="I30" s="137"/>
    </row>
    <row r="31" spans="2:9">
      <c r="B31" s="135" t="s">
        <v>1440</v>
      </c>
      <c r="C31" s="135"/>
      <c r="D31" s="135"/>
      <c r="E31" s="135"/>
      <c r="F31" s="135"/>
      <c r="G31" s="136"/>
      <c r="H31" s="135" t="s">
        <v>1502</v>
      </c>
      <c r="I31" s="137"/>
    </row>
    <row r="32" spans="2:9">
      <c r="B32" s="135" t="s">
        <v>1434</v>
      </c>
      <c r="C32" s="135"/>
      <c r="D32" s="135"/>
      <c r="E32" s="135"/>
      <c r="F32" s="135"/>
      <c r="G32" s="136"/>
      <c r="H32" s="135" t="s">
        <v>1437</v>
      </c>
      <c r="I32" s="137"/>
    </row>
    <row r="33" spans="2:9">
      <c r="B33" s="135" t="s">
        <v>1428</v>
      </c>
      <c r="C33" s="135"/>
      <c r="D33" s="135"/>
      <c r="E33" s="135"/>
      <c r="F33" s="135"/>
      <c r="G33" s="136"/>
      <c r="H33" s="135"/>
      <c r="I33" s="137"/>
    </row>
    <row r="34" spans="2:9">
      <c r="B34" s="135" t="s">
        <v>1424</v>
      </c>
      <c r="C34" s="135"/>
      <c r="D34" s="135"/>
      <c r="E34" s="135"/>
      <c r="F34" s="135" t="s">
        <v>1426</v>
      </c>
      <c r="G34" s="136"/>
      <c r="H34" s="135" t="s">
        <v>1425</v>
      </c>
      <c r="I34" s="137"/>
    </row>
    <row r="35" spans="2:9">
      <c r="B35" s="135" t="s">
        <v>1417</v>
      </c>
      <c r="C35" s="135"/>
      <c r="D35" s="135"/>
      <c r="E35" s="135"/>
      <c r="F35" s="135"/>
      <c r="G35" s="136"/>
      <c r="H35" s="135"/>
      <c r="I35" s="137"/>
    </row>
    <row r="36" spans="2:9">
      <c r="B36" s="135" t="s">
        <v>1408</v>
      </c>
      <c r="C36" s="135"/>
      <c r="D36" s="135"/>
      <c r="E36" s="135"/>
      <c r="F36" s="135"/>
      <c r="G36" s="136"/>
      <c r="H36" s="135" t="s">
        <v>1409</v>
      </c>
      <c r="I36" s="137"/>
    </row>
    <row r="37" spans="2:9">
      <c r="B37" s="135" t="s">
        <v>1407</v>
      </c>
      <c r="C37" s="135"/>
      <c r="D37" s="135"/>
      <c r="E37" s="135"/>
      <c r="F37" s="135"/>
      <c r="G37" s="136"/>
      <c r="H37" s="135"/>
      <c r="I37" s="137"/>
    </row>
    <row r="38" spans="2:9">
      <c r="B38" s="135" t="s">
        <v>1406</v>
      </c>
      <c r="C38" s="135"/>
      <c r="D38" s="135"/>
      <c r="E38" s="135"/>
      <c r="F38" s="135"/>
      <c r="G38" s="136"/>
      <c r="H38" s="135" t="s">
        <v>1399</v>
      </c>
      <c r="I38" s="137"/>
    </row>
    <row r="39" spans="2:9">
      <c r="B39" s="135" t="s">
        <v>1388</v>
      </c>
      <c r="C39" s="135"/>
      <c r="D39" s="135"/>
      <c r="E39" s="135"/>
      <c r="F39" s="135"/>
      <c r="G39" s="136"/>
      <c r="H39" s="135">
        <v>5573749806</v>
      </c>
      <c r="I39" s="137"/>
    </row>
    <row r="40" spans="2:9">
      <c r="B40" s="135" t="s">
        <v>1386</v>
      </c>
      <c r="C40" s="135"/>
      <c r="D40" s="135"/>
      <c r="E40" s="135"/>
      <c r="F40" s="135"/>
      <c r="G40" s="136"/>
      <c r="H40" s="135"/>
      <c r="I40" s="137"/>
    </row>
    <row r="41" spans="2:9">
      <c r="B41" s="135" t="s">
        <v>1377</v>
      </c>
      <c r="C41" s="135"/>
      <c r="D41" s="135"/>
      <c r="E41" s="135"/>
      <c r="F41" s="135"/>
      <c r="G41" s="136"/>
      <c r="H41" s="135"/>
      <c r="I41" s="137"/>
    </row>
    <row r="42" spans="2:9">
      <c r="B42" s="135" t="s">
        <v>1372</v>
      </c>
      <c r="C42" s="135"/>
      <c r="D42" s="135"/>
      <c r="E42" s="135"/>
      <c r="F42" s="135"/>
      <c r="G42" s="136"/>
      <c r="H42" s="135" t="s">
        <v>1373</v>
      </c>
      <c r="I42" s="137"/>
    </row>
    <row r="43" spans="2:9">
      <c r="B43" s="135" t="s">
        <v>1359</v>
      </c>
      <c r="C43" s="135"/>
      <c r="D43" s="135"/>
      <c r="E43" s="135"/>
      <c r="F43" s="135"/>
      <c r="G43" s="136"/>
      <c r="H43" s="135" t="s">
        <v>1358</v>
      </c>
      <c r="I43" s="137"/>
    </row>
    <row r="44" spans="2:9">
      <c r="B44" s="135" t="s">
        <v>1041</v>
      </c>
      <c r="C44" s="135"/>
      <c r="D44" s="135"/>
      <c r="E44" s="135"/>
      <c r="F44" s="135"/>
      <c r="G44" s="136"/>
      <c r="H44" s="135"/>
      <c r="I44" s="137"/>
    </row>
    <row r="45" spans="2:9">
      <c r="B45" s="135" t="s">
        <v>1340</v>
      </c>
      <c r="C45" s="135"/>
      <c r="D45" s="135"/>
      <c r="E45" s="135"/>
      <c r="F45" s="135"/>
      <c r="G45" s="136"/>
      <c r="H45" s="135" t="s">
        <v>1341</v>
      </c>
      <c r="I45" s="137"/>
    </row>
    <row r="46" spans="2:9">
      <c r="B46" s="135" t="s">
        <v>1331</v>
      </c>
      <c r="C46" s="135"/>
      <c r="D46" s="135" t="s">
        <v>1493</v>
      </c>
      <c r="E46" s="135"/>
      <c r="F46" s="135"/>
      <c r="G46" s="136"/>
      <c r="H46" s="135" t="s">
        <v>1491</v>
      </c>
      <c r="I46" s="137" t="s">
        <v>1492</v>
      </c>
    </row>
    <row r="47" spans="2:9">
      <c r="B47" s="135" t="s">
        <v>1303</v>
      </c>
      <c r="C47" s="135"/>
      <c r="D47" s="135"/>
      <c r="E47" s="135"/>
      <c r="F47" s="135"/>
      <c r="G47" s="136"/>
      <c r="H47" s="135" t="s">
        <v>1304</v>
      </c>
      <c r="I47" s="137"/>
    </row>
    <row r="48" spans="2:9">
      <c r="B48" s="135" t="s">
        <v>1533</v>
      </c>
      <c r="C48" s="135"/>
      <c r="D48" s="135" t="s">
        <v>1534</v>
      </c>
      <c r="E48" s="135"/>
      <c r="F48" s="135"/>
      <c r="G48" s="136"/>
      <c r="H48" s="135"/>
      <c r="I48" s="137"/>
    </row>
    <row r="49" spans="2:9">
      <c r="B49" s="135" t="s">
        <v>1288</v>
      </c>
      <c r="C49" s="135"/>
      <c r="D49" s="135"/>
      <c r="E49" s="135"/>
      <c r="F49" s="135"/>
      <c r="G49" s="136"/>
      <c r="H49" s="135"/>
      <c r="I49" s="137"/>
    </row>
    <row r="50" spans="2:9">
      <c r="B50" s="135" t="s">
        <v>1287</v>
      </c>
      <c r="C50" s="135"/>
      <c r="D50" s="135"/>
      <c r="E50" s="135"/>
      <c r="F50" s="135"/>
      <c r="G50" s="136"/>
      <c r="H50" s="135"/>
      <c r="I50" s="137"/>
    </row>
    <row r="51" spans="2:9">
      <c r="B51" s="135" t="s">
        <v>1263</v>
      </c>
      <c r="C51" s="135"/>
      <c r="D51" s="135"/>
      <c r="E51" s="135"/>
      <c r="F51" s="135"/>
      <c r="G51" s="136"/>
      <c r="H51" s="135"/>
      <c r="I51" s="137"/>
    </row>
    <row r="52" spans="2:9">
      <c r="B52" s="135" t="s">
        <v>1259</v>
      </c>
      <c r="C52" s="135"/>
      <c r="D52" s="135"/>
      <c r="E52" s="135"/>
      <c r="F52" s="135"/>
      <c r="G52" s="136"/>
      <c r="H52" s="135"/>
      <c r="I52" s="137"/>
    </row>
    <row r="53" spans="2:9">
      <c r="B53" s="135" t="s">
        <v>1258</v>
      </c>
      <c r="C53" s="135"/>
      <c r="D53" s="135"/>
      <c r="E53" s="135"/>
      <c r="F53" s="135"/>
      <c r="G53" s="136"/>
      <c r="H53" s="135"/>
      <c r="I53" s="137"/>
    </row>
    <row r="54" spans="2:9">
      <c r="B54" s="135" t="s">
        <v>1256</v>
      </c>
      <c r="C54" s="135"/>
      <c r="D54" s="135"/>
      <c r="E54" s="135"/>
      <c r="F54" s="135"/>
      <c r="G54" s="136"/>
      <c r="H54" s="135"/>
      <c r="I54" s="137"/>
    </row>
    <row r="55" spans="2:9">
      <c r="B55" s="135" t="s">
        <v>1254</v>
      </c>
      <c r="C55" s="135"/>
      <c r="D55" s="135"/>
      <c r="E55" s="135"/>
      <c r="F55" s="135"/>
      <c r="G55" s="136"/>
      <c r="H55" s="135"/>
      <c r="I55" s="137"/>
    </row>
    <row r="56" spans="2:9">
      <c r="B56" s="135" t="s">
        <v>1241</v>
      </c>
      <c r="C56" s="135"/>
      <c r="D56" s="135"/>
      <c r="E56" s="135"/>
      <c r="F56" s="135"/>
      <c r="G56" s="136"/>
      <c r="H56" s="135"/>
      <c r="I56" s="137"/>
    </row>
    <row r="57" spans="2:9">
      <c r="B57" s="135" t="s">
        <v>1236</v>
      </c>
      <c r="C57" s="135"/>
      <c r="D57" s="135"/>
      <c r="E57" s="135"/>
      <c r="F57" s="135"/>
      <c r="G57" s="136"/>
      <c r="H57" s="135"/>
      <c r="I57" s="137"/>
    </row>
    <row r="58" spans="2:9">
      <c r="B58" s="135" t="s">
        <v>1228</v>
      </c>
      <c r="C58" s="135"/>
      <c r="D58" s="135"/>
      <c r="E58" s="135"/>
      <c r="F58" s="135"/>
      <c r="G58" s="136"/>
      <c r="H58" s="135"/>
      <c r="I58" s="137"/>
    </row>
    <row r="59" spans="2:9" hidden="1">
      <c r="B59" s="135"/>
      <c r="C59" s="135"/>
      <c r="D59" s="135"/>
      <c r="E59" s="135"/>
      <c r="F59" s="135"/>
      <c r="G59" s="136"/>
      <c r="H59" s="135"/>
      <c r="I59" s="137"/>
    </row>
    <row r="60" spans="2:9">
      <c r="B60" s="135" t="s">
        <v>1219</v>
      </c>
      <c r="C60" s="135"/>
      <c r="D60" s="135"/>
      <c r="E60" s="135"/>
      <c r="F60" s="135"/>
      <c r="G60" s="136"/>
      <c r="H60" s="135" t="s">
        <v>1220</v>
      </c>
      <c r="I60" s="137"/>
    </row>
    <row r="61" spans="2:9">
      <c r="B61" s="135" t="s">
        <v>1199</v>
      </c>
      <c r="C61" s="135" t="s">
        <v>1200</v>
      </c>
      <c r="D61" s="135" t="s">
        <v>1199</v>
      </c>
      <c r="E61" s="135" t="s">
        <v>1201</v>
      </c>
      <c r="F61" s="135" t="s">
        <v>1202</v>
      </c>
      <c r="G61" s="136">
        <v>43734</v>
      </c>
      <c r="H61" s="135"/>
      <c r="I61" s="137"/>
    </row>
    <row r="62" spans="2:9">
      <c r="B62" s="135" t="s">
        <v>1147</v>
      </c>
      <c r="C62" s="135"/>
      <c r="D62" s="135"/>
      <c r="E62" s="135"/>
      <c r="F62" s="135"/>
      <c r="G62" s="136"/>
      <c r="H62" s="135"/>
      <c r="I62" s="137"/>
    </row>
    <row r="63" spans="2:9">
      <c r="B63" s="135" t="s">
        <v>1136</v>
      </c>
      <c r="C63" s="135"/>
      <c r="D63" s="135"/>
      <c r="E63" s="135"/>
      <c r="F63" s="135"/>
      <c r="G63" s="136"/>
      <c r="H63" s="135"/>
      <c r="I63" s="137"/>
    </row>
    <row r="64" spans="2:9">
      <c r="B64" s="135" t="s">
        <v>1033</v>
      </c>
      <c r="C64" s="135"/>
      <c r="D64" s="135"/>
      <c r="E64" s="135"/>
      <c r="F64" s="135"/>
      <c r="G64" s="136"/>
      <c r="H64" s="135"/>
      <c r="I64" s="137"/>
    </row>
    <row r="65" spans="2:9">
      <c r="B65" s="135" t="s">
        <v>1028</v>
      </c>
      <c r="C65" s="135"/>
      <c r="D65" s="135"/>
      <c r="E65" s="135"/>
      <c r="F65" s="135"/>
      <c r="G65" s="136"/>
      <c r="H65" s="135"/>
      <c r="I65" s="137"/>
    </row>
    <row r="66" spans="2:9">
      <c r="B66" s="135" t="s">
        <v>1018</v>
      </c>
      <c r="C66" s="135"/>
      <c r="D66" s="135"/>
      <c r="E66" s="135"/>
      <c r="F66" s="135"/>
      <c r="G66" s="136"/>
      <c r="H66" s="135"/>
      <c r="I66" s="137"/>
    </row>
    <row r="67" spans="2:9">
      <c r="B67" s="135" t="s">
        <v>766</v>
      </c>
      <c r="C67" s="135" t="s">
        <v>767</v>
      </c>
      <c r="D67" s="135" t="s">
        <v>766</v>
      </c>
      <c r="E67" s="135" t="s">
        <v>768</v>
      </c>
      <c r="F67" s="135" t="s">
        <v>769</v>
      </c>
      <c r="G67" s="136">
        <v>43730</v>
      </c>
      <c r="H67" s="135"/>
      <c r="I67" s="137"/>
    </row>
    <row r="68" spans="2:9">
      <c r="B68" s="135" t="s">
        <v>760</v>
      </c>
      <c r="C68" s="135" t="s">
        <v>761</v>
      </c>
      <c r="D68" s="135" t="s">
        <v>760</v>
      </c>
      <c r="E68" s="135" t="s">
        <v>762</v>
      </c>
      <c r="F68" s="135" t="s">
        <v>660</v>
      </c>
      <c r="G68" s="136">
        <v>90135</v>
      </c>
      <c r="H68" s="135"/>
      <c r="I68" s="137"/>
    </row>
    <row r="69" spans="2:9">
      <c r="B69" s="135" t="s">
        <v>756</v>
      </c>
      <c r="C69" s="135" t="s">
        <v>757</v>
      </c>
      <c r="D69" s="135" t="s">
        <v>756</v>
      </c>
      <c r="E69" s="135" t="s">
        <v>758</v>
      </c>
      <c r="F69" s="135" t="s">
        <v>759</v>
      </c>
      <c r="G69" s="136">
        <v>43734</v>
      </c>
      <c r="H69" s="135"/>
      <c r="I69" s="137"/>
    </row>
    <row r="70" spans="2:9">
      <c r="B70" s="135" t="s">
        <v>751</v>
      </c>
      <c r="C70" s="135" t="s">
        <v>752</v>
      </c>
      <c r="D70" s="135" t="s">
        <v>751</v>
      </c>
      <c r="E70" s="135" t="s">
        <v>753</v>
      </c>
      <c r="F70" s="135" t="s">
        <v>754</v>
      </c>
      <c r="G70" s="136">
        <v>72640</v>
      </c>
      <c r="H70" s="135"/>
      <c r="I70" s="137" t="s">
        <v>755</v>
      </c>
    </row>
    <row r="71" spans="2:9">
      <c r="B71" s="135" t="s">
        <v>745</v>
      </c>
      <c r="C71" s="135" t="s">
        <v>746</v>
      </c>
      <c r="D71" s="135" t="s">
        <v>745</v>
      </c>
      <c r="E71" s="135" t="s">
        <v>747</v>
      </c>
      <c r="F71" s="135" t="s">
        <v>748</v>
      </c>
      <c r="G71" s="136">
        <v>43820</v>
      </c>
      <c r="H71" s="135"/>
      <c r="I71" s="137"/>
    </row>
    <row r="72" spans="2:9">
      <c r="B72" s="135" t="s">
        <v>606</v>
      </c>
      <c r="C72" s="135" t="s">
        <v>607</v>
      </c>
      <c r="D72" s="135" t="s">
        <v>606</v>
      </c>
      <c r="E72" s="135" t="s">
        <v>608</v>
      </c>
      <c r="F72" s="135" t="s">
        <v>609</v>
      </c>
      <c r="G72" s="136">
        <v>73191</v>
      </c>
      <c r="H72" s="135"/>
      <c r="I72" s="137"/>
    </row>
    <row r="73" spans="2:9">
      <c r="B73" s="135" t="s">
        <v>586</v>
      </c>
      <c r="C73" s="135" t="s">
        <v>669</v>
      </c>
      <c r="D73" s="135" t="s">
        <v>670</v>
      </c>
      <c r="E73" s="135" t="s">
        <v>671</v>
      </c>
      <c r="F73" s="135" t="s">
        <v>672</v>
      </c>
      <c r="G73" s="136">
        <v>56020</v>
      </c>
      <c r="H73" s="135"/>
      <c r="I73" s="137"/>
    </row>
    <row r="74" spans="2:9">
      <c r="B74" s="135" t="s">
        <v>716</v>
      </c>
      <c r="C74" s="135" t="s">
        <v>717</v>
      </c>
      <c r="D74" s="135" t="s">
        <v>716</v>
      </c>
      <c r="E74" s="135" t="s">
        <v>718</v>
      </c>
      <c r="F74" s="135" t="s">
        <v>569</v>
      </c>
      <c r="G74" s="136">
        <v>73180</v>
      </c>
      <c r="H74" s="135"/>
      <c r="I74" s="137" t="s">
        <v>719</v>
      </c>
    </row>
    <row r="75" spans="2:9">
      <c r="B75" s="135" t="s">
        <v>585</v>
      </c>
      <c r="C75" s="135" t="s">
        <v>720</v>
      </c>
      <c r="D75" s="135" t="s">
        <v>721</v>
      </c>
      <c r="E75" s="135" t="s">
        <v>722</v>
      </c>
      <c r="F75" s="135" t="s">
        <v>723</v>
      </c>
      <c r="G75" s="136">
        <v>57130</v>
      </c>
      <c r="H75" s="135"/>
      <c r="I75" s="137"/>
    </row>
    <row r="76" spans="2:9">
      <c r="B76" s="135" t="s">
        <v>738</v>
      </c>
      <c r="C76" s="135" t="s">
        <v>739</v>
      </c>
      <c r="D76" s="135" t="s">
        <v>738</v>
      </c>
      <c r="E76" s="135" t="s">
        <v>740</v>
      </c>
      <c r="F76" s="135" t="s">
        <v>741</v>
      </c>
      <c r="G76" s="136">
        <v>25750</v>
      </c>
      <c r="H76" s="135"/>
      <c r="I76" s="137"/>
    </row>
    <row r="77" spans="2:9">
      <c r="B77" s="135" t="s">
        <v>630</v>
      </c>
      <c r="C77" s="135" t="s">
        <v>631</v>
      </c>
      <c r="D77" s="135" t="s">
        <v>630</v>
      </c>
      <c r="E77" s="135" t="s">
        <v>632</v>
      </c>
      <c r="F77" s="135" t="s">
        <v>633</v>
      </c>
      <c r="G77" s="136">
        <v>73160</v>
      </c>
      <c r="H77" s="135"/>
      <c r="I77" s="137"/>
    </row>
    <row r="78" spans="2:9">
      <c r="B78" s="135" t="s">
        <v>724</v>
      </c>
      <c r="C78" s="135" t="s">
        <v>725</v>
      </c>
      <c r="D78" s="135" t="s">
        <v>724</v>
      </c>
      <c r="E78" s="135" t="s">
        <v>608</v>
      </c>
      <c r="F78" s="135" t="s">
        <v>609</v>
      </c>
      <c r="G78" s="136">
        <v>73180</v>
      </c>
      <c r="H78" s="135"/>
      <c r="I78" s="137"/>
    </row>
    <row r="79" spans="2:9">
      <c r="B79" s="135" t="s">
        <v>694</v>
      </c>
      <c r="C79" s="135" t="s">
        <v>695</v>
      </c>
      <c r="D79" s="135" t="s">
        <v>694</v>
      </c>
      <c r="E79" s="135"/>
      <c r="F79" s="135" t="s">
        <v>569</v>
      </c>
      <c r="G79" s="136">
        <v>73180</v>
      </c>
      <c r="H79" s="135"/>
      <c r="I79" s="137" t="s">
        <v>696</v>
      </c>
    </row>
    <row r="80" spans="2:9">
      <c r="B80" s="135" t="s">
        <v>705</v>
      </c>
      <c r="C80" s="135" t="s">
        <v>706</v>
      </c>
      <c r="D80" s="135" t="s">
        <v>705</v>
      </c>
      <c r="E80" s="135" t="s">
        <v>707</v>
      </c>
      <c r="F80" s="135" t="s">
        <v>708</v>
      </c>
      <c r="G80" s="136">
        <v>43835</v>
      </c>
      <c r="H80" s="135"/>
      <c r="I80" s="137"/>
    </row>
    <row r="81" spans="2:9">
      <c r="B81" s="135" t="s">
        <v>654</v>
      </c>
      <c r="C81" s="135" t="s">
        <v>655</v>
      </c>
      <c r="D81" s="135" t="s">
        <v>654</v>
      </c>
      <c r="E81" s="135" t="s">
        <v>656</v>
      </c>
      <c r="F81" s="135" t="s">
        <v>657</v>
      </c>
      <c r="G81" s="136">
        <v>73176</v>
      </c>
      <c r="H81" s="135"/>
      <c r="I81" s="137"/>
    </row>
    <row r="82" spans="2:9">
      <c r="B82" s="135" t="s">
        <v>647</v>
      </c>
      <c r="C82" s="135" t="s">
        <v>648</v>
      </c>
      <c r="D82" s="135" t="s">
        <v>647</v>
      </c>
      <c r="E82" s="135" t="s">
        <v>649</v>
      </c>
      <c r="F82" s="135" t="s">
        <v>569</v>
      </c>
      <c r="G82" s="136">
        <v>73180</v>
      </c>
      <c r="H82" s="135"/>
      <c r="I82" s="137"/>
    </row>
    <row r="83" spans="2:9">
      <c r="B83" s="135" t="s">
        <v>679</v>
      </c>
      <c r="C83" s="135" t="s">
        <v>680</v>
      </c>
      <c r="D83" s="135" t="s">
        <v>679</v>
      </c>
      <c r="E83" s="135" t="s">
        <v>681</v>
      </c>
      <c r="F83" s="135" t="s">
        <v>613</v>
      </c>
      <c r="G83" s="136">
        <v>43540</v>
      </c>
      <c r="H83" s="135"/>
      <c r="I83" s="137"/>
    </row>
    <row r="84" spans="2:9">
      <c r="B84" s="135" t="s">
        <v>673</v>
      </c>
      <c r="C84" s="135" t="s">
        <v>674</v>
      </c>
      <c r="D84" s="135" t="s">
        <v>673</v>
      </c>
      <c r="E84" s="135" t="s">
        <v>675</v>
      </c>
      <c r="F84" s="135" t="s">
        <v>569</v>
      </c>
      <c r="G84" s="136">
        <v>73180</v>
      </c>
      <c r="H84" s="135"/>
      <c r="I84" s="137"/>
    </row>
    <row r="85" spans="2:9">
      <c r="B85" s="135" t="s">
        <v>584</v>
      </c>
      <c r="C85" s="135" t="s">
        <v>600</v>
      </c>
      <c r="D85" s="135" t="s">
        <v>601</v>
      </c>
      <c r="E85" s="135" t="s">
        <v>602</v>
      </c>
      <c r="F85" s="135" t="s">
        <v>570</v>
      </c>
      <c r="G85" s="136">
        <v>76220</v>
      </c>
      <c r="H85" s="135"/>
      <c r="I85" s="137"/>
    </row>
    <row r="86" spans="2:9">
      <c r="B86" s="135" t="s">
        <v>701</v>
      </c>
      <c r="C86" s="135" t="s">
        <v>702</v>
      </c>
      <c r="D86" s="135" t="s">
        <v>703</v>
      </c>
      <c r="E86" s="135" t="s">
        <v>704</v>
      </c>
      <c r="F86" s="135" t="s">
        <v>598</v>
      </c>
      <c r="G86" s="136">
        <v>43600</v>
      </c>
      <c r="H86" s="135"/>
      <c r="I86" s="137"/>
    </row>
    <row r="87" spans="2:9">
      <c r="B87" s="135" t="s">
        <v>726</v>
      </c>
      <c r="C87" s="135" t="s">
        <v>727</v>
      </c>
      <c r="D87" s="135" t="s">
        <v>726</v>
      </c>
      <c r="E87" s="135" t="s">
        <v>728</v>
      </c>
      <c r="F87" s="135" t="s">
        <v>620</v>
      </c>
      <c r="G87" s="136">
        <v>55050</v>
      </c>
      <c r="H87" s="135"/>
      <c r="I87" s="137"/>
    </row>
    <row r="88" spans="2:9">
      <c r="B88" s="135" t="s">
        <v>644</v>
      </c>
      <c r="C88" s="135" t="s">
        <v>645</v>
      </c>
      <c r="D88" s="135" t="s">
        <v>644</v>
      </c>
      <c r="E88" s="135" t="s">
        <v>646</v>
      </c>
      <c r="F88" s="135" t="s">
        <v>569</v>
      </c>
      <c r="G88" s="136">
        <v>73180</v>
      </c>
      <c r="H88" s="135"/>
      <c r="I88" s="137"/>
    </row>
    <row r="89" spans="2:9">
      <c r="B89" s="135" t="s">
        <v>591</v>
      </c>
      <c r="C89" s="135" t="s">
        <v>592</v>
      </c>
      <c r="D89" s="135" t="s">
        <v>591</v>
      </c>
      <c r="E89" s="135" t="s">
        <v>593</v>
      </c>
      <c r="F89" s="135" t="s">
        <v>594</v>
      </c>
      <c r="G89" s="136">
        <v>72110</v>
      </c>
      <c r="H89" s="135"/>
      <c r="I89" s="137"/>
    </row>
    <row r="90" spans="2:9">
      <c r="B90" s="135" t="s">
        <v>634</v>
      </c>
      <c r="C90" s="135" t="s">
        <v>635</v>
      </c>
      <c r="D90" s="135" t="s">
        <v>634</v>
      </c>
      <c r="E90" s="135" t="s">
        <v>636</v>
      </c>
      <c r="F90" s="135" t="s">
        <v>598</v>
      </c>
      <c r="G90" s="136">
        <v>43600</v>
      </c>
      <c r="H90" s="135"/>
      <c r="I90" s="137" t="s">
        <v>637</v>
      </c>
    </row>
    <row r="91" spans="2:9">
      <c r="B91" s="135" t="s">
        <v>729</v>
      </c>
      <c r="C91" s="135" t="s">
        <v>730</v>
      </c>
      <c r="D91" s="135" t="s">
        <v>731</v>
      </c>
      <c r="E91" s="135" t="s">
        <v>732</v>
      </c>
      <c r="F91" s="135" t="s">
        <v>569</v>
      </c>
      <c r="G91" s="136">
        <v>73180</v>
      </c>
      <c r="H91" s="135"/>
      <c r="I91" s="137" t="s">
        <v>733</v>
      </c>
    </row>
    <row r="92" spans="2:9">
      <c r="B92" s="135" t="s">
        <v>582</v>
      </c>
      <c r="C92" s="135"/>
      <c r="D92" s="135"/>
      <c r="E92" s="135"/>
      <c r="F92" s="135"/>
      <c r="G92" s="136"/>
      <c r="H92" s="135"/>
      <c r="I92" s="137"/>
    </row>
    <row r="93" spans="2:9">
      <c r="B93" s="135" t="s">
        <v>603</v>
      </c>
      <c r="C93" s="135" t="s">
        <v>604</v>
      </c>
      <c r="D93" s="135" t="s">
        <v>603</v>
      </c>
      <c r="E93" s="135" t="s">
        <v>605</v>
      </c>
      <c r="F93" s="135" t="s">
        <v>583</v>
      </c>
      <c r="G93" s="136">
        <v>73180</v>
      </c>
      <c r="H93" s="135"/>
      <c r="I93" s="137"/>
    </row>
    <row r="94" spans="2:9">
      <c r="B94" s="135" t="s">
        <v>697</v>
      </c>
      <c r="C94" s="135" t="s">
        <v>698</v>
      </c>
      <c r="D94" s="135" t="s">
        <v>697</v>
      </c>
      <c r="E94" s="135" t="s">
        <v>699</v>
      </c>
      <c r="F94" s="135" t="s">
        <v>700</v>
      </c>
      <c r="G94" s="136">
        <v>43590</v>
      </c>
      <c r="H94" s="135"/>
      <c r="I94" s="137"/>
    </row>
    <row r="95" spans="2:9">
      <c r="B95" s="135" t="s">
        <v>577</v>
      </c>
      <c r="C95" s="135" t="s">
        <v>578</v>
      </c>
      <c r="D95" s="135" t="s">
        <v>577</v>
      </c>
      <c r="E95" s="135" t="s">
        <v>580</v>
      </c>
      <c r="F95" s="135" t="s">
        <v>579</v>
      </c>
      <c r="G95" s="136">
        <v>73310</v>
      </c>
      <c r="H95" s="135" t="s">
        <v>581</v>
      </c>
      <c r="I95" s="137"/>
    </row>
    <row r="96" spans="2:9">
      <c r="B96" s="135" t="s">
        <v>742</v>
      </c>
      <c r="C96" s="135" t="s">
        <v>743</v>
      </c>
      <c r="D96" s="135" t="s">
        <v>742</v>
      </c>
      <c r="E96" s="135" t="s">
        <v>744</v>
      </c>
      <c r="F96" s="135" t="s">
        <v>579</v>
      </c>
      <c r="G96" s="136">
        <v>73310</v>
      </c>
      <c r="H96" s="135"/>
      <c r="I96" s="137"/>
    </row>
    <row r="97" spans="2:9">
      <c r="B97" s="135" t="s">
        <v>595</v>
      </c>
      <c r="C97" s="135" t="s">
        <v>596</v>
      </c>
      <c r="D97" s="135" t="s">
        <v>595</v>
      </c>
      <c r="E97" s="135" t="s">
        <v>597</v>
      </c>
      <c r="F97" s="135" t="s">
        <v>598</v>
      </c>
      <c r="G97" s="136">
        <v>43660</v>
      </c>
      <c r="H97" s="135"/>
      <c r="I97" s="137" t="s">
        <v>599</v>
      </c>
    </row>
    <row r="98" spans="2:9">
      <c r="B98" s="135" t="s">
        <v>610</v>
      </c>
      <c r="C98" s="135" t="s">
        <v>611</v>
      </c>
      <c r="D98" s="135" t="s">
        <v>610</v>
      </c>
      <c r="E98" s="135" t="s">
        <v>612</v>
      </c>
      <c r="F98" s="135" t="s">
        <v>613</v>
      </c>
      <c r="G98" s="136">
        <v>43540</v>
      </c>
      <c r="H98" s="135"/>
      <c r="I98" s="137"/>
    </row>
    <row r="99" spans="2:9">
      <c r="B99" s="135" t="s">
        <v>614</v>
      </c>
      <c r="C99" s="135" t="s">
        <v>615</v>
      </c>
      <c r="D99" s="135" t="s">
        <v>614</v>
      </c>
      <c r="E99" s="135" t="s">
        <v>616</v>
      </c>
      <c r="F99" s="135" t="s">
        <v>569</v>
      </c>
      <c r="G99" s="136">
        <v>73180</v>
      </c>
      <c r="H99" s="135"/>
      <c r="I99" s="137"/>
    </row>
    <row r="100" spans="2:9">
      <c r="B100" s="135" t="s">
        <v>682</v>
      </c>
      <c r="C100" s="135" t="s">
        <v>683</v>
      </c>
      <c r="D100" s="135" t="s">
        <v>682</v>
      </c>
      <c r="E100" s="135" t="s">
        <v>656</v>
      </c>
      <c r="F100" s="135" t="s">
        <v>657</v>
      </c>
      <c r="G100" s="136">
        <v>73176</v>
      </c>
      <c r="H100" s="135" t="s">
        <v>684</v>
      </c>
      <c r="I100" s="137" t="s">
        <v>685</v>
      </c>
    </row>
    <row r="101" spans="2:9">
      <c r="B101" s="135" t="s">
        <v>576</v>
      </c>
      <c r="C101" s="135" t="s">
        <v>658</v>
      </c>
      <c r="D101" s="135" t="s">
        <v>576</v>
      </c>
      <c r="E101" s="135" t="s">
        <v>659</v>
      </c>
      <c r="F101" s="135" t="s">
        <v>660</v>
      </c>
      <c r="G101" s="136">
        <v>90139</v>
      </c>
      <c r="H101" s="135"/>
      <c r="I101" s="137"/>
    </row>
    <row r="102" spans="2:9">
      <c r="B102" s="135" t="s">
        <v>573</v>
      </c>
      <c r="C102" s="135" t="s">
        <v>749</v>
      </c>
      <c r="D102" s="135" t="s">
        <v>573</v>
      </c>
      <c r="E102" s="135" t="s">
        <v>750</v>
      </c>
      <c r="F102" s="135" t="s">
        <v>657</v>
      </c>
      <c r="G102" s="136">
        <v>73160</v>
      </c>
      <c r="H102" s="135" t="s">
        <v>574</v>
      </c>
      <c r="I102" s="137" t="s">
        <v>575</v>
      </c>
    </row>
    <row r="103" spans="2:9">
      <c r="B103" s="135" t="s">
        <v>665</v>
      </c>
      <c r="C103" s="135" t="s">
        <v>666</v>
      </c>
      <c r="D103" s="135" t="s">
        <v>665</v>
      </c>
      <c r="E103" s="135" t="s">
        <v>667</v>
      </c>
      <c r="F103" s="135" t="s">
        <v>668</v>
      </c>
      <c r="G103" s="136">
        <v>42083</v>
      </c>
      <c r="H103" s="135"/>
      <c r="I103" s="137"/>
    </row>
    <row r="104" spans="2:9">
      <c r="B104" s="135" t="s">
        <v>686</v>
      </c>
      <c r="C104" s="135" t="s">
        <v>687</v>
      </c>
      <c r="D104" s="135" t="s">
        <v>686</v>
      </c>
      <c r="E104" s="135" t="s">
        <v>688</v>
      </c>
      <c r="F104" s="135" t="s">
        <v>569</v>
      </c>
      <c r="G104" s="136">
        <v>73180</v>
      </c>
      <c r="H104" s="135"/>
      <c r="I104" s="137"/>
    </row>
    <row r="105" spans="2:9">
      <c r="B105" s="135" t="s">
        <v>622</v>
      </c>
      <c r="C105" s="135" t="s">
        <v>623</v>
      </c>
      <c r="D105" s="135" t="s">
        <v>622</v>
      </c>
      <c r="E105" s="135" t="s">
        <v>624</v>
      </c>
      <c r="F105" s="135" t="s">
        <v>579</v>
      </c>
      <c r="G105" s="136">
        <v>73310</v>
      </c>
      <c r="H105" s="135"/>
      <c r="I105" s="137" t="s">
        <v>625</v>
      </c>
    </row>
    <row r="106" spans="2:9">
      <c r="B106" s="135" t="s">
        <v>709</v>
      </c>
      <c r="C106" s="135" t="s">
        <v>710</v>
      </c>
      <c r="D106" s="135" t="s">
        <v>709</v>
      </c>
      <c r="E106" s="135" t="s">
        <v>711</v>
      </c>
      <c r="F106" s="135" t="s">
        <v>569</v>
      </c>
      <c r="G106" s="136">
        <v>73180</v>
      </c>
      <c r="H106" s="135"/>
      <c r="I106" s="137"/>
    </row>
    <row r="107" spans="2:9">
      <c r="B107" s="135" t="s">
        <v>661</v>
      </c>
      <c r="C107" s="135" t="s">
        <v>662</v>
      </c>
      <c r="D107" s="135" t="s">
        <v>661</v>
      </c>
      <c r="E107" s="135" t="s">
        <v>663</v>
      </c>
      <c r="F107" s="135" t="s">
        <v>590</v>
      </c>
      <c r="G107" s="136">
        <v>73190</v>
      </c>
      <c r="H107" s="135"/>
      <c r="I107" s="137" t="s">
        <v>664</v>
      </c>
    </row>
    <row r="108" spans="2:9">
      <c r="B108" s="135" t="s">
        <v>641</v>
      </c>
      <c r="C108" s="135" t="s">
        <v>642</v>
      </c>
      <c r="D108" s="135" t="s">
        <v>641</v>
      </c>
      <c r="E108" s="135" t="s">
        <v>643</v>
      </c>
      <c r="F108" s="135" t="s">
        <v>569</v>
      </c>
      <c r="G108" s="136">
        <v>73180</v>
      </c>
      <c r="H108" s="135"/>
      <c r="I108" s="137"/>
    </row>
    <row r="109" spans="2:9">
      <c r="B109" s="135" t="s">
        <v>650</v>
      </c>
      <c r="C109" s="135" t="s">
        <v>651</v>
      </c>
      <c r="D109" s="135" t="s">
        <v>650</v>
      </c>
      <c r="E109" s="135" t="s">
        <v>652</v>
      </c>
      <c r="F109" s="135" t="s">
        <v>653</v>
      </c>
      <c r="G109" s="136">
        <v>90250</v>
      </c>
      <c r="H109" s="135"/>
      <c r="I109" s="137"/>
    </row>
    <row r="110" spans="2:9">
      <c r="B110" s="135" t="s">
        <v>626</v>
      </c>
      <c r="C110" s="135" t="s">
        <v>627</v>
      </c>
      <c r="D110" s="135" t="s">
        <v>626</v>
      </c>
      <c r="E110" s="135" t="s">
        <v>628</v>
      </c>
      <c r="F110" s="135" t="s">
        <v>569</v>
      </c>
      <c r="G110" s="136">
        <v>73180</v>
      </c>
      <c r="H110" s="135"/>
      <c r="I110" s="137" t="s">
        <v>629</v>
      </c>
    </row>
    <row r="111" spans="2:9">
      <c r="B111" s="135" t="s">
        <v>638</v>
      </c>
      <c r="C111" s="135" t="s">
        <v>639</v>
      </c>
      <c r="D111" s="135" t="s">
        <v>638</v>
      </c>
      <c r="E111" s="135" t="s">
        <v>640</v>
      </c>
      <c r="F111" s="135" t="s">
        <v>579</v>
      </c>
      <c r="G111" s="136">
        <v>73310</v>
      </c>
      <c r="H111" s="135"/>
      <c r="I111" s="137"/>
    </row>
    <row r="112" spans="2:9">
      <c r="B112" s="135" t="s">
        <v>734</v>
      </c>
      <c r="C112" s="135" t="s">
        <v>735</v>
      </c>
      <c r="D112" s="135" t="s">
        <v>734</v>
      </c>
      <c r="E112" s="135" t="s">
        <v>736</v>
      </c>
      <c r="F112" s="135" t="s">
        <v>737</v>
      </c>
      <c r="G112" s="136">
        <v>43411</v>
      </c>
      <c r="H112" s="135"/>
      <c r="I112" s="137"/>
    </row>
    <row r="113" spans="2:9">
      <c r="B113" s="135" t="s">
        <v>617</v>
      </c>
      <c r="C113" s="135" t="s">
        <v>618</v>
      </c>
      <c r="D113" s="135" t="s">
        <v>617</v>
      </c>
      <c r="E113" s="135" t="s">
        <v>619</v>
      </c>
      <c r="F113" s="135" t="s">
        <v>620</v>
      </c>
      <c r="G113" s="136">
        <v>55050</v>
      </c>
      <c r="H113" s="135"/>
      <c r="I113" s="137" t="s">
        <v>621</v>
      </c>
    </row>
    <row r="114" spans="2:9">
      <c r="B114" s="135" t="s">
        <v>712</v>
      </c>
      <c r="C114" s="135" t="s">
        <v>713</v>
      </c>
      <c r="D114" s="135" t="s">
        <v>712</v>
      </c>
      <c r="E114" s="135" t="s">
        <v>714</v>
      </c>
      <c r="F114" s="135" t="s">
        <v>569</v>
      </c>
      <c r="G114" s="136">
        <v>73180</v>
      </c>
      <c r="H114" s="135"/>
      <c r="I114" s="137" t="s">
        <v>715</v>
      </c>
    </row>
    <row r="115" spans="2:9">
      <c r="B115" s="135" t="s">
        <v>689</v>
      </c>
      <c r="C115" s="135" t="s">
        <v>690</v>
      </c>
      <c r="D115" s="135" t="s">
        <v>689</v>
      </c>
      <c r="E115" s="135" t="s">
        <v>691</v>
      </c>
      <c r="F115" s="135" t="s">
        <v>692</v>
      </c>
      <c r="G115" s="136" t="s">
        <v>693</v>
      </c>
      <c r="H115" s="135"/>
      <c r="I115" s="137"/>
    </row>
    <row r="116" spans="2:9">
      <c r="B116" s="135" t="s">
        <v>676</v>
      </c>
      <c r="C116" s="135" t="s">
        <v>677</v>
      </c>
      <c r="D116" s="135" t="s">
        <v>676</v>
      </c>
      <c r="E116" s="135" t="s">
        <v>678</v>
      </c>
      <c r="F116" s="135" t="s">
        <v>570</v>
      </c>
      <c r="G116" s="136">
        <v>76220</v>
      </c>
      <c r="H116" s="135"/>
      <c r="I116" s="137"/>
    </row>
    <row r="117" spans="2:9">
      <c r="B117" s="135" t="s">
        <v>588</v>
      </c>
      <c r="C117" s="135" t="s">
        <v>587</v>
      </c>
      <c r="D117" s="135" t="s">
        <v>588</v>
      </c>
      <c r="E117" s="135" t="s">
        <v>589</v>
      </c>
      <c r="F117" s="135" t="s">
        <v>590</v>
      </c>
      <c r="G117" s="136">
        <v>73180</v>
      </c>
      <c r="H117" s="135"/>
      <c r="I117" s="137"/>
    </row>
    <row r="118" spans="2:9" hidden="1">
      <c r="B118" s="135"/>
      <c r="C118" s="135"/>
      <c r="D118" s="135"/>
      <c r="E118" s="135"/>
      <c r="F118" s="135"/>
      <c r="G118" s="136"/>
      <c r="H118" s="135"/>
      <c r="I118" s="137"/>
    </row>
  </sheetData>
  <mergeCells count="1">
    <mergeCell ref="C1:D1"/>
  </mergeCells>
  <dataValidations count="2">
    <dataValidation allowBlank="1" showInputMessage="1" showErrorMessage="1" prompt="ESTE VALOR ES UTILIZADO EN EQUIPAMIENTO DE DOLLY" sqref="B7" xr:uid="{7380E7C3-67A2-46BD-A6C5-C9F725483AAC}"/>
    <dataValidation allowBlank="1" showInputMessage="1" showErrorMessage="1" prompt="ESTE VALOR ES UTILIZADO PARA EL eQUIPAMIENTO DE PLANAS_x000a_" sqref="B8" xr:uid="{D7ACD6C2-5A17-48AC-87C4-F2A7A3CF1333}"/>
  </dataValidations>
  <hyperlinks>
    <hyperlink ref="I102" r:id="rId1" xr:uid="{C1AD2164-FF51-43C4-84CE-B098555E803E}"/>
    <hyperlink ref="I97" r:id="rId2" xr:uid="{DCA9C59B-F617-4B47-BE2E-2363598A0BBB}"/>
    <hyperlink ref="I105" r:id="rId3" xr:uid="{003378FF-FD4E-4DF5-AD78-E7CEBEE573C0}"/>
    <hyperlink ref="I107" r:id="rId4" xr:uid="{8BF8E136-5F50-490A-8EFB-1C1A989BDFD5}"/>
    <hyperlink ref="I79" r:id="rId5" xr:uid="{466FBC0D-44A6-4C78-926E-CB6B8F1F858B}"/>
    <hyperlink ref="I114" r:id="rId6" xr:uid="{307900DF-4492-4239-A619-3B5F666FAE18}"/>
    <hyperlink ref="I74" r:id="rId7" xr:uid="{46EABC65-E040-4DF0-A7CD-33AEA5FBA2C8}"/>
    <hyperlink ref="I46" r:id="rId8" xr:uid="{7D362E7A-A8F3-449E-8669-C254B5DC9B9A}"/>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19460" r:id="rId12" name="CommandButton1">
          <controlPr defaultSize="0" autoLine="0" r:id="rId13">
            <anchor moveWithCells="1">
              <from>
                <xdr:col>4</xdr:col>
                <xdr:colOff>716280</xdr:colOff>
                <xdr:row>5</xdr:row>
                <xdr:rowOff>0</xdr:rowOff>
              </from>
              <to>
                <xdr:col>4</xdr:col>
                <xdr:colOff>1744980</xdr:colOff>
                <xdr:row>6</xdr:row>
                <xdr:rowOff>175260</xdr:rowOff>
              </to>
            </anchor>
          </controlPr>
        </control>
      </mc:Choice>
      <mc:Fallback>
        <control shapeId="19460" r:id="rId12" name="CommandButton1"/>
      </mc:Fallback>
    </mc:AlternateContent>
    <mc:AlternateContent xmlns:mc="http://schemas.openxmlformats.org/markup-compatibility/2006">
      <mc:Choice Requires="x14">
        <control shapeId="19472" r:id="rId14" name="TextBox1CLIENTES">
          <controlPr defaultSize="0" autoLine="0" autoPict="0" r:id="rId15">
            <anchor moveWithCells="1">
              <from>
                <xdr:col>1</xdr:col>
                <xdr:colOff>83820</xdr:colOff>
                <xdr:row>4</xdr:row>
                <xdr:rowOff>160020</xdr:rowOff>
              </from>
              <to>
                <xdr:col>2</xdr:col>
                <xdr:colOff>807720</xdr:colOff>
                <xdr:row>6</xdr:row>
                <xdr:rowOff>53340</xdr:rowOff>
              </to>
            </anchor>
          </controlPr>
        </control>
      </mc:Choice>
      <mc:Fallback>
        <control shapeId="19472" r:id="rId14" name="TextBox1CLIENTES"/>
      </mc:Fallback>
    </mc:AlternateContent>
  </controls>
  <tableParts count="1">
    <tablePart r:id="rId16"/>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14002-7536-4AE1-B42D-AE9869259C80}">
  <sheetPr codeName="Hoja25"/>
  <dimension ref="A5:G18"/>
  <sheetViews>
    <sheetView workbookViewId="0">
      <selection activeCell="C15" sqref="C15"/>
    </sheetView>
  </sheetViews>
  <sheetFormatPr baseColWidth="10" defaultRowHeight="14.4"/>
  <cols>
    <col min="1" max="1" width="17.5546875" bestFit="1" customWidth="1"/>
    <col min="2" max="2" width="12.44140625" bestFit="1" customWidth="1"/>
    <col min="3" max="3" width="14.33203125" bestFit="1" customWidth="1"/>
    <col min="4" max="4" width="16.88671875" bestFit="1" customWidth="1"/>
    <col min="5" max="5" width="15.109375" bestFit="1" customWidth="1"/>
    <col min="6" max="6" width="14.109375" bestFit="1" customWidth="1"/>
    <col min="7" max="8" width="15.109375" bestFit="1" customWidth="1"/>
    <col min="9" max="9" width="14.109375" bestFit="1" customWidth="1"/>
    <col min="10" max="10" width="15.109375" bestFit="1" customWidth="1"/>
  </cols>
  <sheetData>
    <row r="5" spans="1:7">
      <c r="A5" s="4" t="s">
        <v>1</v>
      </c>
      <c r="B5" t="s" vm="11">
        <v>824</v>
      </c>
    </row>
    <row r="7" spans="1:7">
      <c r="E7" s="4" t="s">
        <v>7</v>
      </c>
    </row>
    <row r="8" spans="1:7">
      <c r="A8" s="4" t="s">
        <v>952</v>
      </c>
      <c r="B8" s="4" t="s">
        <v>775</v>
      </c>
      <c r="C8" s="4" t="s">
        <v>983</v>
      </c>
      <c r="D8" s="4" t="s">
        <v>1038</v>
      </c>
      <c r="E8" s="153" t="s">
        <v>776</v>
      </c>
      <c r="F8" s="153" t="s">
        <v>1039</v>
      </c>
      <c r="G8" s="153" t="s">
        <v>778</v>
      </c>
    </row>
    <row r="9" spans="1:7">
      <c r="A9">
        <v>2024</v>
      </c>
      <c r="B9" t="s">
        <v>782</v>
      </c>
      <c r="C9" t="s">
        <v>1037</v>
      </c>
      <c r="E9" s="153">
        <v>610000</v>
      </c>
      <c r="F9" s="153">
        <v>610000</v>
      </c>
      <c r="G9" s="153">
        <v>0</v>
      </c>
    </row>
    <row r="10" spans="1:7">
      <c r="B10" t="s">
        <v>783</v>
      </c>
      <c r="C10" t="s">
        <v>1037</v>
      </c>
      <c r="E10" s="153">
        <v>610000</v>
      </c>
      <c r="F10" s="153">
        <v>370000</v>
      </c>
      <c r="G10" s="153">
        <v>240000</v>
      </c>
    </row>
    <row r="11" spans="1:7">
      <c r="B11" t="s">
        <v>829</v>
      </c>
      <c r="C11" t="s">
        <v>1037</v>
      </c>
      <c r="E11" s="153">
        <v>330000</v>
      </c>
      <c r="F11" s="153">
        <v>0</v>
      </c>
      <c r="G11" s="153">
        <v>330000</v>
      </c>
    </row>
    <row r="12" spans="1:7">
      <c r="B12" t="s">
        <v>830</v>
      </c>
      <c r="C12" t="s">
        <v>1037</v>
      </c>
      <c r="E12" s="153">
        <v>610000</v>
      </c>
      <c r="F12" s="153">
        <v>0</v>
      </c>
      <c r="G12" s="153">
        <v>610000</v>
      </c>
    </row>
    <row r="13" spans="1:7">
      <c r="B13" t="s">
        <v>831</v>
      </c>
      <c r="C13" t="s">
        <v>1037</v>
      </c>
      <c r="E13" s="153">
        <v>610000</v>
      </c>
      <c r="F13" s="153">
        <v>0</v>
      </c>
      <c r="G13" s="153">
        <v>610000</v>
      </c>
    </row>
    <row r="14" spans="1:7">
      <c r="B14" t="s">
        <v>832</v>
      </c>
      <c r="C14" t="s">
        <v>1037</v>
      </c>
      <c r="E14" s="153">
        <v>330000</v>
      </c>
      <c r="F14" s="153">
        <v>0</v>
      </c>
      <c r="G14" s="153">
        <v>330000</v>
      </c>
    </row>
    <row r="15" spans="1:7">
      <c r="B15" t="s">
        <v>833</v>
      </c>
      <c r="C15" t="s">
        <v>1037</v>
      </c>
      <c r="E15" s="153">
        <v>610000</v>
      </c>
      <c r="F15" s="153">
        <v>0</v>
      </c>
      <c r="G15" s="153">
        <v>610000</v>
      </c>
    </row>
    <row r="16" spans="1:7">
      <c r="B16" t="s">
        <v>834</v>
      </c>
      <c r="C16" t="s">
        <v>1037</v>
      </c>
      <c r="E16" s="153">
        <v>610000</v>
      </c>
      <c r="F16" s="153">
        <v>0</v>
      </c>
      <c r="G16" s="153">
        <v>610000</v>
      </c>
    </row>
    <row r="17" spans="1:7">
      <c r="B17" t="s">
        <v>835</v>
      </c>
      <c r="C17" t="s">
        <v>1037</v>
      </c>
      <c r="E17" s="153">
        <v>330000</v>
      </c>
      <c r="F17" s="153">
        <v>0</v>
      </c>
      <c r="G17" s="153">
        <v>330000</v>
      </c>
    </row>
    <row r="18" spans="1:7">
      <c r="A18" t="s">
        <v>5</v>
      </c>
      <c r="E18" s="153">
        <v>4650000</v>
      </c>
      <c r="F18" s="153">
        <v>980000</v>
      </c>
      <c r="G18" s="153">
        <v>3670000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CC914-D179-4E23-A16B-74DADC53DFAE}">
  <sheetPr codeName="Hoja28"/>
  <dimension ref="B5:E13"/>
  <sheetViews>
    <sheetView workbookViewId="0">
      <selection activeCell="L22" sqref="L22"/>
    </sheetView>
  </sheetViews>
  <sheetFormatPr baseColWidth="10" defaultRowHeight="14.4"/>
  <cols>
    <col min="3" max="3" width="33.109375" customWidth="1"/>
  </cols>
  <sheetData>
    <row r="5" spans="2:5">
      <c r="B5" s="200"/>
      <c r="C5" s="199"/>
      <c r="D5" s="199"/>
      <c r="E5" s="199"/>
    </row>
    <row r="6" spans="2:5">
      <c r="B6" s="261"/>
      <c r="C6" s="164" t="s">
        <v>173</v>
      </c>
      <c r="D6" s="165"/>
      <c r="E6" s="163"/>
    </row>
    <row r="7" spans="2:5">
      <c r="B7" s="261"/>
      <c r="C7" s="164" t="s">
        <v>1570</v>
      </c>
      <c r="D7" s="165"/>
      <c r="E7" s="163"/>
    </row>
    <row r="8" spans="2:5">
      <c r="B8" s="164" t="s">
        <v>1571</v>
      </c>
      <c r="C8" s="91"/>
      <c r="D8" s="165"/>
      <c r="E8" s="163"/>
    </row>
    <row r="9" spans="2:5">
      <c r="B9" s="261"/>
      <c r="C9" s="164" t="s">
        <v>1572</v>
      </c>
      <c r="D9" s="165"/>
      <c r="E9" s="163"/>
    </row>
    <row r="10" spans="2:5">
      <c r="B10" s="261"/>
      <c r="C10" s="164" t="s">
        <v>1573</v>
      </c>
      <c r="D10" s="165"/>
      <c r="E10" s="163"/>
    </row>
    <row r="11" spans="2:5">
      <c r="B11" s="261"/>
      <c r="C11" s="164" t="s">
        <v>1574</v>
      </c>
      <c r="D11" s="165"/>
      <c r="E11" s="163"/>
    </row>
    <row r="12" spans="2:5">
      <c r="C12" s="91" t="s">
        <v>1575</v>
      </c>
    </row>
    <row r="13" spans="2:5">
      <c r="C13" s="91" t="s">
        <v>1576</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1BEEF-2177-4F40-9CDB-8F32B0D0A677}">
  <sheetPr codeName="Hoja16"/>
  <dimension ref="B2:F6"/>
  <sheetViews>
    <sheetView topLeftCell="A2" workbookViewId="0">
      <selection activeCell="F7" sqref="F7"/>
    </sheetView>
  </sheetViews>
  <sheetFormatPr baseColWidth="10" defaultRowHeight="60" customHeight="1"/>
  <cols>
    <col min="2" max="2" width="19.5546875" bestFit="1" customWidth="1"/>
    <col min="3" max="3" width="26.44140625" customWidth="1"/>
    <col min="4" max="4" width="25.33203125" customWidth="1"/>
    <col min="5" max="5" width="19.5546875" bestFit="1" customWidth="1"/>
    <col min="6" max="6" width="25.44140625" customWidth="1"/>
  </cols>
  <sheetData>
    <row r="2" spans="2:6" ht="54" customHeight="1"/>
    <row r="3" spans="2:6" ht="15.75" customHeight="1">
      <c r="B3" t="s">
        <v>96</v>
      </c>
      <c r="C3" t="s">
        <v>97</v>
      </c>
      <c r="E3" t="s">
        <v>96</v>
      </c>
      <c r="F3" t="s">
        <v>98</v>
      </c>
    </row>
    <row r="4" spans="2:6" ht="60" customHeight="1">
      <c r="B4" t="s">
        <v>100</v>
      </c>
      <c r="E4" t="s">
        <v>100</v>
      </c>
    </row>
    <row r="5" spans="2:6" ht="60" customHeight="1">
      <c r="B5" t="s">
        <v>101</v>
      </c>
      <c r="E5" t="s">
        <v>101</v>
      </c>
    </row>
    <row r="6" spans="2:6" ht="60" customHeight="1">
      <c r="B6" t="s">
        <v>102</v>
      </c>
      <c r="E6" t="s">
        <v>102</v>
      </c>
    </row>
  </sheetData>
  <pageMargins left="0.7" right="0.7" top="0.75" bottom="0.75" header="0.3" footer="0.3"/>
  <pageSetup paperSize="9" orientation="portrait"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Props1.xml><?xml version="1.0" encoding="utf-8"?>
<ds:datastoreItem xmlns:ds="http://schemas.openxmlformats.org/officeDocument/2006/customXml" ds:itemID="{4F41EBD4-DFD1-494A-9205-242B04EB2F3A}">
  <ds:schemaRefs/>
</ds:datastoreItem>
</file>

<file path=customXml/itemProps2.xml><?xml version="1.0" encoding="utf-8"?>
<ds:datastoreItem xmlns:ds="http://schemas.openxmlformats.org/officeDocument/2006/customXml" ds:itemID="{4BC9E72F-7D6E-465E-A875-BEAAF32EF4C1}">
  <ds:schemaRefs/>
</ds:datastoreItem>
</file>

<file path=customXml/itemProps3.xml><?xml version="1.0" encoding="utf-8"?>
<ds:datastoreItem xmlns:ds="http://schemas.openxmlformats.org/officeDocument/2006/customXml" ds:itemID="{263E2CF0-9C67-4842-BBBD-9F6FAC4470A6}">
  <ds:schemaRefs/>
</ds:datastoreItem>
</file>

<file path=customXml/itemProps4.xml><?xml version="1.0" encoding="utf-8"?>
<ds:datastoreItem xmlns:ds="http://schemas.openxmlformats.org/officeDocument/2006/customXml" ds:itemID="{D9990A24-EEE6-4897-93EF-401D0DA66E9D}">
  <ds:schemaRefs/>
</ds:datastoreItem>
</file>

<file path=customXml/itemProps5.xml><?xml version="1.0" encoding="utf-8"?>
<ds:datastoreItem xmlns:ds="http://schemas.openxmlformats.org/officeDocument/2006/customXml" ds:itemID="{949BBD91-A048-40DA-94CF-2AFA240CF1DA}">
  <ds:schemaRefs/>
</ds:datastoreItem>
</file>

<file path=customXml/itemProps6.xml><?xml version="1.0" encoding="utf-8"?>
<ds:datastoreItem xmlns:ds="http://schemas.openxmlformats.org/officeDocument/2006/customXml" ds:itemID="{A958D351-8BF6-4880-97D7-31F174C38A96}">
  <ds:schemaRefs/>
</ds:datastoreItem>
</file>

<file path=customXml/itemProps7.xml><?xml version="1.0" encoding="utf-8"?>
<ds:datastoreItem xmlns:ds="http://schemas.openxmlformats.org/officeDocument/2006/customXml" ds:itemID="{4F905BAA-974E-4673-A9CA-6F8AC3264A88}">
  <ds:schemaRefs/>
</ds:datastoreItem>
</file>

<file path=customXml/itemProps8.xml><?xml version="1.0" encoding="utf-8"?>
<ds:datastoreItem xmlns:ds="http://schemas.openxmlformats.org/officeDocument/2006/customXml" ds:itemID="{086B3468-2388-465F-A9D2-F6C0F623AACC}">
  <ds:schemaRefs/>
</ds:datastoreItem>
</file>

<file path=customXml/itemProps9.xml><?xml version="1.0" encoding="utf-8"?>
<ds:datastoreItem xmlns:ds="http://schemas.openxmlformats.org/officeDocument/2006/customXml" ds:itemID="{EACF4D92-DA6A-47A7-892C-9279EBCA7FD7}">
  <ds:schemaRefs/>
</ds:datastoreItem>
</file>

<file path=customXml/itemProps10.xml><?xml version="1.0" encoding="utf-8"?>
<ds:datastoreItem xmlns:ds="http://schemas.openxmlformats.org/officeDocument/2006/customXml" ds:itemID="{63210062-F25E-4A04-BC3C-2EB9478F36E6}">
  <ds:schemaRefs/>
</ds:datastoreItem>
</file>

<file path=customXml/itemProps11.xml><?xml version="1.0" encoding="utf-8"?>
<ds:datastoreItem xmlns:ds="http://schemas.openxmlformats.org/officeDocument/2006/customXml" ds:itemID="{443C11D4-6612-4B3E-A0C3-7B37D979EFAD}">
  <ds:schemaRefs/>
</ds:datastoreItem>
</file>

<file path=customXml/itemProps12.xml><?xml version="1.0" encoding="utf-8"?>
<ds:datastoreItem xmlns:ds="http://schemas.openxmlformats.org/officeDocument/2006/customXml" ds:itemID="{AC30A67C-790F-468D-AC0E-1853BC92A247}">
  <ds:schemaRefs/>
</ds:datastoreItem>
</file>

<file path=customXml/itemProps13.xml><?xml version="1.0" encoding="utf-8"?>
<ds:datastoreItem xmlns:ds="http://schemas.openxmlformats.org/officeDocument/2006/customXml" ds:itemID="{D4C799A3-52D8-493C-9297-6358FE54C8AE}">
  <ds:schemaRefs>
    <ds:schemaRef ds:uri="http://schemas.microsoft.com/DataMashup"/>
  </ds:schemaRefs>
</ds:datastoreItem>
</file>

<file path=customXml/itemProps14.xml><?xml version="1.0" encoding="utf-8"?>
<ds:datastoreItem xmlns:ds="http://schemas.openxmlformats.org/officeDocument/2006/customXml" ds:itemID="{7C23601E-2F4F-4D47-9967-5B4CB3291A20}">
  <ds:schemaRefs/>
</ds:datastoreItem>
</file>

<file path=customXml/itemProps15.xml><?xml version="1.0" encoding="utf-8"?>
<ds:datastoreItem xmlns:ds="http://schemas.openxmlformats.org/officeDocument/2006/customXml" ds:itemID="{595464A6-1D82-468F-8068-928EF16742A0}">
  <ds:schemaRefs/>
</ds:datastoreItem>
</file>

<file path=customXml/itemProps16.xml><?xml version="1.0" encoding="utf-8"?>
<ds:datastoreItem xmlns:ds="http://schemas.openxmlformats.org/officeDocument/2006/customXml" ds:itemID="{738F04EE-970F-474D-857E-24E78CD5F7C1}">
  <ds:schemaRefs/>
</ds:datastoreItem>
</file>

<file path=customXml/itemProps17.xml><?xml version="1.0" encoding="utf-8"?>
<ds:datastoreItem xmlns:ds="http://schemas.openxmlformats.org/officeDocument/2006/customXml" ds:itemID="{CBA7DA44-B573-4957-B2B7-DE7C2A0C4124}">
  <ds:schemaRefs/>
</ds:datastoreItem>
</file>

<file path=customXml/itemProps18.xml><?xml version="1.0" encoding="utf-8"?>
<ds:datastoreItem xmlns:ds="http://schemas.openxmlformats.org/officeDocument/2006/customXml" ds:itemID="{9802A431-DFC7-47A4-A5C9-68061B52DA2A}">
  <ds:schemaRefs/>
</ds:datastoreItem>
</file>

<file path=customXml/itemProps19.xml><?xml version="1.0" encoding="utf-8"?>
<ds:datastoreItem xmlns:ds="http://schemas.openxmlformats.org/officeDocument/2006/customXml" ds:itemID="{1422B3CB-6B3B-433D-AF63-2490F6B811B0}">
  <ds:schemaRefs/>
</ds:datastoreItem>
</file>

<file path=customXml/itemProps20.xml><?xml version="1.0" encoding="utf-8"?>
<ds:datastoreItem xmlns:ds="http://schemas.openxmlformats.org/officeDocument/2006/customXml" ds:itemID="{4DBBDF3E-0117-49BE-AE5A-9116636980BC}">
  <ds:schemaRefs/>
</ds:datastoreItem>
</file>

<file path=customXml/itemProps21.xml><?xml version="1.0" encoding="utf-8"?>
<ds:datastoreItem xmlns:ds="http://schemas.openxmlformats.org/officeDocument/2006/customXml" ds:itemID="{6BE52E86-577E-4852-8909-648810DC5F12}">
  <ds:schemaRefs/>
</ds:datastoreItem>
</file>

<file path=customXml/itemProps22.xml><?xml version="1.0" encoding="utf-8"?>
<ds:datastoreItem xmlns:ds="http://schemas.openxmlformats.org/officeDocument/2006/customXml" ds:itemID="{67B65059-35EA-47CF-B2A6-F0A4BE36DF18}">
  <ds:schemaRefs/>
</ds:datastoreItem>
</file>

<file path=customXml/itemProps23.xml><?xml version="1.0" encoding="utf-8"?>
<ds:datastoreItem xmlns:ds="http://schemas.openxmlformats.org/officeDocument/2006/customXml" ds:itemID="{2298B8A2-5EF7-487A-ABEE-92CAC44A6E1C}">
  <ds:schemaRefs/>
</ds:datastoreItem>
</file>

<file path=customXml/itemProps24.xml><?xml version="1.0" encoding="utf-8"?>
<ds:datastoreItem xmlns:ds="http://schemas.openxmlformats.org/officeDocument/2006/customXml" ds:itemID="{EF0F7FA0-7024-4532-ADB0-2C8FCAB0A64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31</vt:i4>
      </vt:variant>
      <vt:variant>
        <vt:lpstr>Rangos con nombre</vt:lpstr>
      </vt:variant>
      <vt:variant>
        <vt:i4>11</vt:i4>
      </vt:variant>
    </vt:vector>
  </HeadingPairs>
  <TitlesOfParts>
    <vt:vector size="42" baseType="lpstr">
      <vt:lpstr>PRESUPUESTO</vt:lpstr>
      <vt:lpstr>END PRESUPUESTO</vt:lpstr>
      <vt:lpstr>TARIFARIO</vt:lpstr>
      <vt:lpstr>PRODUCTOS</vt:lpstr>
      <vt:lpstr>BASE DAT PLANAS</vt:lpstr>
      <vt:lpstr>PRES PLANAS</vt:lpstr>
      <vt:lpstr>COTIZACION</vt:lpstr>
      <vt:lpstr>COTIZACION2</vt:lpstr>
      <vt:lpstr>eQUIPAMIENTO</vt:lpstr>
      <vt:lpstr>Hoja1</vt:lpstr>
      <vt:lpstr>presupuestos traila</vt:lpstr>
      <vt:lpstr>TRAILA COTIZACION</vt:lpstr>
      <vt:lpstr>CONTRATO</vt:lpstr>
      <vt:lpstr>CARTA FACTURA</vt:lpstr>
      <vt:lpstr>FORM PLANAS</vt:lpstr>
      <vt:lpstr>DATOS DE EQUIPAMIENTO</vt:lpstr>
      <vt:lpstr>eQUPAMIENTO DOLLY</vt:lpstr>
      <vt:lpstr>PRES DOLLY</vt:lpstr>
      <vt:lpstr>FORM DOLLY</vt:lpstr>
      <vt:lpstr>COTIZACION DOLLY2</vt:lpstr>
      <vt:lpstr>COTIZACION DOLLY</vt:lpstr>
      <vt:lpstr>LOBBY</vt:lpstr>
      <vt:lpstr>Ajustes</vt:lpstr>
      <vt:lpstr>fotos para cotizacion</vt:lpstr>
      <vt:lpstr>FOTOS DOLLY</vt:lpstr>
      <vt:lpstr>FOLIOS NIV</vt:lpstr>
      <vt:lpstr>PAGOS</vt:lpstr>
      <vt:lpstr>CLIENTES</vt:lpstr>
      <vt:lpstr>Clientes Reportes</vt:lpstr>
      <vt:lpstr>MOVIMIENTOS</vt:lpstr>
      <vt:lpstr>fotos</vt:lpstr>
      <vt:lpstr>CONTRATO!_Hlk143640428</vt:lpstr>
      <vt:lpstr>'CARTA FACTURA'!Área_de_impresión</vt:lpstr>
      <vt:lpstr>CONTRATO!Área_de_impresión</vt:lpstr>
      <vt:lpstr>COTIZACION!Área_de_impresión</vt:lpstr>
      <vt:lpstr>'COTIZACION DOLLY'!Área_de_impresión</vt:lpstr>
      <vt:lpstr>'COTIZACION DOLLY2'!Área_de_impresión</vt:lpstr>
      <vt:lpstr>COTIZACION2!Área_de_impresión</vt:lpstr>
      <vt:lpstr>'END PRESUPUESTO'!Área_de_impresión</vt:lpstr>
      <vt:lpstr>'PRES DOLLY'!Área_de_impresión</vt:lpstr>
      <vt:lpstr>'PRES PLANAS'!Área_de_impresión</vt:lpstr>
      <vt:lpstr>PRESUPUESTO!Área_de_impresión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MacDylan</dc:creator>
  <cp:lastModifiedBy>jazmin roldan</cp:lastModifiedBy>
  <cp:lastPrinted>2026-09-22T21:39:06Z</cp:lastPrinted>
  <dcterms:created xsi:type="dcterms:W3CDTF">2023-05-08T02:25:18Z</dcterms:created>
  <dcterms:modified xsi:type="dcterms:W3CDTF">2026-09-22T23:04:41Z</dcterms:modified>
</cp:coreProperties>
</file>