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ers\"/>
    </mc:Choice>
  </mc:AlternateContent>
  <xr:revisionPtr revIDLastSave="0" documentId="10_ncr:100000_{8C90A446-340D-49F6-B674-A63DA4428FF9}" xr6:coauthVersionLast="31" xr6:coauthVersionMax="31" xr10:uidLastSave="{00000000-0000-0000-0000-000000000000}"/>
  <bookViews>
    <workbookView xWindow="0" yWindow="0" windowWidth="20490" windowHeight="7545" xr2:uid="{BE838F6B-06CC-4DEC-8334-B50593133AEC}"/>
  </bookViews>
  <sheets>
    <sheet name="fixation_data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9" i="1" l="1"/>
  <c r="AM19" i="1" a="1"/>
  <c r="AM19" i="1" s="1"/>
  <c r="AJ19" i="1"/>
  <c r="AH19" i="1" a="1"/>
  <c r="AH19" i="1" s="1"/>
  <c r="AH20" i="1" a="1"/>
  <c r="AH20" i="1" s="1"/>
  <c r="AJ20" i="1" a="1"/>
  <c r="AJ20" i="1" s="1"/>
  <c r="AJ14" i="1"/>
  <c r="AJ15" i="1"/>
  <c r="AH15" i="1"/>
  <c r="AH14" i="1"/>
  <c r="AJ2" i="1"/>
  <c r="AJ3" i="1"/>
  <c r="AH3" i="1"/>
  <c r="AH2" i="1"/>
  <c r="AJ8" i="1"/>
  <c r="AJ9" i="1"/>
  <c r="AL9" i="1"/>
  <c r="AL8" i="1" a="1"/>
  <c r="AL8" i="1" s="1"/>
  <c r="AH21" i="1" a="1"/>
  <c r="AH21" i="1" s="1"/>
  <c r="AJ21" i="1" l="1" a="1"/>
  <c r="AJ21" i="1" s="1"/>
  <c r="Y36" i="1"/>
  <c r="AH16" i="1"/>
  <c r="AH10" i="1"/>
  <c r="AJ16" i="1"/>
  <c r="AJ10" i="1"/>
  <c r="AH8" i="1"/>
  <c r="AN10" i="1"/>
  <c r="AH4" i="1"/>
  <c r="AJ4" i="1"/>
  <c r="AL10" i="1"/>
  <c r="Y4" i="1"/>
  <c r="AN9" i="1"/>
  <c r="Y3" i="1"/>
  <c r="AN8" i="1"/>
  <c r="Y2" i="1"/>
  <c r="AC48" i="1"/>
  <c r="AC49" i="1"/>
  <c r="AC50" i="1"/>
  <c r="AE50" i="1"/>
  <c r="AE49" i="1"/>
  <c r="AE48" i="1"/>
  <c r="AE43" i="1"/>
  <c r="AE44" i="1"/>
  <c r="AC43" i="1"/>
  <c r="AC44" i="1"/>
  <c r="AA44" i="1"/>
  <c r="AA43" i="1"/>
  <c r="AA42" i="1"/>
  <c r="AC42" i="1"/>
  <c r="AE42" i="1"/>
  <c r="AE65" i="1" a="1"/>
  <c r="AE65" i="1" s="1"/>
  <c r="AE66" i="1" a="1"/>
  <c r="AE66" i="1" s="1"/>
  <c r="AE67" i="1" a="1"/>
  <c r="AE67" i="1" s="1"/>
  <c r="AC67" i="1" a="1"/>
  <c r="AC67" i="1" s="1"/>
  <c r="AC66" i="1" a="1"/>
  <c r="AC66" i="1" s="1"/>
  <c r="AA67" i="1" a="1"/>
  <c r="AA67" i="1" s="1"/>
  <c r="AA66" i="1" a="1"/>
  <c r="AA66" i="1" s="1"/>
  <c r="AA65" i="1" a="1"/>
  <c r="AA65" i="1" s="1"/>
  <c r="Y67" i="1" a="1"/>
  <c r="Y67" i="1" s="1"/>
  <c r="Y66" i="1" a="1"/>
  <c r="Y66" i="1" s="1"/>
  <c r="Y65" i="1" a="1"/>
  <c r="Y65" i="1" s="1"/>
  <c r="Y38" i="1" a="1"/>
  <c r="Y38" i="1" s="1"/>
  <c r="Y37" i="1" a="1"/>
  <c r="Y37" i="1" s="1"/>
  <c r="AA38" i="1" a="1"/>
  <c r="AA38" i="1" s="1"/>
  <c r="AA37" i="1" a="1"/>
  <c r="AA37" i="1" s="1"/>
  <c r="AA36" i="1" a="1"/>
  <c r="AA36" i="1" s="1"/>
  <c r="AC38" i="1" a="1"/>
  <c r="AC38" i="1" s="1"/>
  <c r="AC37" i="1" a="1"/>
  <c r="AC37" i="1" s="1"/>
  <c r="AC36" i="1"/>
  <c r="AE38" i="1"/>
  <c r="AE37" i="1"/>
  <c r="AE36" i="1" l="1" a="1"/>
  <c r="AE36" i="1" s="1"/>
  <c r="AC2" i="1"/>
  <c r="AC26" i="1" l="1"/>
  <c r="AC65" i="1" a="1"/>
  <c r="AC65" i="1" s="1"/>
  <c r="Y9" i="1"/>
  <c r="Y62" i="1"/>
  <c r="Y61" i="1"/>
  <c r="Y60" i="1"/>
  <c r="AA62" i="1"/>
  <c r="AA61" i="1"/>
  <c r="AA60" i="1"/>
  <c r="AC62" i="1"/>
  <c r="AC61" i="1"/>
  <c r="AC60" i="1"/>
  <c r="Y56" i="1"/>
  <c r="Y55" i="1"/>
  <c r="AA55" i="1"/>
  <c r="AC55" i="1"/>
  <c r="AC56" i="1"/>
  <c r="AA56" i="1"/>
  <c r="Y57" i="1"/>
  <c r="AE55" i="1"/>
  <c r="AE56" i="1"/>
  <c r="AE57" i="1"/>
  <c r="AC57" i="1"/>
  <c r="AA57" i="1"/>
  <c r="Y15" i="1"/>
  <c r="AC33" i="1" l="1"/>
  <c r="AC32" i="1"/>
  <c r="AC31" i="1"/>
  <c r="AA33" i="1"/>
  <c r="AA32" i="1"/>
  <c r="AA31" i="1"/>
  <c r="Y33" i="1"/>
  <c r="Y32" i="1"/>
  <c r="Y31" i="1"/>
  <c r="AC21" i="1"/>
  <c r="AC20" i="1"/>
  <c r="AC19" i="1"/>
  <c r="AA21" i="1"/>
  <c r="AA20" i="1"/>
  <c r="AA19" i="1"/>
  <c r="Y21" i="1"/>
  <c r="Y20" i="1"/>
  <c r="Y19" i="1"/>
  <c r="Y8" i="1"/>
  <c r="AA9" i="1"/>
  <c r="AA8" i="1"/>
  <c r="AC9" i="1"/>
  <c r="AC8" i="1"/>
  <c r="AC7" i="1"/>
  <c r="AA7" i="1"/>
  <c r="Y7" i="1"/>
  <c r="AE27" i="1"/>
  <c r="AE26" i="1"/>
  <c r="AE25" i="1"/>
  <c r="AC27" i="1"/>
  <c r="AA27" i="1"/>
  <c r="Y27" i="1"/>
  <c r="AA26" i="1"/>
  <c r="Y26" i="1"/>
  <c r="AC25" i="1"/>
  <c r="AA25" i="1"/>
  <c r="Y25" i="1"/>
  <c r="Y14" i="1"/>
  <c r="Y13" i="1"/>
  <c r="AA14" i="1"/>
  <c r="AA15" i="1"/>
  <c r="AC15" i="1"/>
  <c r="AC14" i="1"/>
  <c r="AE15" i="1"/>
  <c r="AE14" i="1"/>
  <c r="AC13" i="1"/>
  <c r="AA13" i="1"/>
  <c r="AE13" i="1"/>
  <c r="AE4" i="1"/>
  <c r="AE3" i="1"/>
  <c r="AA4" i="1"/>
  <c r="AC4" i="1"/>
  <c r="AC3" i="1"/>
  <c r="AA3" i="1"/>
  <c r="AA2" i="1"/>
  <c r="AE2" i="1"/>
</calcChain>
</file>

<file path=xl/sharedStrings.xml><?xml version="1.0" encoding="utf-8"?>
<sst xmlns="http://schemas.openxmlformats.org/spreadsheetml/2006/main" count="350" uniqueCount="89">
  <si>
    <t>Trial</t>
  </si>
  <si>
    <t>Subject</t>
  </si>
  <si>
    <t>Color</t>
  </si>
  <si>
    <t>Session number</t>
  </si>
  <si>
    <t>Stimulus</t>
  </si>
  <si>
    <t>Area_of_Interest</t>
  </si>
  <si>
    <t>AOI_Group</t>
  </si>
  <si>
    <t>AOI Scope</t>
  </si>
  <si>
    <t>AOI_Order</t>
  </si>
  <si>
    <t>Start Time [ms]</t>
  </si>
  <si>
    <t>End Time [ms]</t>
  </si>
  <si>
    <t>Fixation_Start</t>
  </si>
  <si>
    <t>Fixation_Duration</t>
  </si>
  <si>
    <t>Fixation End [ms]</t>
  </si>
  <si>
    <t>Position X</t>
  </si>
  <si>
    <t>Position Y</t>
  </si>
  <si>
    <t>Average Pupil Size [px] X</t>
  </si>
  <si>
    <t>Average Pupil Size [px] Y</t>
  </si>
  <si>
    <t>Average Pupil Diameter [mm]</t>
  </si>
  <si>
    <t>Dispersion X</t>
  </si>
  <si>
    <t>Dispersion Y</t>
  </si>
  <si>
    <t>Eye L/R</t>
  </si>
  <si>
    <t>Number</t>
  </si>
  <si>
    <t>DarkKhaki</t>
  </si>
  <si>
    <t>b1matrix 0.jpg</t>
  </si>
  <si>
    <t>White Space</t>
  </si>
  <si>
    <t>Local</t>
  </si>
  <si>
    <t>Right</t>
  </si>
  <si>
    <t>AOI 4</t>
  </si>
  <si>
    <t>D</t>
  </si>
  <si>
    <t>AOI 11</t>
  </si>
  <si>
    <t>N</t>
  </si>
  <si>
    <t>AOI 9</t>
  </si>
  <si>
    <t>AOI 1</t>
  </si>
  <si>
    <t>AOI 13</t>
  </si>
  <si>
    <t>AOI 15</t>
  </si>
  <si>
    <t>AOI 16</t>
  </si>
  <si>
    <t>AOI 8</t>
  </si>
  <si>
    <t>AOI 7</t>
  </si>
  <si>
    <t>AOI 10</t>
  </si>
  <si>
    <t>AOI 12</t>
  </si>
  <si>
    <t>b1matrix 1.jpg</t>
  </si>
  <si>
    <t>AOI 14</t>
  </si>
  <si>
    <t>AOI 5</t>
  </si>
  <si>
    <t>AOI 2</t>
  </si>
  <si>
    <t>AOI 6</t>
  </si>
  <si>
    <t>b1matrix 2.jpg</t>
  </si>
  <si>
    <t>sum d</t>
  </si>
  <si>
    <t>sum n</t>
  </si>
  <si>
    <t>sum WS</t>
  </si>
  <si>
    <t>sum all</t>
  </si>
  <si>
    <t>norm ws</t>
  </si>
  <si>
    <t>norm n</t>
  </si>
  <si>
    <t>norm d</t>
  </si>
  <si>
    <t>avg all</t>
  </si>
  <si>
    <t>avg ws</t>
  </si>
  <si>
    <t>avg n</t>
  </si>
  <si>
    <t>avg d</t>
  </si>
  <si>
    <t>count all</t>
  </si>
  <si>
    <t>count ws</t>
  </si>
  <si>
    <t>count n</t>
  </si>
  <si>
    <t>count d</t>
  </si>
  <si>
    <t>STD all</t>
  </si>
  <si>
    <t>std ws</t>
  </si>
  <si>
    <t>std n</t>
  </si>
  <si>
    <t>std d</t>
  </si>
  <si>
    <t>ratio d/dn</t>
  </si>
  <si>
    <t>ratio n/dn</t>
  </si>
  <si>
    <t>ratio ws/all</t>
  </si>
  <si>
    <t>ratio d/all</t>
  </si>
  <si>
    <t>ratio n/all</t>
  </si>
  <si>
    <t>ps avg all</t>
  </si>
  <si>
    <t>ps avg ws</t>
  </si>
  <si>
    <t>ps avg n</t>
  </si>
  <si>
    <t>ps avg d</t>
  </si>
  <si>
    <t>std ps all</t>
  </si>
  <si>
    <t>std ps ws</t>
  </si>
  <si>
    <t>std ps n</t>
  </si>
  <si>
    <t>std ps d</t>
  </si>
  <si>
    <t>ratio sumd</t>
  </si>
  <si>
    <t>ratio sumn</t>
  </si>
  <si>
    <t>ratio sumws</t>
  </si>
  <si>
    <t>all first</t>
  </si>
  <si>
    <t>all second</t>
  </si>
  <si>
    <t>ratio sumall</t>
  </si>
  <si>
    <t>ratio norm sumd</t>
  </si>
  <si>
    <t>ratio norm sumn</t>
  </si>
  <si>
    <t>ratio std n</t>
  </si>
  <si>
    <t>ratio std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</si>
</sst>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667-3856-4F11-8E8B-8FE0DB81BC22}">
  <dimension ref="A1:AO67"/>
  <sheetViews>
    <sheetView rightToLeft="1" tabSelected="1" topLeftCell="AG1" workbookViewId="0">
      <selection activeCell="AH10" sqref="AH10"/>
    </sheetView>
  </sheetViews>
  <sheetFormatPr defaultRowHeight="14.25" x14ac:dyDescent="0.2"/>
  <cols>
    <col min="2" max="6" width="0" hidden="1" customWidth="1"/>
    <col min="8" max="11" width="0" hidden="1" customWidth="1"/>
    <col min="12" max="12" width="13.25" hidden="1" customWidth="1"/>
    <col min="13" max="13" width="19" customWidth="1"/>
    <col min="14" max="15" width="0" hidden="1" customWidth="1"/>
    <col min="16" max="16" width="18.75" hidden="1" customWidth="1"/>
    <col min="17" max="18" width="23.625" hidden="1" customWidth="1"/>
    <col min="19" max="19" width="27" bestFit="1" customWidth="1"/>
    <col min="20" max="22" width="0" hidden="1" customWidth="1"/>
  </cols>
  <sheetData>
    <row r="1" spans="1:4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Z1" s="1" t="s">
        <v>47</v>
      </c>
      <c r="AB1" t="s">
        <v>48</v>
      </c>
      <c r="AD1" t="s">
        <v>49</v>
      </c>
      <c r="AF1" t="s">
        <v>50</v>
      </c>
      <c r="AI1" t="s">
        <v>82</v>
      </c>
      <c r="AK1" t="s">
        <v>83</v>
      </c>
    </row>
    <row r="2" spans="1:41" x14ac:dyDescent="0.2">
      <c r="A2">
        <v>4</v>
      </c>
      <c r="B2">
        <v>337</v>
      </c>
      <c r="C2" t="s">
        <v>23</v>
      </c>
      <c r="D2">
        <v>1</v>
      </c>
      <c r="E2" t="s">
        <v>24</v>
      </c>
      <c r="F2" t="s">
        <v>25</v>
      </c>
      <c r="G2" t="s">
        <v>25</v>
      </c>
      <c r="H2" t="s">
        <v>26</v>
      </c>
      <c r="I2">
        <v>17</v>
      </c>
      <c r="J2">
        <v>0</v>
      </c>
      <c r="K2">
        <v>6001</v>
      </c>
      <c r="L2">
        <v>0</v>
      </c>
      <c r="M2">
        <v>324</v>
      </c>
      <c r="N2">
        <v>324</v>
      </c>
      <c r="O2">
        <v>831.07</v>
      </c>
      <c r="P2">
        <v>549.51</v>
      </c>
      <c r="Q2">
        <v>14.9</v>
      </c>
      <c r="R2">
        <v>14.9</v>
      </c>
      <c r="S2">
        <v>4.5</v>
      </c>
      <c r="T2">
        <v>18</v>
      </c>
      <c r="U2">
        <v>33</v>
      </c>
      <c r="V2" t="s">
        <v>27</v>
      </c>
      <c r="W2">
        <v>1</v>
      </c>
      <c r="Y2">
        <f>SUMIF(G2:G16,"D",M2:M16)</f>
        <v>1450</v>
      </c>
      <c r="Z2">
        <v>4</v>
      </c>
      <c r="AA2">
        <f>SUMIF(G2:G16,"N",M2:M16)</f>
        <v>3089</v>
      </c>
      <c r="AB2">
        <v>4</v>
      </c>
      <c r="AC2">
        <f>SUMIF(G2:G16,"White Space",M2:M16)</f>
        <v>324</v>
      </c>
      <c r="AD2">
        <v>4</v>
      </c>
      <c r="AE2">
        <f>SUM(M2:M16)</f>
        <v>4863</v>
      </c>
      <c r="AF2">
        <v>4</v>
      </c>
      <c r="AH2">
        <f>SUM(M2:M9)</f>
        <v>2786</v>
      </c>
      <c r="AI2">
        <v>4</v>
      </c>
      <c r="AJ2">
        <f>SUM(M10:M16)</f>
        <v>2077</v>
      </c>
      <c r="AK2">
        <v>4</v>
      </c>
    </row>
    <row r="3" spans="1:41" x14ac:dyDescent="0.2">
      <c r="A3">
        <v>4</v>
      </c>
      <c r="B3">
        <v>337</v>
      </c>
      <c r="C3" t="s">
        <v>23</v>
      </c>
      <c r="D3">
        <v>1</v>
      </c>
      <c r="E3" t="s">
        <v>24</v>
      </c>
      <c r="F3" t="s">
        <v>28</v>
      </c>
      <c r="G3" t="s">
        <v>29</v>
      </c>
      <c r="H3" t="s">
        <v>26</v>
      </c>
      <c r="I3">
        <v>10</v>
      </c>
      <c r="J3">
        <v>0</v>
      </c>
      <c r="K3">
        <v>6001</v>
      </c>
      <c r="L3">
        <v>453</v>
      </c>
      <c r="M3">
        <v>436</v>
      </c>
      <c r="N3">
        <v>889</v>
      </c>
      <c r="O3">
        <v>926.2</v>
      </c>
      <c r="P3">
        <v>424.7</v>
      </c>
      <c r="Q3">
        <v>15.89</v>
      </c>
      <c r="R3">
        <v>15.89</v>
      </c>
      <c r="S3">
        <v>4.8</v>
      </c>
      <c r="T3">
        <v>28</v>
      </c>
      <c r="U3">
        <v>40</v>
      </c>
      <c r="V3" t="s">
        <v>27</v>
      </c>
      <c r="W3">
        <v>3</v>
      </c>
      <c r="Y3">
        <f>SUMIF(G17:G31,"D",M17:M31)</f>
        <v>1912</v>
      </c>
      <c r="Z3">
        <v>5</v>
      </c>
      <c r="AA3">
        <f>SUMIF(G17:G31,"N",M17:M31)</f>
        <v>2398</v>
      </c>
      <c r="AB3">
        <v>5</v>
      </c>
      <c r="AC3">
        <f>SUMIF(G17:G31,"White Space",M17:M31)</f>
        <v>512</v>
      </c>
      <c r="AD3">
        <v>5</v>
      </c>
      <c r="AE3">
        <f>SUM(M17:M31)</f>
        <v>4822</v>
      </c>
      <c r="AF3">
        <v>5</v>
      </c>
      <c r="AH3">
        <f>SUM(M17:M24)</f>
        <v>1904</v>
      </c>
      <c r="AI3">
        <v>5</v>
      </c>
      <c r="AJ3">
        <f>SUM(M25:M31)</f>
        <v>2918</v>
      </c>
      <c r="AK3">
        <v>5</v>
      </c>
    </row>
    <row r="4" spans="1:41" x14ac:dyDescent="0.2">
      <c r="A4">
        <v>4</v>
      </c>
      <c r="B4">
        <v>337</v>
      </c>
      <c r="C4" t="s">
        <v>23</v>
      </c>
      <c r="D4">
        <v>1</v>
      </c>
      <c r="E4" t="s">
        <v>24</v>
      </c>
      <c r="F4" t="s">
        <v>30</v>
      </c>
      <c r="G4" t="s">
        <v>31</v>
      </c>
      <c r="H4" t="s">
        <v>26</v>
      </c>
      <c r="I4">
        <v>11</v>
      </c>
      <c r="J4">
        <v>0</v>
      </c>
      <c r="K4">
        <v>6001</v>
      </c>
      <c r="L4">
        <v>925</v>
      </c>
      <c r="M4">
        <v>172</v>
      </c>
      <c r="N4">
        <v>1097</v>
      </c>
      <c r="O4">
        <v>696.32</v>
      </c>
      <c r="P4">
        <v>387.79</v>
      </c>
      <c r="Q4">
        <v>16.25</v>
      </c>
      <c r="R4">
        <v>16.25</v>
      </c>
      <c r="S4">
        <v>4.9000000000000004</v>
      </c>
      <c r="T4">
        <v>56</v>
      </c>
      <c r="U4">
        <v>23</v>
      </c>
      <c r="V4" t="s">
        <v>27</v>
      </c>
      <c r="W4">
        <v>4</v>
      </c>
      <c r="Y4">
        <f>SUMIF(G32:G47,"D",M32:M47)</f>
        <v>1529</v>
      </c>
      <c r="Z4">
        <v>6</v>
      </c>
      <c r="AA4">
        <f>SUMIF(G32:G47,"N",M32:M47)</f>
        <v>1555</v>
      </c>
      <c r="AB4">
        <v>6</v>
      </c>
      <c r="AC4">
        <f>SUMIF(G32:G47,"White Space",M32:M47)</f>
        <v>484</v>
      </c>
      <c r="AD4">
        <v>6</v>
      </c>
      <c r="AE4">
        <f>SUM(M32:M47)</f>
        <v>3568</v>
      </c>
      <c r="AF4">
        <v>6</v>
      </c>
      <c r="AH4">
        <f>SUM(M32:M39)</f>
        <v>1900</v>
      </c>
      <c r="AI4">
        <v>6</v>
      </c>
      <c r="AJ4">
        <f>SUM(M40:M47)</f>
        <v>1668</v>
      </c>
      <c r="AK4">
        <v>6</v>
      </c>
    </row>
    <row r="5" spans="1:41" x14ac:dyDescent="0.2">
      <c r="A5">
        <v>4</v>
      </c>
      <c r="B5">
        <v>337</v>
      </c>
      <c r="C5" t="s">
        <v>23</v>
      </c>
      <c r="D5">
        <v>1</v>
      </c>
      <c r="E5" t="s">
        <v>24</v>
      </c>
      <c r="F5" t="s">
        <v>30</v>
      </c>
      <c r="G5" t="s">
        <v>31</v>
      </c>
      <c r="H5" t="s">
        <v>26</v>
      </c>
      <c r="I5">
        <v>11</v>
      </c>
      <c r="J5">
        <v>0</v>
      </c>
      <c r="K5">
        <v>6001</v>
      </c>
      <c r="L5">
        <v>1119</v>
      </c>
      <c r="M5">
        <v>492</v>
      </c>
      <c r="N5">
        <v>1611</v>
      </c>
      <c r="O5">
        <v>729.61</v>
      </c>
      <c r="P5">
        <v>407.67</v>
      </c>
      <c r="Q5">
        <v>17.03</v>
      </c>
      <c r="R5">
        <v>17.03</v>
      </c>
      <c r="S5">
        <v>5.2</v>
      </c>
      <c r="T5">
        <v>97</v>
      </c>
      <c r="U5">
        <v>65</v>
      </c>
      <c r="V5" t="s">
        <v>27</v>
      </c>
      <c r="W5">
        <v>5</v>
      </c>
    </row>
    <row r="6" spans="1:41" x14ac:dyDescent="0.2">
      <c r="A6">
        <v>4</v>
      </c>
      <c r="B6">
        <v>337</v>
      </c>
      <c r="C6" t="s">
        <v>23</v>
      </c>
      <c r="D6">
        <v>1</v>
      </c>
      <c r="E6" t="s">
        <v>24</v>
      </c>
      <c r="F6" t="s">
        <v>32</v>
      </c>
      <c r="G6" t="s">
        <v>31</v>
      </c>
      <c r="H6" t="s">
        <v>26</v>
      </c>
      <c r="I6">
        <v>15</v>
      </c>
      <c r="J6">
        <v>0</v>
      </c>
      <c r="K6">
        <v>6001</v>
      </c>
      <c r="L6">
        <v>1657</v>
      </c>
      <c r="M6">
        <v>276</v>
      </c>
      <c r="N6">
        <v>1933</v>
      </c>
      <c r="O6">
        <v>739</v>
      </c>
      <c r="P6">
        <v>201.9</v>
      </c>
      <c r="Q6">
        <v>16.760000000000002</v>
      </c>
      <c r="R6">
        <v>16.760000000000002</v>
      </c>
      <c r="S6">
        <v>5</v>
      </c>
      <c r="T6">
        <v>23</v>
      </c>
      <c r="U6">
        <v>18</v>
      </c>
      <c r="V6" t="s">
        <v>27</v>
      </c>
      <c r="W6">
        <v>6</v>
      </c>
      <c r="Z6" t="s">
        <v>53</v>
      </c>
      <c r="AB6" t="s">
        <v>52</v>
      </c>
      <c r="AD6" t="s">
        <v>51</v>
      </c>
    </row>
    <row r="7" spans="1:41" x14ac:dyDescent="0.2">
      <c r="A7">
        <v>4</v>
      </c>
      <c r="B7">
        <v>337</v>
      </c>
      <c r="C7" t="s">
        <v>23</v>
      </c>
      <c r="D7">
        <v>1</v>
      </c>
      <c r="E7" t="s">
        <v>24</v>
      </c>
      <c r="F7" t="s">
        <v>33</v>
      </c>
      <c r="G7" t="s">
        <v>29</v>
      </c>
      <c r="H7" t="s">
        <v>26</v>
      </c>
      <c r="I7">
        <v>16</v>
      </c>
      <c r="J7">
        <v>0</v>
      </c>
      <c r="K7">
        <v>6001</v>
      </c>
      <c r="L7">
        <v>1967</v>
      </c>
      <c r="M7">
        <v>156</v>
      </c>
      <c r="N7">
        <v>2123</v>
      </c>
      <c r="O7">
        <v>524.4</v>
      </c>
      <c r="P7">
        <v>230.33</v>
      </c>
      <c r="Q7">
        <v>16.239999999999998</v>
      </c>
      <c r="R7">
        <v>16.239999999999998</v>
      </c>
      <c r="S7">
        <v>4.8</v>
      </c>
      <c r="T7">
        <v>30</v>
      </c>
      <c r="U7">
        <v>37</v>
      </c>
      <c r="V7" t="s">
        <v>27</v>
      </c>
      <c r="W7">
        <v>7</v>
      </c>
      <c r="Y7">
        <f>Y2/AE2</f>
        <v>0.29816985399958873</v>
      </c>
      <c r="Z7">
        <v>4</v>
      </c>
      <c r="AA7">
        <f>AA2/AE2</f>
        <v>0.63520460621015828</v>
      </c>
      <c r="AB7">
        <v>4</v>
      </c>
      <c r="AC7">
        <f>AC2/AE2</f>
        <v>6.662553979025293E-2</v>
      </c>
      <c r="AD7">
        <v>4</v>
      </c>
      <c r="AI7" t="s">
        <v>79</v>
      </c>
      <c r="AK7" t="s">
        <v>80</v>
      </c>
      <c r="AM7" t="s">
        <v>81</v>
      </c>
      <c r="AO7" t="s">
        <v>84</v>
      </c>
    </row>
    <row r="8" spans="1:41" x14ac:dyDescent="0.2">
      <c r="A8">
        <v>4</v>
      </c>
      <c r="B8">
        <v>337</v>
      </c>
      <c r="C8" t="s">
        <v>23</v>
      </c>
      <c r="D8">
        <v>1</v>
      </c>
      <c r="E8" t="s">
        <v>24</v>
      </c>
      <c r="F8" t="s">
        <v>34</v>
      </c>
      <c r="G8" t="s">
        <v>31</v>
      </c>
      <c r="H8" t="s">
        <v>26</v>
      </c>
      <c r="I8">
        <v>8</v>
      </c>
      <c r="J8">
        <v>0</v>
      </c>
      <c r="K8">
        <v>6001</v>
      </c>
      <c r="L8">
        <v>2211</v>
      </c>
      <c r="M8">
        <v>784</v>
      </c>
      <c r="N8">
        <v>2996</v>
      </c>
      <c r="O8">
        <v>505.85</v>
      </c>
      <c r="P8">
        <v>683.05</v>
      </c>
      <c r="Q8">
        <v>16.420000000000002</v>
      </c>
      <c r="R8">
        <v>16.420000000000002</v>
      </c>
      <c r="S8">
        <v>4.9000000000000004</v>
      </c>
      <c r="T8">
        <v>46</v>
      </c>
      <c r="U8">
        <v>42</v>
      </c>
      <c r="V8" t="s">
        <v>27</v>
      </c>
      <c r="W8">
        <v>8</v>
      </c>
      <c r="Y8">
        <f>Y3/AE3</f>
        <v>0.39651596847781001</v>
      </c>
      <c r="Z8">
        <v>5</v>
      </c>
      <c r="AA8">
        <f>AA3/AE3</f>
        <v>0.49730402322687683</v>
      </c>
      <c r="AB8">
        <v>5</v>
      </c>
      <c r="AC8">
        <f>AC3/AE3</f>
        <v>0.10618000829531314</v>
      </c>
      <c r="AD8">
        <v>5</v>
      </c>
      <c r="AH8">
        <f>SUMIF(G2:G8,"D",M2:M8)/SUMIF(G9:G16,"D",M9:M16)</f>
        <v>0.68997668997668993</v>
      </c>
      <c r="AI8">
        <v>4</v>
      </c>
      <c r="AJ8">
        <f>SUMIF(G2:G9,"N",M2:M9)/SUMIF(G10:G16,"N",M10:M16)</f>
        <v>1.5340442986054144</v>
      </c>
      <c r="AK8">
        <v>4</v>
      </c>
      <c r="AL8" t="e">
        <f t="array" ref="AL8">SUMIF(G2:G9,"White Space",M2:M9)/SUMIF(G10:G16,"White Space",M10:M16)</f>
        <v>#DIV/0!</v>
      </c>
      <c r="AM8">
        <v>4</v>
      </c>
      <c r="AN8">
        <f>AH2/AJ2</f>
        <v>1.3413577274915744</v>
      </c>
      <c r="AO8">
        <v>4</v>
      </c>
    </row>
    <row r="9" spans="1:41" x14ac:dyDescent="0.2">
      <c r="A9">
        <v>4</v>
      </c>
      <c r="B9">
        <v>337</v>
      </c>
      <c r="C9" t="s">
        <v>23</v>
      </c>
      <c r="D9">
        <v>1</v>
      </c>
      <c r="E9" t="s">
        <v>24</v>
      </c>
      <c r="F9" t="s">
        <v>35</v>
      </c>
      <c r="G9" t="s">
        <v>31</v>
      </c>
      <c r="H9" t="s">
        <v>26</v>
      </c>
      <c r="I9">
        <v>5</v>
      </c>
      <c r="J9">
        <v>0</v>
      </c>
      <c r="K9">
        <v>6001</v>
      </c>
      <c r="L9">
        <v>3078</v>
      </c>
      <c r="M9">
        <v>146</v>
      </c>
      <c r="N9">
        <v>3224</v>
      </c>
      <c r="O9">
        <v>1101.25</v>
      </c>
      <c r="P9">
        <v>660.39</v>
      </c>
      <c r="Q9">
        <v>16</v>
      </c>
      <c r="R9">
        <v>16</v>
      </c>
      <c r="S9">
        <v>4.7</v>
      </c>
      <c r="T9">
        <v>49</v>
      </c>
      <c r="U9">
        <v>43</v>
      </c>
      <c r="V9" t="s">
        <v>27</v>
      </c>
      <c r="W9">
        <v>9</v>
      </c>
      <c r="Y9">
        <f>Y4/AE4</f>
        <v>0.42853139013452912</v>
      </c>
      <c r="Z9">
        <v>6</v>
      </c>
      <c r="AA9">
        <f>AA4/AE4</f>
        <v>0.43581838565022424</v>
      </c>
      <c r="AB9">
        <v>6</v>
      </c>
      <c r="AC9">
        <f>AC4/AE4</f>
        <v>0.13565022421524664</v>
      </c>
      <c r="AD9">
        <v>6</v>
      </c>
      <c r="AH9">
        <f>SUMIF(G17:G24,"D",M17:M24)/SUMIF(G25:G31,"D",M25:M31)</f>
        <v>1.1580135440180588</v>
      </c>
      <c r="AI9">
        <v>5</v>
      </c>
      <c r="AJ9">
        <f>SUMIF(G17:G24,"N",M17:M24)/SUMIF(G25:G31,"N",M25:M31)</f>
        <v>0.18011811023622049</v>
      </c>
      <c r="AK9">
        <v>5</v>
      </c>
      <c r="AL9" t="e">
        <f>SUMIF(G17:G24,"White Space",M17:M24)/SUMIF(G25:G31,"Whit Space",M25:M31)</f>
        <v>#DIV/0!</v>
      </c>
      <c r="AM9">
        <v>5</v>
      </c>
      <c r="AN9">
        <f>AH3/AJ3</f>
        <v>0.65250171350239894</v>
      </c>
      <c r="AO9">
        <v>5</v>
      </c>
    </row>
    <row r="10" spans="1:41" x14ac:dyDescent="0.2">
      <c r="A10">
        <v>4</v>
      </c>
      <c r="B10">
        <v>337</v>
      </c>
      <c r="C10" t="s">
        <v>23</v>
      </c>
      <c r="D10">
        <v>1</v>
      </c>
      <c r="E10" t="s">
        <v>24</v>
      </c>
      <c r="F10" t="s">
        <v>35</v>
      </c>
      <c r="G10" t="s">
        <v>31</v>
      </c>
      <c r="H10" t="s">
        <v>26</v>
      </c>
      <c r="I10">
        <v>5</v>
      </c>
      <c r="J10">
        <v>0</v>
      </c>
      <c r="K10">
        <v>6001</v>
      </c>
      <c r="L10">
        <v>3252</v>
      </c>
      <c r="M10">
        <v>136</v>
      </c>
      <c r="N10">
        <v>3388</v>
      </c>
      <c r="O10">
        <v>1165.4100000000001</v>
      </c>
      <c r="P10">
        <v>721.62</v>
      </c>
      <c r="Q10">
        <v>16.04</v>
      </c>
      <c r="R10">
        <v>16.04</v>
      </c>
      <c r="S10">
        <v>4.8</v>
      </c>
      <c r="T10">
        <v>32</v>
      </c>
      <c r="U10">
        <v>17</v>
      </c>
      <c r="V10" t="s">
        <v>27</v>
      </c>
      <c r="W10">
        <v>10</v>
      </c>
      <c r="AH10">
        <f>SUMIF(G32:G39,"D",M32:M39)/SUMIF(G40:G47,"D",M40:M47)</f>
        <v>3.1324324324324326</v>
      </c>
      <c r="AI10">
        <v>6</v>
      </c>
      <c r="AJ10">
        <f>SUMIF(G32:G39,"N",M32:M39)/SUMIF(G40:G47,"N",M40:M47)</f>
        <v>0.19799691833590138</v>
      </c>
      <c r="AK10">
        <v>6</v>
      </c>
      <c r="AL10" t="e">
        <f>SUMIF(G32:G39,"White Space",M32:M39)/SUMIF(G40:G47,"White Space",M40:M47)</f>
        <v>#DIV/0!</v>
      </c>
      <c r="AM10">
        <v>6</v>
      </c>
      <c r="AN10">
        <f>AH4/AJ4</f>
        <v>1.1390887290167866</v>
      </c>
      <c r="AO10">
        <v>6</v>
      </c>
    </row>
    <row r="11" spans="1:41" x14ac:dyDescent="0.2">
      <c r="A11">
        <v>4</v>
      </c>
      <c r="B11">
        <v>337</v>
      </c>
      <c r="C11" t="s">
        <v>23</v>
      </c>
      <c r="D11">
        <v>1</v>
      </c>
      <c r="E11" t="s">
        <v>24</v>
      </c>
      <c r="F11" t="s">
        <v>36</v>
      </c>
      <c r="G11" t="s">
        <v>31</v>
      </c>
      <c r="H11" t="s">
        <v>26</v>
      </c>
      <c r="I11">
        <v>1</v>
      </c>
      <c r="J11">
        <v>0</v>
      </c>
      <c r="K11">
        <v>6001</v>
      </c>
      <c r="L11">
        <v>3426</v>
      </c>
      <c r="M11">
        <v>207</v>
      </c>
      <c r="N11">
        <v>3634</v>
      </c>
      <c r="O11">
        <v>1152.05</v>
      </c>
      <c r="P11">
        <v>887.12</v>
      </c>
      <c r="Q11">
        <v>15.7</v>
      </c>
      <c r="R11">
        <v>15.7</v>
      </c>
      <c r="S11">
        <v>4.8</v>
      </c>
      <c r="T11">
        <v>19</v>
      </c>
      <c r="U11">
        <v>21</v>
      </c>
      <c r="V11" t="s">
        <v>27</v>
      </c>
      <c r="W11">
        <v>11</v>
      </c>
    </row>
    <row r="12" spans="1:41" x14ac:dyDescent="0.2">
      <c r="A12">
        <v>4</v>
      </c>
      <c r="B12">
        <v>337</v>
      </c>
      <c r="C12" t="s">
        <v>23</v>
      </c>
      <c r="D12">
        <v>1</v>
      </c>
      <c r="E12" t="s">
        <v>24</v>
      </c>
      <c r="F12" t="s">
        <v>37</v>
      </c>
      <c r="G12" t="s">
        <v>29</v>
      </c>
      <c r="H12" t="s">
        <v>26</v>
      </c>
      <c r="I12">
        <v>2</v>
      </c>
      <c r="J12">
        <v>0</v>
      </c>
      <c r="K12">
        <v>6001</v>
      </c>
      <c r="L12">
        <v>3682</v>
      </c>
      <c r="M12">
        <v>528</v>
      </c>
      <c r="N12">
        <v>4210</v>
      </c>
      <c r="O12">
        <v>926.7</v>
      </c>
      <c r="P12">
        <v>862.49</v>
      </c>
      <c r="Q12">
        <v>15.98</v>
      </c>
      <c r="R12">
        <v>15.98</v>
      </c>
      <c r="S12">
        <v>4.9000000000000004</v>
      </c>
      <c r="T12">
        <v>30</v>
      </c>
      <c r="U12">
        <v>27</v>
      </c>
      <c r="V12" t="s">
        <v>27</v>
      </c>
      <c r="W12">
        <v>12</v>
      </c>
      <c r="Z12" t="s">
        <v>57</v>
      </c>
      <c r="AB12" t="s">
        <v>56</v>
      </c>
      <c r="AD12" t="s">
        <v>55</v>
      </c>
      <c r="AF12" t="s">
        <v>54</v>
      </c>
    </row>
    <row r="13" spans="1:41" x14ac:dyDescent="0.2">
      <c r="A13">
        <v>4</v>
      </c>
      <c r="B13">
        <v>337</v>
      </c>
      <c r="C13" t="s">
        <v>23</v>
      </c>
      <c r="D13">
        <v>1</v>
      </c>
      <c r="E13" t="s">
        <v>24</v>
      </c>
      <c r="F13" t="s">
        <v>38</v>
      </c>
      <c r="G13" t="s">
        <v>29</v>
      </c>
      <c r="H13" t="s">
        <v>26</v>
      </c>
      <c r="I13">
        <v>3</v>
      </c>
      <c r="J13">
        <v>0</v>
      </c>
      <c r="K13">
        <v>6001</v>
      </c>
      <c r="L13">
        <v>4242</v>
      </c>
      <c r="M13">
        <v>330</v>
      </c>
      <c r="N13">
        <v>4572</v>
      </c>
      <c r="O13">
        <v>719.44</v>
      </c>
      <c r="P13">
        <v>862.89</v>
      </c>
      <c r="Q13">
        <v>16.28</v>
      </c>
      <c r="R13">
        <v>16.28</v>
      </c>
      <c r="S13">
        <v>5</v>
      </c>
      <c r="T13">
        <v>43</v>
      </c>
      <c r="U13">
        <v>24</v>
      </c>
      <c r="V13" t="s">
        <v>27</v>
      </c>
      <c r="W13">
        <v>13</v>
      </c>
      <c r="Y13">
        <f>AVERAGEIF(G2:G16,"D",M2:M16)</f>
        <v>362.5</v>
      </c>
      <c r="Z13">
        <v>4</v>
      </c>
      <c r="AA13">
        <f>AVERAGEIF(G2:G16,"N",M2:M16)</f>
        <v>308.89999999999998</v>
      </c>
      <c r="AB13">
        <v>4</v>
      </c>
      <c r="AC13">
        <f>AVERAGEIF(G2:G16,"White Space",M2:M16)</f>
        <v>324</v>
      </c>
      <c r="AD13">
        <v>4</v>
      </c>
      <c r="AE13">
        <f>AVERAGE(M2:M16)</f>
        <v>324.2</v>
      </c>
      <c r="AF13">
        <v>4</v>
      </c>
      <c r="AI13" t="s">
        <v>85</v>
      </c>
      <c r="AK13" t="s">
        <v>86</v>
      </c>
    </row>
    <row r="14" spans="1:41" x14ac:dyDescent="0.2">
      <c r="A14">
        <v>4</v>
      </c>
      <c r="B14">
        <v>337</v>
      </c>
      <c r="C14" t="s">
        <v>23</v>
      </c>
      <c r="D14">
        <v>1</v>
      </c>
      <c r="E14" t="s">
        <v>24</v>
      </c>
      <c r="F14" t="s">
        <v>34</v>
      </c>
      <c r="G14" t="s">
        <v>31</v>
      </c>
      <c r="H14" t="s">
        <v>26</v>
      </c>
      <c r="I14">
        <v>8</v>
      </c>
      <c r="J14">
        <v>0</v>
      </c>
      <c r="K14">
        <v>6001</v>
      </c>
      <c r="L14">
        <v>4811</v>
      </c>
      <c r="M14">
        <v>314</v>
      </c>
      <c r="N14">
        <v>5125</v>
      </c>
      <c r="O14">
        <v>500.51</v>
      </c>
      <c r="P14">
        <v>645.16999999999996</v>
      </c>
      <c r="Q14">
        <v>16.079999999999998</v>
      </c>
      <c r="R14">
        <v>16.079999999999998</v>
      </c>
      <c r="S14">
        <v>4.8</v>
      </c>
      <c r="T14">
        <v>48</v>
      </c>
      <c r="U14">
        <v>50</v>
      </c>
      <c r="V14" t="s">
        <v>27</v>
      </c>
      <c r="W14">
        <v>14</v>
      </c>
      <c r="Y14">
        <f>AVERAGEIF(G17:G31,"D",M17:M31)</f>
        <v>239</v>
      </c>
      <c r="Z14">
        <v>5</v>
      </c>
      <c r="AA14">
        <f>AVERAGEIF(G17:G31,"N",M17:M31)</f>
        <v>479.6</v>
      </c>
      <c r="AB14">
        <v>5</v>
      </c>
      <c r="AC14">
        <f>AVERAGEIF(G17:G31,"White Space",M17:M31)</f>
        <v>256</v>
      </c>
      <c r="AD14">
        <v>5</v>
      </c>
      <c r="AE14">
        <f>AVERAGE(M17:M31)</f>
        <v>321.46666666666664</v>
      </c>
      <c r="AF14">
        <v>5</v>
      </c>
      <c r="AH14">
        <f>(SUMIF(G2:G9,"D",M2:M9)/AH2)/(SUMIF(G10:G16,"D",M10:M16)/AJ2)</f>
        <v>0.51438678574356966</v>
      </c>
      <c r="AI14">
        <v>4</v>
      </c>
      <c r="AJ14">
        <f>(SUMIF(G2:G9,"N",M2:M9)/AH2)/(SUMIF(G10:G16,"N",M10:M16)/AJ2)</f>
        <v>1.1436503977758239</v>
      </c>
      <c r="AK14">
        <v>4</v>
      </c>
    </row>
    <row r="15" spans="1:41" x14ac:dyDescent="0.2">
      <c r="A15">
        <v>4</v>
      </c>
      <c r="B15">
        <v>337</v>
      </c>
      <c r="C15" t="s">
        <v>23</v>
      </c>
      <c r="D15">
        <v>1</v>
      </c>
      <c r="E15" t="s">
        <v>24</v>
      </c>
      <c r="F15" t="s">
        <v>39</v>
      </c>
      <c r="G15" t="s">
        <v>31</v>
      </c>
      <c r="H15" t="s">
        <v>26</v>
      </c>
      <c r="I15">
        <v>13</v>
      </c>
      <c r="J15">
        <v>0</v>
      </c>
      <c r="K15">
        <v>6001</v>
      </c>
      <c r="L15">
        <v>5335</v>
      </c>
      <c r="M15">
        <v>404</v>
      </c>
      <c r="N15">
        <v>5739</v>
      </c>
      <c r="O15">
        <v>1135.24</v>
      </c>
      <c r="P15">
        <v>238.63</v>
      </c>
      <c r="Q15">
        <v>15.75</v>
      </c>
      <c r="R15">
        <v>15.75</v>
      </c>
      <c r="S15">
        <v>4.7</v>
      </c>
      <c r="T15">
        <v>56</v>
      </c>
      <c r="U15">
        <v>18</v>
      </c>
      <c r="V15" t="s">
        <v>27</v>
      </c>
      <c r="W15">
        <v>15</v>
      </c>
      <c r="Y15">
        <f>AVERAGEIF(G32:G47,"D",M32:M47)</f>
        <v>254.83333333333334</v>
      </c>
      <c r="Z15">
        <v>6</v>
      </c>
      <c r="AA15">
        <f>AVERAGEIF(G32:G47,"N",M32:M47)</f>
        <v>194.375</v>
      </c>
      <c r="AB15">
        <v>6</v>
      </c>
      <c r="AC15">
        <f>AVERAGEIF(G32:G47,"White Space",M32:M47)</f>
        <v>242</v>
      </c>
      <c r="AD15">
        <v>6</v>
      </c>
      <c r="AE15">
        <f>AVERAGE(M32:M47)</f>
        <v>223</v>
      </c>
      <c r="AF15">
        <v>6</v>
      </c>
      <c r="AH15">
        <f>(SUMIF(G17:G24,"D",M17:M24)/AH3)/(SUMIF(G25:G31,"D",M25:M31)/AJ3)</f>
        <v>1.7747287402545668</v>
      </c>
      <c r="AI15">
        <v>5</v>
      </c>
      <c r="AJ15">
        <f>(SUMIF(G17:G24,"N",M17:M24)/AH3)/(SUMIF(G25:G31,"N",M25:M31)/AJ3)</f>
        <v>0.27604235591874549</v>
      </c>
      <c r="AK15">
        <v>5</v>
      </c>
    </row>
    <row r="16" spans="1:41" x14ac:dyDescent="0.2">
      <c r="A16">
        <v>4</v>
      </c>
      <c r="B16">
        <v>337</v>
      </c>
      <c r="C16" t="s">
        <v>23</v>
      </c>
      <c r="D16">
        <v>1</v>
      </c>
      <c r="E16" t="s">
        <v>24</v>
      </c>
      <c r="F16" t="s">
        <v>40</v>
      </c>
      <c r="G16" t="s">
        <v>31</v>
      </c>
      <c r="H16" t="s">
        <v>26</v>
      </c>
      <c r="I16">
        <v>9</v>
      </c>
      <c r="J16">
        <v>0</v>
      </c>
      <c r="K16">
        <v>6001</v>
      </c>
      <c r="L16">
        <v>5783</v>
      </c>
      <c r="M16">
        <v>158</v>
      </c>
      <c r="N16">
        <v>5941</v>
      </c>
      <c r="O16">
        <v>1179.22</v>
      </c>
      <c r="P16">
        <v>427.56</v>
      </c>
      <c r="Q16">
        <v>15.57</v>
      </c>
      <c r="R16">
        <v>15.57</v>
      </c>
      <c r="S16">
        <v>4.7</v>
      </c>
      <c r="T16">
        <v>16</v>
      </c>
      <c r="U16">
        <v>25</v>
      </c>
      <c r="V16" t="s">
        <v>27</v>
      </c>
      <c r="W16">
        <v>16</v>
      </c>
      <c r="AH16">
        <f>(SUMIF(G32:G39,"D",M32:M39)/AH4)/(SUMIF(G40:G47,"D",M40:M47)/AJ4)</f>
        <v>2.7499459459459459</v>
      </c>
      <c r="AI16">
        <v>6</v>
      </c>
      <c r="AJ16">
        <f>(SUMIF(G32:G39,"N",M32:M39)/AH4)/(SUMIF(G40:G47,"N",M40:M47)/AJ4)</f>
        <v>0.17382045251804393</v>
      </c>
      <c r="AK16">
        <v>6</v>
      </c>
    </row>
    <row r="17" spans="1:39" x14ac:dyDescent="0.2">
      <c r="A17">
        <v>5</v>
      </c>
      <c r="B17">
        <v>337</v>
      </c>
      <c r="C17" t="s">
        <v>23</v>
      </c>
      <c r="D17">
        <v>1</v>
      </c>
      <c r="E17" t="s">
        <v>41</v>
      </c>
      <c r="F17" t="s">
        <v>25</v>
      </c>
      <c r="G17" t="s">
        <v>25</v>
      </c>
      <c r="H17" t="s">
        <v>26</v>
      </c>
      <c r="I17">
        <v>17</v>
      </c>
      <c r="J17">
        <v>0</v>
      </c>
      <c r="K17">
        <v>6001</v>
      </c>
      <c r="L17">
        <v>6</v>
      </c>
      <c r="M17">
        <v>300</v>
      </c>
      <c r="N17">
        <v>307</v>
      </c>
      <c r="O17">
        <v>847.18</v>
      </c>
      <c r="P17">
        <v>465.87</v>
      </c>
      <c r="Q17">
        <v>14.43</v>
      </c>
      <c r="R17">
        <v>14.43</v>
      </c>
      <c r="S17">
        <v>4.7</v>
      </c>
      <c r="T17">
        <v>19</v>
      </c>
      <c r="U17">
        <v>29</v>
      </c>
      <c r="V17" t="s">
        <v>27</v>
      </c>
      <c r="W17">
        <v>1</v>
      </c>
    </row>
    <row r="18" spans="1:39" x14ac:dyDescent="0.2">
      <c r="A18">
        <v>5</v>
      </c>
      <c r="B18">
        <v>337</v>
      </c>
      <c r="C18" t="s">
        <v>23</v>
      </c>
      <c r="D18">
        <v>1</v>
      </c>
      <c r="E18" t="s">
        <v>41</v>
      </c>
      <c r="F18" t="s">
        <v>42</v>
      </c>
      <c r="G18" t="s">
        <v>31</v>
      </c>
      <c r="H18" t="s">
        <v>26</v>
      </c>
      <c r="I18">
        <v>6</v>
      </c>
      <c r="J18">
        <v>0</v>
      </c>
      <c r="K18">
        <v>6001</v>
      </c>
      <c r="L18">
        <v>537</v>
      </c>
      <c r="M18">
        <v>366</v>
      </c>
      <c r="N18">
        <v>903</v>
      </c>
      <c r="O18">
        <v>979.73</v>
      </c>
      <c r="P18">
        <v>646.1</v>
      </c>
      <c r="Q18">
        <v>16.100000000000001</v>
      </c>
      <c r="R18">
        <v>16.100000000000001</v>
      </c>
      <c r="S18">
        <v>4.9000000000000004</v>
      </c>
      <c r="T18">
        <v>25</v>
      </c>
      <c r="U18">
        <v>64</v>
      </c>
      <c r="V18" t="s">
        <v>27</v>
      </c>
      <c r="W18">
        <v>2</v>
      </c>
      <c r="Z18" t="s">
        <v>53</v>
      </c>
      <c r="AB18" t="s">
        <v>52</v>
      </c>
      <c r="AD18" t="s">
        <v>51</v>
      </c>
      <c r="AI18" t="s">
        <v>88</v>
      </c>
      <c r="AK18" t="s">
        <v>87</v>
      </c>
    </row>
    <row r="19" spans="1:39" x14ac:dyDescent="0.2">
      <c r="A19">
        <v>5</v>
      </c>
      <c r="B19">
        <v>337</v>
      </c>
      <c r="C19" t="s">
        <v>23</v>
      </c>
      <c r="D19">
        <v>1</v>
      </c>
      <c r="E19" t="s">
        <v>41</v>
      </c>
      <c r="F19" t="s">
        <v>25</v>
      </c>
      <c r="G19" t="s">
        <v>25</v>
      </c>
      <c r="H19" t="s">
        <v>26</v>
      </c>
      <c r="I19">
        <v>17</v>
      </c>
      <c r="J19">
        <v>0</v>
      </c>
      <c r="K19">
        <v>6001</v>
      </c>
      <c r="L19">
        <v>947</v>
      </c>
      <c r="M19">
        <v>212</v>
      </c>
      <c r="N19">
        <v>1159</v>
      </c>
      <c r="O19">
        <v>603.85</v>
      </c>
      <c r="P19">
        <v>516.14</v>
      </c>
      <c r="Q19">
        <v>16.36</v>
      </c>
      <c r="R19">
        <v>16.36</v>
      </c>
      <c r="S19">
        <v>5</v>
      </c>
      <c r="T19">
        <v>18</v>
      </c>
      <c r="U19">
        <v>12</v>
      </c>
      <c r="V19" t="s">
        <v>27</v>
      </c>
      <c r="W19">
        <v>3</v>
      </c>
      <c r="Y19">
        <f>Y13/AE13</f>
        <v>1.1181369524984577</v>
      </c>
      <c r="Z19">
        <v>4</v>
      </c>
      <c r="AA19">
        <f>AA13/AE13</f>
        <v>0.95280690931523748</v>
      </c>
      <c r="AB19">
        <v>4</v>
      </c>
      <c r="AC19">
        <f>AC13/AE13</f>
        <v>0.99938309685379401</v>
      </c>
      <c r="AD19">
        <v>4</v>
      </c>
      <c r="AH19">
        <f t="array" ref="AH19">_xlfn.STDEV.P(IF(G2:G9="D", M2:M9))/_xlfn.STDEV.P(IF(G10:G16="D", M10:M16))</f>
        <v>1.4141414141414141</v>
      </c>
      <c r="AI19">
        <v>4</v>
      </c>
      <c r="AJ19" t="e">
        <f>_xlfn.STDEV.P(IF(G2:G9="N", M2:M9))/_xlfn.STDEV.P(IF(G10:G16="N", M10:M16))</f>
        <v>#VALUE!</v>
      </c>
      <c r="AK19">
        <v>4</v>
      </c>
      <c r="AM19">
        <f t="array" ref="AM19">_xlfn.STDEV.P(IF(G2:G9="N", M2:M9))</f>
        <v>238.50199160594025</v>
      </c>
    </row>
    <row r="20" spans="1:39" x14ac:dyDescent="0.2">
      <c r="A20">
        <v>5</v>
      </c>
      <c r="B20">
        <v>337</v>
      </c>
      <c r="C20" t="s">
        <v>23</v>
      </c>
      <c r="D20">
        <v>1</v>
      </c>
      <c r="E20" t="s">
        <v>41</v>
      </c>
      <c r="F20" t="s">
        <v>43</v>
      </c>
      <c r="G20" t="s">
        <v>29</v>
      </c>
      <c r="H20" t="s">
        <v>26</v>
      </c>
      <c r="I20">
        <v>8</v>
      </c>
      <c r="J20">
        <v>0</v>
      </c>
      <c r="K20">
        <v>6001</v>
      </c>
      <c r="L20">
        <v>1195</v>
      </c>
      <c r="M20">
        <v>298</v>
      </c>
      <c r="N20">
        <v>1493</v>
      </c>
      <c r="O20">
        <v>482.9</v>
      </c>
      <c r="P20">
        <v>614.49</v>
      </c>
      <c r="Q20">
        <v>16.59</v>
      </c>
      <c r="R20">
        <v>16.59</v>
      </c>
      <c r="S20">
        <v>5.0999999999999996</v>
      </c>
      <c r="T20">
        <v>27</v>
      </c>
      <c r="U20">
        <v>45</v>
      </c>
      <c r="V20" t="s">
        <v>27</v>
      </c>
      <c r="W20">
        <v>4</v>
      </c>
      <c r="Y20">
        <f>Y14/AE14</f>
        <v>0.74346744089589389</v>
      </c>
      <c r="Z20">
        <v>5</v>
      </c>
      <c r="AA20">
        <f>AA14/AE14</f>
        <v>1.4919120696806307</v>
      </c>
      <c r="AB20">
        <v>5</v>
      </c>
      <c r="AC20">
        <f>AC14/AE14</f>
        <v>0.79635006221484872</v>
      </c>
      <c r="AD20">
        <v>5</v>
      </c>
      <c r="AH20">
        <f t="array" ref="AH20">(_xlfn.STDEV.P(IF(G17:G24="D", M17:M24)))/(_xlfn.STDEV.P(IF(G25:G31="D", M25:M31)))</f>
        <v>0.40001632886331384</v>
      </c>
      <c r="AI20">
        <v>5</v>
      </c>
      <c r="AJ20">
        <f t="array" ref="AJ20">_xlfn.STDEV.P(IF(G17:G24="N", M17:M24))/_xlfn.STDEV.P(IF(G25:G31="N", M25:M31))</f>
        <v>0</v>
      </c>
      <c r="AK20">
        <v>5</v>
      </c>
    </row>
    <row r="21" spans="1:39" x14ac:dyDescent="0.2">
      <c r="A21">
        <v>5</v>
      </c>
      <c r="B21">
        <v>337</v>
      </c>
      <c r="C21" t="s">
        <v>23</v>
      </c>
      <c r="D21">
        <v>1</v>
      </c>
      <c r="E21" t="s">
        <v>41</v>
      </c>
      <c r="F21" t="s">
        <v>44</v>
      </c>
      <c r="G21" t="s">
        <v>29</v>
      </c>
      <c r="H21" t="s">
        <v>26</v>
      </c>
      <c r="I21">
        <v>12</v>
      </c>
      <c r="J21">
        <v>0</v>
      </c>
      <c r="K21">
        <v>6001</v>
      </c>
      <c r="L21">
        <v>1533</v>
      </c>
      <c r="M21">
        <v>230</v>
      </c>
      <c r="N21">
        <v>1763</v>
      </c>
      <c r="O21">
        <v>512.6</v>
      </c>
      <c r="P21">
        <v>395.75</v>
      </c>
      <c r="Q21">
        <v>16.53</v>
      </c>
      <c r="R21">
        <v>16.53</v>
      </c>
      <c r="S21">
        <v>5</v>
      </c>
      <c r="T21">
        <v>15</v>
      </c>
      <c r="U21">
        <v>32</v>
      </c>
      <c r="V21" t="s">
        <v>27</v>
      </c>
      <c r="W21">
        <v>5</v>
      </c>
      <c r="Y21">
        <f>Y15/AE15</f>
        <v>1.1427503736920779</v>
      </c>
      <c r="Z21">
        <v>6</v>
      </c>
      <c r="AA21">
        <f>AA15/AE15</f>
        <v>0.87163677130044848</v>
      </c>
      <c r="AB21">
        <v>6</v>
      </c>
      <c r="AC21">
        <f>AC15/AE15</f>
        <v>1.0852017937219731</v>
      </c>
      <c r="AD21">
        <v>6</v>
      </c>
      <c r="AH21">
        <f t="array" ref="AH21">_xlfn.STDEV.P(IF(G32:G39="D", M32:M39))/_xlfn.STDEV.P(IF(G40:G47="D", M40:M47))</f>
        <v>6.7917162261870274</v>
      </c>
      <c r="AI21">
        <v>6</v>
      </c>
      <c r="AJ21">
        <f t="array" ref="AJ21">_xlfn.STDEV.P(IF(G32:G39="N", M32:M39))/_xlfn.STDEV.P(IF(G40:G47="N", M40:M47))</f>
        <v>0.23478151894742849</v>
      </c>
      <c r="AK21">
        <v>6</v>
      </c>
    </row>
    <row r="22" spans="1:39" x14ac:dyDescent="0.2">
      <c r="A22">
        <v>5</v>
      </c>
      <c r="B22">
        <v>337</v>
      </c>
      <c r="C22" t="s">
        <v>23</v>
      </c>
      <c r="D22">
        <v>1</v>
      </c>
      <c r="E22" t="s">
        <v>41</v>
      </c>
      <c r="F22" t="s">
        <v>33</v>
      </c>
      <c r="G22" t="s">
        <v>29</v>
      </c>
      <c r="H22" t="s">
        <v>26</v>
      </c>
      <c r="I22">
        <v>16</v>
      </c>
      <c r="J22">
        <v>0</v>
      </c>
      <c r="K22">
        <v>6001</v>
      </c>
      <c r="L22">
        <v>1815</v>
      </c>
      <c r="M22">
        <v>182</v>
      </c>
      <c r="N22">
        <v>1997</v>
      </c>
      <c r="O22">
        <v>487.14</v>
      </c>
      <c r="P22">
        <v>108.69</v>
      </c>
      <c r="Q22">
        <v>16.37</v>
      </c>
      <c r="R22">
        <v>16.37</v>
      </c>
      <c r="S22">
        <v>5.0999999999999996</v>
      </c>
      <c r="T22">
        <v>22</v>
      </c>
      <c r="U22">
        <v>22</v>
      </c>
      <c r="V22" t="s">
        <v>27</v>
      </c>
      <c r="W22">
        <v>6</v>
      </c>
    </row>
    <row r="23" spans="1:39" x14ac:dyDescent="0.2">
      <c r="A23">
        <v>5</v>
      </c>
      <c r="B23">
        <v>337</v>
      </c>
      <c r="C23" t="s">
        <v>23</v>
      </c>
      <c r="D23">
        <v>1</v>
      </c>
      <c r="E23" t="s">
        <v>41</v>
      </c>
      <c r="F23" t="s">
        <v>28</v>
      </c>
      <c r="G23" t="s">
        <v>29</v>
      </c>
      <c r="H23" t="s">
        <v>26</v>
      </c>
      <c r="I23">
        <v>10</v>
      </c>
      <c r="J23">
        <v>0</v>
      </c>
      <c r="K23">
        <v>6001</v>
      </c>
      <c r="L23">
        <v>2047</v>
      </c>
      <c r="M23">
        <v>118</v>
      </c>
      <c r="N23">
        <v>2165</v>
      </c>
      <c r="O23">
        <v>875.91</v>
      </c>
      <c r="P23">
        <v>363.88</v>
      </c>
      <c r="Q23">
        <v>16.64</v>
      </c>
      <c r="R23">
        <v>16.64</v>
      </c>
      <c r="S23">
        <v>5.2</v>
      </c>
      <c r="T23">
        <v>53</v>
      </c>
      <c r="U23">
        <v>37</v>
      </c>
      <c r="V23" t="s">
        <v>27</v>
      </c>
      <c r="W23">
        <v>7</v>
      </c>
    </row>
    <row r="24" spans="1:39" x14ac:dyDescent="0.2">
      <c r="A24">
        <v>5</v>
      </c>
      <c r="B24">
        <v>337</v>
      </c>
      <c r="C24" t="s">
        <v>23</v>
      </c>
      <c r="D24">
        <v>1</v>
      </c>
      <c r="E24" t="s">
        <v>41</v>
      </c>
      <c r="F24" t="s">
        <v>28</v>
      </c>
      <c r="G24" t="s">
        <v>29</v>
      </c>
      <c r="H24" t="s">
        <v>26</v>
      </c>
      <c r="I24">
        <v>10</v>
      </c>
      <c r="J24">
        <v>0</v>
      </c>
      <c r="K24">
        <v>6001</v>
      </c>
      <c r="L24">
        <v>2205</v>
      </c>
      <c r="M24">
        <v>198</v>
      </c>
      <c r="N24">
        <v>2404</v>
      </c>
      <c r="O24">
        <v>931.78</v>
      </c>
      <c r="P24">
        <v>419.98</v>
      </c>
      <c r="Q24">
        <v>16.5</v>
      </c>
      <c r="R24">
        <v>16.5</v>
      </c>
      <c r="S24">
        <v>5.0999999999999996</v>
      </c>
      <c r="T24">
        <v>45</v>
      </c>
      <c r="U24">
        <v>41</v>
      </c>
      <c r="V24" t="s">
        <v>27</v>
      </c>
      <c r="W24">
        <v>8</v>
      </c>
      <c r="Z24" t="s">
        <v>61</v>
      </c>
      <c r="AB24" t="s">
        <v>60</v>
      </c>
      <c r="AD24" t="s">
        <v>59</v>
      </c>
      <c r="AF24" t="s">
        <v>58</v>
      </c>
    </row>
    <row r="25" spans="1:39" x14ac:dyDescent="0.2">
      <c r="A25">
        <v>5</v>
      </c>
      <c r="B25">
        <v>337</v>
      </c>
      <c r="C25" t="s">
        <v>23</v>
      </c>
      <c r="D25">
        <v>1</v>
      </c>
      <c r="E25" t="s">
        <v>41</v>
      </c>
      <c r="F25" t="s">
        <v>30</v>
      </c>
      <c r="G25" t="s">
        <v>31</v>
      </c>
      <c r="H25" t="s">
        <v>26</v>
      </c>
      <c r="I25">
        <v>13</v>
      </c>
      <c r="J25">
        <v>0</v>
      </c>
      <c r="K25">
        <v>6001</v>
      </c>
      <c r="L25">
        <v>2453</v>
      </c>
      <c r="M25">
        <v>102</v>
      </c>
      <c r="N25">
        <v>2556</v>
      </c>
      <c r="O25">
        <v>1145.99</v>
      </c>
      <c r="P25">
        <v>286.27</v>
      </c>
      <c r="Q25">
        <v>16.41</v>
      </c>
      <c r="R25">
        <v>16.41</v>
      </c>
      <c r="S25">
        <v>4.9000000000000004</v>
      </c>
      <c r="T25">
        <v>21</v>
      </c>
      <c r="U25">
        <v>28</v>
      </c>
      <c r="V25" t="s">
        <v>27</v>
      </c>
      <c r="W25">
        <v>9</v>
      </c>
      <c r="Y25">
        <f>COUNTIF(G2:G16,"D")</f>
        <v>4</v>
      </c>
      <c r="Z25">
        <v>4</v>
      </c>
      <c r="AA25">
        <f>COUNTIF(G2:G16,"N")</f>
        <v>10</v>
      </c>
      <c r="AB25">
        <v>4</v>
      </c>
      <c r="AC25">
        <f>COUNTIF(G2:G16,"White Space")</f>
        <v>1</v>
      </c>
      <c r="AD25">
        <v>4</v>
      </c>
      <c r="AE25">
        <f>COUNT(M2:M16)</f>
        <v>15</v>
      </c>
      <c r="AF25">
        <v>4</v>
      </c>
    </row>
    <row r="26" spans="1:39" x14ac:dyDescent="0.2">
      <c r="A26">
        <v>5</v>
      </c>
      <c r="B26">
        <v>337</v>
      </c>
      <c r="C26" t="s">
        <v>23</v>
      </c>
      <c r="D26">
        <v>1</v>
      </c>
      <c r="E26" t="s">
        <v>41</v>
      </c>
      <c r="F26" t="s">
        <v>40</v>
      </c>
      <c r="G26" t="s">
        <v>31</v>
      </c>
      <c r="H26" t="s">
        <v>26</v>
      </c>
      <c r="I26">
        <v>9</v>
      </c>
      <c r="J26">
        <v>0</v>
      </c>
      <c r="K26">
        <v>6001</v>
      </c>
      <c r="L26">
        <v>2604</v>
      </c>
      <c r="M26">
        <v>446</v>
      </c>
      <c r="N26">
        <v>3050</v>
      </c>
      <c r="O26">
        <v>1161.8</v>
      </c>
      <c r="P26">
        <v>476.43</v>
      </c>
      <c r="Q26">
        <v>16.63</v>
      </c>
      <c r="R26">
        <v>16.63</v>
      </c>
      <c r="S26">
        <v>5</v>
      </c>
      <c r="T26">
        <v>27</v>
      </c>
      <c r="U26">
        <v>35</v>
      </c>
      <c r="V26" t="s">
        <v>27</v>
      </c>
      <c r="W26">
        <v>10</v>
      </c>
      <c r="Y26">
        <f>COUNTIF(G17:G31,"D")</f>
        <v>8</v>
      </c>
      <c r="Z26">
        <v>5</v>
      </c>
      <c r="AA26">
        <f>COUNTIF(G17:G31,"N")</f>
        <v>5</v>
      </c>
      <c r="AB26">
        <v>5</v>
      </c>
      <c r="AC26">
        <f>COUNTIF(G17:G31,"White Space")</f>
        <v>2</v>
      </c>
      <c r="AD26">
        <v>5</v>
      </c>
      <c r="AE26">
        <f>COUNT(M17:M31)</f>
        <v>15</v>
      </c>
      <c r="AF26">
        <v>5</v>
      </c>
    </row>
    <row r="27" spans="1:39" x14ac:dyDescent="0.2">
      <c r="A27">
        <v>5</v>
      </c>
      <c r="B27">
        <v>337</v>
      </c>
      <c r="C27" t="s">
        <v>23</v>
      </c>
      <c r="D27">
        <v>1</v>
      </c>
      <c r="E27" t="s">
        <v>41</v>
      </c>
      <c r="F27" t="s">
        <v>30</v>
      </c>
      <c r="G27" t="s">
        <v>31</v>
      </c>
      <c r="H27" t="s">
        <v>26</v>
      </c>
      <c r="I27">
        <v>13</v>
      </c>
      <c r="J27">
        <v>0</v>
      </c>
      <c r="K27">
        <v>6001</v>
      </c>
      <c r="L27">
        <v>3096</v>
      </c>
      <c r="M27">
        <v>1286</v>
      </c>
      <c r="N27">
        <v>4382</v>
      </c>
      <c r="O27">
        <v>1141.3</v>
      </c>
      <c r="P27">
        <v>249.41</v>
      </c>
      <c r="Q27">
        <v>15.75</v>
      </c>
      <c r="R27">
        <v>15.75</v>
      </c>
      <c r="S27">
        <v>4.5999999999999996</v>
      </c>
      <c r="T27">
        <v>42</v>
      </c>
      <c r="U27">
        <v>68</v>
      </c>
      <c r="V27" t="s">
        <v>27</v>
      </c>
      <c r="W27">
        <v>11</v>
      </c>
      <c r="Y27">
        <f>COUNTIF(G32:G47,"D")</f>
        <v>6</v>
      </c>
      <c r="Z27">
        <v>6</v>
      </c>
      <c r="AA27">
        <f>COUNTIF(G32:G47,"N")</f>
        <v>8</v>
      </c>
      <c r="AB27">
        <v>6</v>
      </c>
      <c r="AC27">
        <f>COUNTIF(G32:G47,"White Space")</f>
        <v>2</v>
      </c>
      <c r="AD27">
        <v>6</v>
      </c>
      <c r="AE27">
        <f>COUNT(M32:M47)</f>
        <v>16</v>
      </c>
      <c r="AF27">
        <v>6</v>
      </c>
    </row>
    <row r="28" spans="1:39" x14ac:dyDescent="0.2">
      <c r="A28">
        <v>5</v>
      </c>
      <c r="B28">
        <v>337</v>
      </c>
      <c r="C28" t="s">
        <v>23</v>
      </c>
      <c r="D28">
        <v>1</v>
      </c>
      <c r="E28" t="s">
        <v>41</v>
      </c>
      <c r="F28" t="s">
        <v>36</v>
      </c>
      <c r="G28" t="s">
        <v>31</v>
      </c>
      <c r="H28" t="s">
        <v>26</v>
      </c>
      <c r="I28">
        <v>1</v>
      </c>
      <c r="J28">
        <v>0</v>
      </c>
      <c r="K28">
        <v>6001</v>
      </c>
      <c r="L28">
        <v>4676</v>
      </c>
      <c r="M28">
        <v>198</v>
      </c>
      <c r="N28">
        <v>4875</v>
      </c>
      <c r="O28">
        <v>1140.76</v>
      </c>
      <c r="P28">
        <v>891.78</v>
      </c>
      <c r="Q28">
        <v>16.600000000000001</v>
      </c>
      <c r="R28">
        <v>16.600000000000001</v>
      </c>
      <c r="S28">
        <v>5</v>
      </c>
      <c r="T28">
        <v>29</v>
      </c>
      <c r="U28">
        <v>20</v>
      </c>
      <c r="V28" t="s">
        <v>27</v>
      </c>
      <c r="W28">
        <v>12</v>
      </c>
    </row>
    <row r="29" spans="1:39" x14ac:dyDescent="0.2">
      <c r="A29">
        <v>5</v>
      </c>
      <c r="B29">
        <v>337</v>
      </c>
      <c r="C29" t="s">
        <v>23</v>
      </c>
      <c r="D29">
        <v>1</v>
      </c>
      <c r="E29" t="s">
        <v>41</v>
      </c>
      <c r="F29" t="s">
        <v>37</v>
      </c>
      <c r="G29" t="s">
        <v>29</v>
      </c>
      <c r="H29" t="s">
        <v>26</v>
      </c>
      <c r="I29">
        <v>2</v>
      </c>
      <c r="J29">
        <v>0</v>
      </c>
      <c r="K29">
        <v>6001</v>
      </c>
      <c r="L29">
        <v>4925</v>
      </c>
      <c r="M29">
        <v>314</v>
      </c>
      <c r="N29">
        <v>5239</v>
      </c>
      <c r="O29">
        <v>942.51</v>
      </c>
      <c r="P29">
        <v>842.7</v>
      </c>
      <c r="Q29">
        <v>16.559999999999999</v>
      </c>
      <c r="R29">
        <v>16.559999999999999</v>
      </c>
      <c r="S29">
        <v>5.0999999999999996</v>
      </c>
      <c r="T29">
        <v>20</v>
      </c>
      <c r="U29">
        <v>38</v>
      </c>
      <c r="V29" t="s">
        <v>27</v>
      </c>
      <c r="W29">
        <v>13</v>
      </c>
    </row>
    <row r="30" spans="1:39" x14ac:dyDescent="0.2">
      <c r="A30">
        <v>5</v>
      </c>
      <c r="B30">
        <v>337</v>
      </c>
      <c r="C30" t="s">
        <v>23</v>
      </c>
      <c r="D30">
        <v>1</v>
      </c>
      <c r="E30" t="s">
        <v>41</v>
      </c>
      <c r="F30" t="s">
        <v>38</v>
      </c>
      <c r="G30" t="s">
        <v>29</v>
      </c>
      <c r="H30" t="s">
        <v>26</v>
      </c>
      <c r="I30">
        <v>3</v>
      </c>
      <c r="J30">
        <v>0</v>
      </c>
      <c r="K30">
        <v>6001</v>
      </c>
      <c r="L30">
        <v>5391</v>
      </c>
      <c r="M30">
        <v>106</v>
      </c>
      <c r="N30">
        <v>5497</v>
      </c>
      <c r="O30">
        <v>751.61</v>
      </c>
      <c r="P30">
        <v>847.57</v>
      </c>
      <c r="Q30">
        <v>16.63</v>
      </c>
      <c r="R30">
        <v>16.63</v>
      </c>
      <c r="S30">
        <v>5.0999999999999996</v>
      </c>
      <c r="T30">
        <v>10</v>
      </c>
      <c r="U30">
        <v>9</v>
      </c>
      <c r="V30" t="s">
        <v>27</v>
      </c>
      <c r="W30">
        <v>14</v>
      </c>
      <c r="Z30" t="s">
        <v>53</v>
      </c>
      <c r="AB30" t="s">
        <v>52</v>
      </c>
      <c r="AD30" t="s">
        <v>51</v>
      </c>
    </row>
    <row r="31" spans="1:39" x14ac:dyDescent="0.2">
      <c r="A31">
        <v>5</v>
      </c>
      <c r="B31">
        <v>337</v>
      </c>
      <c r="C31" t="s">
        <v>23</v>
      </c>
      <c r="D31">
        <v>1</v>
      </c>
      <c r="E31" t="s">
        <v>41</v>
      </c>
      <c r="F31" t="s">
        <v>45</v>
      </c>
      <c r="G31" t="s">
        <v>29</v>
      </c>
      <c r="H31" t="s">
        <v>26</v>
      </c>
      <c r="I31">
        <v>4</v>
      </c>
      <c r="J31">
        <v>0</v>
      </c>
      <c r="K31">
        <v>6001</v>
      </c>
      <c r="L31">
        <v>5535</v>
      </c>
      <c r="M31">
        <v>466</v>
      </c>
      <c r="N31">
        <v>6001</v>
      </c>
      <c r="O31">
        <v>514.20000000000005</v>
      </c>
      <c r="P31">
        <v>829.96</v>
      </c>
      <c r="Q31">
        <v>16.68</v>
      </c>
      <c r="R31">
        <v>16.68</v>
      </c>
      <c r="S31">
        <v>5.0999999999999996</v>
      </c>
      <c r="T31">
        <v>469</v>
      </c>
      <c r="U31">
        <v>186</v>
      </c>
      <c r="V31" t="s">
        <v>27</v>
      </c>
      <c r="W31">
        <v>15</v>
      </c>
      <c r="Y31">
        <f>Y25/AE25</f>
        <v>0.26666666666666666</v>
      </c>
      <c r="Z31">
        <v>4</v>
      </c>
      <c r="AA31">
        <f>AA25/AE25</f>
        <v>0.66666666666666663</v>
      </c>
      <c r="AB31">
        <v>4</v>
      </c>
      <c r="AC31">
        <f>AC25/AE25</f>
        <v>6.6666666666666666E-2</v>
      </c>
      <c r="AD31">
        <v>4</v>
      </c>
    </row>
    <row r="32" spans="1:39" x14ac:dyDescent="0.2">
      <c r="A32">
        <v>6</v>
      </c>
      <c r="B32">
        <v>337</v>
      </c>
      <c r="C32" t="s">
        <v>23</v>
      </c>
      <c r="D32">
        <v>1</v>
      </c>
      <c r="E32" t="s">
        <v>46</v>
      </c>
      <c r="F32" t="s">
        <v>25</v>
      </c>
      <c r="G32" t="s">
        <v>25</v>
      </c>
      <c r="H32" t="s">
        <v>26</v>
      </c>
      <c r="I32">
        <v>17</v>
      </c>
      <c r="J32">
        <v>0</v>
      </c>
      <c r="K32">
        <v>6003</v>
      </c>
      <c r="L32">
        <v>0</v>
      </c>
      <c r="M32">
        <v>304</v>
      </c>
      <c r="N32">
        <v>305</v>
      </c>
      <c r="O32">
        <v>837.67</v>
      </c>
      <c r="P32">
        <v>535.94000000000005</v>
      </c>
      <c r="Q32">
        <v>13.76</v>
      </c>
      <c r="R32">
        <v>13.76</v>
      </c>
      <c r="S32">
        <v>4.3</v>
      </c>
      <c r="T32">
        <v>40</v>
      </c>
      <c r="U32">
        <v>28</v>
      </c>
      <c r="V32" t="s">
        <v>27</v>
      </c>
      <c r="W32">
        <v>1</v>
      </c>
      <c r="Y32">
        <f>Y26/AE26</f>
        <v>0.53333333333333333</v>
      </c>
      <c r="Z32">
        <v>5</v>
      </c>
      <c r="AA32">
        <f>AA26/AE26</f>
        <v>0.33333333333333331</v>
      </c>
      <c r="AB32">
        <v>5</v>
      </c>
      <c r="AC32">
        <f>AC26/AE26</f>
        <v>0.13333333333333333</v>
      </c>
      <c r="AD32">
        <v>5</v>
      </c>
    </row>
    <row r="33" spans="1:32" x14ac:dyDescent="0.2">
      <c r="A33">
        <v>6</v>
      </c>
      <c r="B33">
        <v>337</v>
      </c>
      <c r="C33" t="s">
        <v>23</v>
      </c>
      <c r="D33">
        <v>1</v>
      </c>
      <c r="E33" t="s">
        <v>46</v>
      </c>
      <c r="F33" t="s">
        <v>38</v>
      </c>
      <c r="G33" t="s">
        <v>29</v>
      </c>
      <c r="H33" t="s">
        <v>26</v>
      </c>
      <c r="I33">
        <v>5</v>
      </c>
      <c r="J33">
        <v>0</v>
      </c>
      <c r="K33">
        <v>6003</v>
      </c>
      <c r="L33">
        <v>845</v>
      </c>
      <c r="M33">
        <v>368</v>
      </c>
      <c r="N33">
        <v>1213</v>
      </c>
      <c r="O33">
        <v>1188.1099999999999</v>
      </c>
      <c r="P33">
        <v>638.25</v>
      </c>
      <c r="Q33">
        <v>15.74</v>
      </c>
      <c r="R33">
        <v>15.74</v>
      </c>
      <c r="S33">
        <v>4.9000000000000004</v>
      </c>
      <c r="T33">
        <v>32</v>
      </c>
      <c r="U33">
        <v>20</v>
      </c>
      <c r="V33" t="s">
        <v>27</v>
      </c>
      <c r="W33">
        <v>4</v>
      </c>
      <c r="Y33">
        <f>Y27/AE27</f>
        <v>0.375</v>
      </c>
      <c r="Z33">
        <v>6</v>
      </c>
      <c r="AA33">
        <f>AA27/AE27</f>
        <v>0.5</v>
      </c>
      <c r="AB33">
        <v>6</v>
      </c>
      <c r="AC33">
        <f>AC27/AE27</f>
        <v>0.125</v>
      </c>
      <c r="AD33">
        <v>6</v>
      </c>
    </row>
    <row r="34" spans="1:32" x14ac:dyDescent="0.2">
      <c r="A34">
        <v>6</v>
      </c>
      <c r="B34">
        <v>337</v>
      </c>
      <c r="C34" t="s">
        <v>23</v>
      </c>
      <c r="D34">
        <v>1</v>
      </c>
      <c r="E34" t="s">
        <v>46</v>
      </c>
      <c r="F34" t="s">
        <v>38</v>
      </c>
      <c r="G34" t="s">
        <v>29</v>
      </c>
      <c r="H34" t="s">
        <v>26</v>
      </c>
      <c r="I34">
        <v>5</v>
      </c>
      <c r="J34">
        <v>0</v>
      </c>
      <c r="K34">
        <v>6003</v>
      </c>
      <c r="L34">
        <v>1257</v>
      </c>
      <c r="M34">
        <v>474</v>
      </c>
      <c r="N34">
        <v>1731</v>
      </c>
      <c r="O34">
        <v>1194.83</v>
      </c>
      <c r="P34">
        <v>629.92999999999995</v>
      </c>
      <c r="Q34">
        <v>16.23</v>
      </c>
      <c r="R34">
        <v>16.23</v>
      </c>
      <c r="S34">
        <v>5.3</v>
      </c>
      <c r="T34">
        <v>44</v>
      </c>
      <c r="U34">
        <v>33</v>
      </c>
      <c r="V34" t="s">
        <v>27</v>
      </c>
      <c r="W34">
        <v>5</v>
      </c>
    </row>
    <row r="35" spans="1:32" x14ac:dyDescent="0.2">
      <c r="A35">
        <v>6</v>
      </c>
      <c r="B35">
        <v>337</v>
      </c>
      <c r="C35" t="s">
        <v>23</v>
      </c>
      <c r="D35">
        <v>1</v>
      </c>
      <c r="E35" t="s">
        <v>46</v>
      </c>
      <c r="F35" t="s">
        <v>25</v>
      </c>
      <c r="G35" t="s">
        <v>25</v>
      </c>
      <c r="H35" t="s">
        <v>26</v>
      </c>
      <c r="I35">
        <v>17</v>
      </c>
      <c r="J35">
        <v>0</v>
      </c>
      <c r="K35">
        <v>6003</v>
      </c>
      <c r="L35">
        <v>1783</v>
      </c>
      <c r="M35">
        <v>180</v>
      </c>
      <c r="N35">
        <v>1963</v>
      </c>
      <c r="O35">
        <v>1065.1099999999999</v>
      </c>
      <c r="P35">
        <v>202.09</v>
      </c>
      <c r="Q35">
        <v>16.12</v>
      </c>
      <c r="R35">
        <v>16.12</v>
      </c>
      <c r="S35">
        <v>5.0999999999999996</v>
      </c>
      <c r="T35">
        <v>26</v>
      </c>
      <c r="U35">
        <v>25</v>
      </c>
      <c r="V35" t="s">
        <v>27</v>
      </c>
      <c r="W35">
        <v>6</v>
      </c>
      <c r="Z35" t="s">
        <v>65</v>
      </c>
      <c r="AB35" t="s">
        <v>64</v>
      </c>
      <c r="AD35" t="s">
        <v>63</v>
      </c>
      <c r="AF35" t="s">
        <v>62</v>
      </c>
    </row>
    <row r="36" spans="1:32" x14ac:dyDescent="0.2">
      <c r="A36">
        <v>6</v>
      </c>
      <c r="B36">
        <v>337</v>
      </c>
      <c r="C36" t="s">
        <v>23</v>
      </c>
      <c r="D36">
        <v>1</v>
      </c>
      <c r="E36" t="s">
        <v>46</v>
      </c>
      <c r="F36" t="s">
        <v>44</v>
      </c>
      <c r="G36" t="s">
        <v>29</v>
      </c>
      <c r="H36" t="s">
        <v>26</v>
      </c>
      <c r="I36">
        <v>14</v>
      </c>
      <c r="J36">
        <v>0</v>
      </c>
      <c r="K36">
        <v>6003</v>
      </c>
      <c r="L36">
        <v>2011</v>
      </c>
      <c r="M36">
        <v>217</v>
      </c>
      <c r="N36">
        <v>2229</v>
      </c>
      <c r="O36">
        <v>892.11</v>
      </c>
      <c r="P36">
        <v>154.81</v>
      </c>
      <c r="Q36">
        <v>16.079999999999998</v>
      </c>
      <c r="R36">
        <v>16.079999999999998</v>
      </c>
      <c r="S36">
        <v>5.0999999999999996</v>
      </c>
      <c r="T36">
        <v>29</v>
      </c>
      <c r="U36">
        <v>35</v>
      </c>
      <c r="V36" t="s">
        <v>27</v>
      </c>
      <c r="W36">
        <v>7</v>
      </c>
      <c r="Y36" t="e">
        <f>_xlfn.STDEV.P(IF(G2:G16="D", M2:M16))</f>
        <v>#VALUE!</v>
      </c>
      <c r="Z36">
        <v>4</v>
      </c>
      <c r="AA36">
        <f t="array" ref="AA36">_xlfn.STDEV.P(IF(G2:G16="N", M2:M16))</f>
        <v>194.3514599893708</v>
      </c>
      <c r="AB36">
        <v>4</v>
      </c>
      <c r="AC36" t="e">
        <f>_xlfn.STDEV.P(IF(G2:G16="White Space", M2:M16))</f>
        <v>#VALUE!</v>
      </c>
      <c r="AD36">
        <v>4</v>
      </c>
      <c r="AE36">
        <f t="array" ref="AE36">_xlfn.STDEV.P(M2:M16)</f>
        <v>175.57987735880593</v>
      </c>
      <c r="AF36">
        <v>4</v>
      </c>
    </row>
    <row r="37" spans="1:32" x14ac:dyDescent="0.2">
      <c r="A37">
        <v>6</v>
      </c>
      <c r="B37">
        <v>337</v>
      </c>
      <c r="C37" t="s">
        <v>23</v>
      </c>
      <c r="D37">
        <v>1</v>
      </c>
      <c r="E37" t="s">
        <v>46</v>
      </c>
      <c r="F37" t="s">
        <v>30</v>
      </c>
      <c r="G37" t="s">
        <v>31</v>
      </c>
      <c r="H37" t="s">
        <v>26</v>
      </c>
      <c r="I37">
        <v>11</v>
      </c>
      <c r="J37">
        <v>0</v>
      </c>
      <c r="K37">
        <v>6003</v>
      </c>
      <c r="L37">
        <v>2350</v>
      </c>
      <c r="M37">
        <v>107</v>
      </c>
      <c r="N37">
        <v>2458</v>
      </c>
      <c r="O37">
        <v>702.6</v>
      </c>
      <c r="P37">
        <v>426.83</v>
      </c>
      <c r="Q37">
        <v>15.92</v>
      </c>
      <c r="R37">
        <v>15.92</v>
      </c>
      <c r="S37">
        <v>5</v>
      </c>
      <c r="T37">
        <v>44</v>
      </c>
      <c r="U37">
        <v>32</v>
      </c>
      <c r="V37" t="s">
        <v>27</v>
      </c>
      <c r="W37">
        <v>8</v>
      </c>
      <c r="Y37">
        <f t="array" ref="Y37">_xlfn.STDEV.P(IF(G17:G31="D", M17:M31))</f>
        <v>110.66616465749593</v>
      </c>
      <c r="Z37">
        <v>5</v>
      </c>
      <c r="AA37">
        <f t="array" ref="AA37">_xlfn.STDEV.P(IF(G17:G31="N", M17:M31))</f>
        <v>420.99767220259071</v>
      </c>
      <c r="AB37">
        <v>5</v>
      </c>
      <c r="AC37">
        <f t="array" ref="AC37">_xlfn.STDEV.P(IF(G17:G31="White Space", M17:M31))</f>
        <v>44</v>
      </c>
      <c r="AD37">
        <v>5</v>
      </c>
      <c r="AE37">
        <f>_xlfn.STDEV.P(M17:M31)</f>
        <v>280.00615866242816</v>
      </c>
      <c r="AF37">
        <v>5</v>
      </c>
    </row>
    <row r="38" spans="1:32" x14ac:dyDescent="0.2">
      <c r="A38">
        <v>6</v>
      </c>
      <c r="B38">
        <v>337</v>
      </c>
      <c r="C38" t="s">
        <v>23</v>
      </c>
      <c r="D38">
        <v>1</v>
      </c>
      <c r="E38" t="s">
        <v>46</v>
      </c>
      <c r="F38" t="s">
        <v>30</v>
      </c>
      <c r="G38" t="s">
        <v>31</v>
      </c>
      <c r="H38" t="s">
        <v>26</v>
      </c>
      <c r="I38">
        <v>11</v>
      </c>
      <c r="J38">
        <v>0</v>
      </c>
      <c r="K38">
        <v>6003</v>
      </c>
      <c r="L38">
        <v>2490</v>
      </c>
      <c r="M38">
        <v>150</v>
      </c>
      <c r="N38">
        <v>2640</v>
      </c>
      <c r="O38">
        <v>740.02</v>
      </c>
      <c r="P38">
        <v>473.49</v>
      </c>
      <c r="Q38">
        <v>15.99</v>
      </c>
      <c r="R38">
        <v>15.99</v>
      </c>
      <c r="S38">
        <v>5</v>
      </c>
      <c r="T38">
        <v>34</v>
      </c>
      <c r="U38">
        <v>26</v>
      </c>
      <c r="V38" t="s">
        <v>27</v>
      </c>
      <c r="W38">
        <v>9</v>
      </c>
      <c r="Y38">
        <f t="array" ref="Y38">_xlfn.STDEV.P(IF(G32:G47="D", M32:M47))</f>
        <v>127.07008127626092</v>
      </c>
      <c r="Z38">
        <v>6</v>
      </c>
      <c r="AA38">
        <f t="array" ref="AA38">_xlfn.STDEV.P(IF(G32:G47="N", M32:M47))</f>
        <v>88.608602150129869</v>
      </c>
      <c r="AB38">
        <v>6</v>
      </c>
      <c r="AC38">
        <f t="array" ref="AC38">_xlfn.STDEV.P(IF(G32:G47="White Space", M32:M47))</f>
        <v>62</v>
      </c>
      <c r="AD38">
        <v>6</v>
      </c>
      <c r="AE38">
        <f>_xlfn.STDEV.P(M32:M47)</f>
        <v>106.28323009769697</v>
      </c>
      <c r="AF38">
        <v>6</v>
      </c>
    </row>
    <row r="39" spans="1:32" x14ac:dyDescent="0.2">
      <c r="A39">
        <v>6</v>
      </c>
      <c r="B39">
        <v>337</v>
      </c>
      <c r="C39" t="s">
        <v>23</v>
      </c>
      <c r="D39">
        <v>1</v>
      </c>
      <c r="E39" t="s">
        <v>46</v>
      </c>
      <c r="F39" t="s">
        <v>43</v>
      </c>
      <c r="G39" t="s">
        <v>29</v>
      </c>
      <c r="H39" t="s">
        <v>26</v>
      </c>
      <c r="I39">
        <v>8</v>
      </c>
      <c r="J39">
        <v>0</v>
      </c>
      <c r="K39">
        <v>6003</v>
      </c>
      <c r="L39">
        <v>2860</v>
      </c>
      <c r="M39">
        <v>100</v>
      </c>
      <c r="N39">
        <v>2960</v>
      </c>
      <c r="O39">
        <v>516.77</v>
      </c>
      <c r="P39">
        <v>576.19000000000005</v>
      </c>
      <c r="Q39">
        <v>15.59</v>
      </c>
      <c r="R39">
        <v>15.59</v>
      </c>
      <c r="S39">
        <v>4.7</v>
      </c>
      <c r="T39">
        <v>13</v>
      </c>
      <c r="U39">
        <v>11</v>
      </c>
      <c r="V39" t="s">
        <v>27</v>
      </c>
      <c r="W39">
        <v>11</v>
      </c>
    </row>
    <row r="40" spans="1:32" x14ac:dyDescent="0.2">
      <c r="A40">
        <v>6</v>
      </c>
      <c r="B40">
        <v>337</v>
      </c>
      <c r="C40" t="s">
        <v>23</v>
      </c>
      <c r="D40">
        <v>1</v>
      </c>
      <c r="E40" t="s">
        <v>46</v>
      </c>
      <c r="F40" t="s">
        <v>42</v>
      </c>
      <c r="G40" t="s">
        <v>31</v>
      </c>
      <c r="H40" t="s">
        <v>26</v>
      </c>
      <c r="I40">
        <v>4</v>
      </c>
      <c r="J40">
        <v>0</v>
      </c>
      <c r="K40">
        <v>6003</v>
      </c>
      <c r="L40">
        <v>3350</v>
      </c>
      <c r="M40">
        <v>114</v>
      </c>
      <c r="N40">
        <v>3464</v>
      </c>
      <c r="O40">
        <v>512.04</v>
      </c>
      <c r="P40">
        <v>853.02</v>
      </c>
      <c r="Q40">
        <v>15.46</v>
      </c>
      <c r="R40">
        <v>15.46</v>
      </c>
      <c r="S40">
        <v>4.8</v>
      </c>
      <c r="T40">
        <v>17</v>
      </c>
      <c r="U40">
        <v>18</v>
      </c>
      <c r="V40" t="s">
        <v>27</v>
      </c>
      <c r="W40">
        <v>13</v>
      </c>
    </row>
    <row r="41" spans="1:32" x14ac:dyDescent="0.2">
      <c r="A41">
        <v>6</v>
      </c>
      <c r="B41">
        <v>337</v>
      </c>
      <c r="C41" t="s">
        <v>23</v>
      </c>
      <c r="D41">
        <v>1</v>
      </c>
      <c r="E41" t="s">
        <v>46</v>
      </c>
      <c r="F41" t="s">
        <v>42</v>
      </c>
      <c r="G41" t="s">
        <v>31</v>
      </c>
      <c r="H41" t="s">
        <v>26</v>
      </c>
      <c r="I41">
        <v>4</v>
      </c>
      <c r="J41">
        <v>0</v>
      </c>
      <c r="K41">
        <v>6003</v>
      </c>
      <c r="L41">
        <v>3520</v>
      </c>
      <c r="M41">
        <v>252</v>
      </c>
      <c r="N41">
        <v>3772</v>
      </c>
      <c r="O41">
        <v>469.65</v>
      </c>
      <c r="P41">
        <v>864.06</v>
      </c>
      <c r="Q41">
        <v>15.65</v>
      </c>
      <c r="R41">
        <v>15.65</v>
      </c>
      <c r="S41">
        <v>4.8</v>
      </c>
      <c r="T41">
        <v>43</v>
      </c>
      <c r="U41">
        <v>29</v>
      </c>
      <c r="V41" t="s">
        <v>27</v>
      </c>
      <c r="W41">
        <v>14</v>
      </c>
      <c r="AB41" t="s">
        <v>68</v>
      </c>
      <c r="AD41" t="s">
        <v>67</v>
      </c>
      <c r="AF41" t="s">
        <v>66</v>
      </c>
    </row>
    <row r="42" spans="1:32" x14ac:dyDescent="0.2">
      <c r="A42">
        <v>6</v>
      </c>
      <c r="B42">
        <v>337</v>
      </c>
      <c r="C42" t="s">
        <v>23</v>
      </c>
      <c r="D42">
        <v>1</v>
      </c>
      <c r="E42" t="s">
        <v>46</v>
      </c>
      <c r="F42" t="s">
        <v>35</v>
      </c>
      <c r="G42" t="s">
        <v>31</v>
      </c>
      <c r="H42" t="s">
        <v>26</v>
      </c>
      <c r="I42">
        <v>3</v>
      </c>
      <c r="J42">
        <v>0</v>
      </c>
      <c r="K42">
        <v>6003</v>
      </c>
      <c r="L42">
        <v>3808</v>
      </c>
      <c r="M42">
        <v>194</v>
      </c>
      <c r="N42">
        <v>4002</v>
      </c>
      <c r="O42">
        <v>694.99</v>
      </c>
      <c r="P42">
        <v>828.51</v>
      </c>
      <c r="Q42">
        <v>15.49</v>
      </c>
      <c r="R42">
        <v>15.49</v>
      </c>
      <c r="S42">
        <v>4.9000000000000004</v>
      </c>
      <c r="T42">
        <v>54</v>
      </c>
      <c r="U42">
        <v>22</v>
      </c>
      <c r="V42" t="s">
        <v>27</v>
      </c>
      <c r="W42">
        <v>15</v>
      </c>
      <c r="AA42">
        <f>AC13/(AC13+AA13+Y13)</f>
        <v>0.32549728752260398</v>
      </c>
      <c r="AB42">
        <v>4</v>
      </c>
      <c r="AC42">
        <f>AA13/(AA13+Y13)</f>
        <v>0.4600834078045874</v>
      </c>
      <c r="AD42">
        <v>4</v>
      </c>
      <c r="AE42">
        <f>Y13/(Y13+AA13)</f>
        <v>0.53991659219541255</v>
      </c>
      <c r="AF42">
        <v>4</v>
      </c>
    </row>
    <row r="43" spans="1:32" x14ac:dyDescent="0.2">
      <c r="A43">
        <v>6</v>
      </c>
      <c r="B43">
        <v>337</v>
      </c>
      <c r="C43" t="s">
        <v>23</v>
      </c>
      <c r="D43">
        <v>1</v>
      </c>
      <c r="E43" t="s">
        <v>46</v>
      </c>
      <c r="F43" t="s">
        <v>35</v>
      </c>
      <c r="G43" t="s">
        <v>31</v>
      </c>
      <c r="H43" t="s">
        <v>26</v>
      </c>
      <c r="I43">
        <v>3</v>
      </c>
      <c r="J43">
        <v>0</v>
      </c>
      <c r="K43">
        <v>6003</v>
      </c>
      <c r="L43">
        <v>4050</v>
      </c>
      <c r="M43">
        <v>116</v>
      </c>
      <c r="N43">
        <v>4166</v>
      </c>
      <c r="O43">
        <v>718.74</v>
      </c>
      <c r="P43">
        <v>841.24</v>
      </c>
      <c r="Q43">
        <v>15.44</v>
      </c>
      <c r="R43">
        <v>15.44</v>
      </c>
      <c r="S43">
        <v>4.9000000000000004</v>
      </c>
      <c r="T43">
        <v>21</v>
      </c>
      <c r="U43">
        <v>10</v>
      </c>
      <c r="V43" t="s">
        <v>27</v>
      </c>
      <c r="W43">
        <v>16</v>
      </c>
      <c r="AA43">
        <f>AC14/(AC14+AA14+Y14)</f>
        <v>0.262671865380669</v>
      </c>
      <c r="AB43">
        <v>5</v>
      </c>
      <c r="AC43">
        <f>AA14/(AA14+Y14)</f>
        <v>0.66740885054272192</v>
      </c>
      <c r="AD43">
        <v>5</v>
      </c>
      <c r="AE43">
        <f>Y14/(Y14+AA14)</f>
        <v>0.33259114945727802</v>
      </c>
      <c r="AF43">
        <v>5</v>
      </c>
    </row>
    <row r="44" spans="1:32" x14ac:dyDescent="0.2">
      <c r="A44">
        <v>6</v>
      </c>
      <c r="B44">
        <v>337</v>
      </c>
      <c r="C44" t="s">
        <v>23</v>
      </c>
      <c r="D44">
        <v>1</v>
      </c>
      <c r="E44" t="s">
        <v>46</v>
      </c>
      <c r="F44" t="s">
        <v>36</v>
      </c>
      <c r="G44" t="s">
        <v>31</v>
      </c>
      <c r="H44" t="s">
        <v>26</v>
      </c>
      <c r="I44">
        <v>2</v>
      </c>
      <c r="J44">
        <v>0</v>
      </c>
      <c r="K44">
        <v>6003</v>
      </c>
      <c r="L44">
        <v>4216</v>
      </c>
      <c r="M44">
        <v>240</v>
      </c>
      <c r="N44">
        <v>4456</v>
      </c>
      <c r="O44">
        <v>946.94</v>
      </c>
      <c r="P44">
        <v>845.35</v>
      </c>
      <c r="Q44">
        <v>15.77</v>
      </c>
      <c r="R44">
        <v>15.77</v>
      </c>
      <c r="S44">
        <v>4.9000000000000004</v>
      </c>
      <c r="T44">
        <v>39</v>
      </c>
      <c r="U44">
        <v>36</v>
      </c>
      <c r="V44" t="s">
        <v>27</v>
      </c>
      <c r="W44">
        <v>17</v>
      </c>
      <c r="AA44">
        <f>AC15/(AC15+AA15+Y15)</f>
        <v>0.35011151968171678</v>
      </c>
      <c r="AB44">
        <v>6</v>
      </c>
      <c r="AC44">
        <f>AA15/(AA15+Y15)</f>
        <v>0.43270568592894904</v>
      </c>
      <c r="AD44">
        <v>6</v>
      </c>
      <c r="AE44">
        <f>Y15/(Y15+AA15)</f>
        <v>0.56729431407105091</v>
      </c>
      <c r="AF44">
        <v>6</v>
      </c>
    </row>
    <row r="45" spans="1:32" x14ac:dyDescent="0.2">
      <c r="A45">
        <v>6</v>
      </c>
      <c r="B45">
        <v>337</v>
      </c>
      <c r="C45" t="s">
        <v>23</v>
      </c>
      <c r="D45">
        <v>1</v>
      </c>
      <c r="E45" t="s">
        <v>46</v>
      </c>
      <c r="F45" t="s">
        <v>37</v>
      </c>
      <c r="G45" t="s">
        <v>29</v>
      </c>
      <c r="H45" t="s">
        <v>26</v>
      </c>
      <c r="I45">
        <v>1</v>
      </c>
      <c r="J45">
        <v>0</v>
      </c>
      <c r="K45">
        <v>6003</v>
      </c>
      <c r="L45">
        <v>4620</v>
      </c>
      <c r="M45">
        <v>164</v>
      </c>
      <c r="N45">
        <v>4785</v>
      </c>
      <c r="O45">
        <v>1172.8499999999999</v>
      </c>
      <c r="P45">
        <v>844.35</v>
      </c>
      <c r="Q45">
        <v>15.79</v>
      </c>
      <c r="R45">
        <v>15.79</v>
      </c>
      <c r="S45">
        <v>5.0999999999999996</v>
      </c>
      <c r="T45">
        <v>48</v>
      </c>
      <c r="U45">
        <v>33</v>
      </c>
      <c r="V45" t="s">
        <v>27</v>
      </c>
      <c r="W45">
        <v>18</v>
      </c>
    </row>
    <row r="46" spans="1:32" x14ac:dyDescent="0.2">
      <c r="A46">
        <v>6</v>
      </c>
      <c r="B46">
        <v>337</v>
      </c>
      <c r="C46" t="s">
        <v>23</v>
      </c>
      <c r="D46">
        <v>1</v>
      </c>
      <c r="E46" t="s">
        <v>46</v>
      </c>
      <c r="F46" t="s">
        <v>37</v>
      </c>
      <c r="G46" t="s">
        <v>29</v>
      </c>
      <c r="H46" t="s">
        <v>26</v>
      </c>
      <c r="I46">
        <v>1</v>
      </c>
      <c r="J46">
        <v>0</v>
      </c>
      <c r="K46">
        <v>6003</v>
      </c>
      <c r="L46">
        <v>4807</v>
      </c>
      <c r="M46">
        <v>206</v>
      </c>
      <c r="N46">
        <v>5013</v>
      </c>
      <c r="O46">
        <v>1171.6500000000001</v>
      </c>
      <c r="P46">
        <v>839.9</v>
      </c>
      <c r="Q46">
        <v>15.77</v>
      </c>
      <c r="R46">
        <v>15.77</v>
      </c>
      <c r="S46">
        <v>5.0999999999999996</v>
      </c>
      <c r="T46">
        <v>55</v>
      </c>
      <c r="U46">
        <v>32</v>
      </c>
      <c r="V46" t="s">
        <v>27</v>
      </c>
      <c r="W46">
        <v>19</v>
      </c>
    </row>
    <row r="47" spans="1:32" x14ac:dyDescent="0.2">
      <c r="A47">
        <v>6</v>
      </c>
      <c r="B47">
        <v>337</v>
      </c>
      <c r="C47" t="s">
        <v>23</v>
      </c>
      <c r="D47">
        <v>1</v>
      </c>
      <c r="E47" t="s">
        <v>46</v>
      </c>
      <c r="F47" t="s">
        <v>40</v>
      </c>
      <c r="G47" t="s">
        <v>31</v>
      </c>
      <c r="H47" t="s">
        <v>26</v>
      </c>
      <c r="I47">
        <v>9</v>
      </c>
      <c r="J47">
        <v>0</v>
      </c>
      <c r="K47">
        <v>6003</v>
      </c>
      <c r="L47">
        <v>5363</v>
      </c>
      <c r="M47">
        <v>382</v>
      </c>
      <c r="N47">
        <v>5745</v>
      </c>
      <c r="O47">
        <v>1182.02</v>
      </c>
      <c r="P47">
        <v>408.86</v>
      </c>
      <c r="Q47">
        <v>15.49</v>
      </c>
      <c r="R47">
        <v>15.49</v>
      </c>
      <c r="S47">
        <v>4.7</v>
      </c>
      <c r="T47">
        <v>23</v>
      </c>
      <c r="U47">
        <v>49</v>
      </c>
      <c r="V47" t="s">
        <v>27</v>
      </c>
      <c r="W47">
        <v>21</v>
      </c>
      <c r="AD47" t="s">
        <v>70</v>
      </c>
      <c r="AF47" t="s">
        <v>69</v>
      </c>
    </row>
    <row r="48" spans="1:32" x14ac:dyDescent="0.2">
      <c r="AC48">
        <f>AA13/(Y13+AA13+AC13)</f>
        <v>0.31032750653003816</v>
      </c>
      <c r="AD48">
        <v>4</v>
      </c>
      <c r="AE48">
        <f>Y13/(Y13+AA13+AC13)</f>
        <v>0.36417520594735786</v>
      </c>
      <c r="AF48">
        <v>4</v>
      </c>
    </row>
    <row r="49" spans="25:32" x14ac:dyDescent="0.2">
      <c r="AC49">
        <f>AA14/(Y14+AA14+AC14)</f>
        <v>0.49209932279909707</v>
      </c>
      <c r="AD49">
        <v>5</v>
      </c>
      <c r="AE49">
        <f>Y14/(Y14+AA14+AC14)</f>
        <v>0.24522881182023393</v>
      </c>
      <c r="AF49">
        <v>5</v>
      </c>
    </row>
    <row r="50" spans="25:32" x14ac:dyDescent="0.2">
      <c r="AC50">
        <f>AA15/(Y15+AA15+AC15)</f>
        <v>0.28121044065344503</v>
      </c>
      <c r="AD50">
        <v>6</v>
      </c>
      <c r="AE50">
        <f>Y15/(Y15+AA15+AC15)</f>
        <v>0.36867803966483814</v>
      </c>
      <c r="AF50">
        <v>6</v>
      </c>
    </row>
    <row r="54" spans="25:32" x14ac:dyDescent="0.2">
      <c r="Z54" t="s">
        <v>74</v>
      </c>
      <c r="AB54" t="s">
        <v>73</v>
      </c>
      <c r="AD54" t="s">
        <v>72</v>
      </c>
      <c r="AF54" t="s">
        <v>71</v>
      </c>
    </row>
    <row r="55" spans="25:32" x14ac:dyDescent="0.2">
      <c r="Y55">
        <f>AVERAGEIF(G2:G16,"D",S2:S16)</f>
        <v>4.875</v>
      </c>
      <c r="Z55">
        <v>4</v>
      </c>
      <c r="AA55">
        <f>AVERAGEIF(G2:G16,"N",S2:S16)</f>
        <v>4.8499999999999996</v>
      </c>
      <c r="AB55">
        <v>4</v>
      </c>
      <c r="AC55">
        <f>AVERAGEIF(G2:G16,"White Space",S2:S16)</f>
        <v>4.5</v>
      </c>
      <c r="AD55">
        <v>4</v>
      </c>
      <c r="AE55">
        <f>AVERAGE(S2:S16)</f>
        <v>4.833333333333333</v>
      </c>
      <c r="AF55">
        <v>4</v>
      </c>
    </row>
    <row r="56" spans="25:32" x14ac:dyDescent="0.2">
      <c r="Y56">
        <f>AVERAGEIF(G17:G31,"D",S17:S31)</f>
        <v>5.1000000000000005</v>
      </c>
      <c r="Z56">
        <v>5</v>
      </c>
      <c r="AA56">
        <f>AVERAGEIF(G17:G31,"N",S17:S31)</f>
        <v>4.88</v>
      </c>
      <c r="AB56">
        <v>5</v>
      </c>
      <c r="AC56">
        <f>AVERAGEIF(G17:G31,"White Space",S17:S31)</f>
        <v>4.8499999999999996</v>
      </c>
      <c r="AD56">
        <v>5</v>
      </c>
      <c r="AE56">
        <f>AVERAGE(S17:S31)</f>
        <v>4.9933333333333332</v>
      </c>
      <c r="AF56">
        <v>5</v>
      </c>
    </row>
    <row r="57" spans="25:32" x14ac:dyDescent="0.2">
      <c r="Y57">
        <f>AVERAGEIF(G32:G47,"D",S32:S47)</f>
        <v>5.0333333333333341</v>
      </c>
      <c r="Z57">
        <v>6</v>
      </c>
      <c r="AA57">
        <f>AVERAGEIF(G32:G47,"N",S32:S47)</f>
        <v>4.875</v>
      </c>
      <c r="AB57">
        <v>6</v>
      </c>
      <c r="AC57">
        <f>AVERAGEIF(G32:G47,"White Space",S32:S47)</f>
        <v>4.6999999999999993</v>
      </c>
      <c r="AD57">
        <v>6</v>
      </c>
      <c r="AE57">
        <f>AVERAGE(S32:S47)</f>
        <v>4.9124999999999996</v>
      </c>
      <c r="AF57">
        <v>6</v>
      </c>
    </row>
    <row r="59" spans="25:32" x14ac:dyDescent="0.2">
      <c r="Z59" t="s">
        <v>53</v>
      </c>
      <c r="AB59" t="s">
        <v>52</v>
      </c>
      <c r="AD59" t="s">
        <v>51</v>
      </c>
    </row>
    <row r="60" spans="25:32" x14ac:dyDescent="0.2">
      <c r="Y60">
        <f>Y55/AE55</f>
        <v>1.0086206896551724</v>
      </c>
      <c r="Z60">
        <v>4</v>
      </c>
      <c r="AA60">
        <f>AA55/AE55</f>
        <v>1.0034482758620689</v>
      </c>
      <c r="AB60">
        <v>4</v>
      </c>
      <c r="AC60">
        <f>AC55/AE55</f>
        <v>0.93103448275862077</v>
      </c>
      <c r="AD60">
        <v>4</v>
      </c>
    </row>
    <row r="61" spans="25:32" x14ac:dyDescent="0.2">
      <c r="Y61">
        <f>Y56/AE56</f>
        <v>1.0213618157543392</v>
      </c>
      <c r="Z61">
        <v>5</v>
      </c>
      <c r="AA61">
        <f>AA56/AE56</f>
        <v>0.97730307076101475</v>
      </c>
      <c r="AB61">
        <v>5</v>
      </c>
      <c r="AC61">
        <f>AC56/AE56</f>
        <v>0.9712950600801068</v>
      </c>
      <c r="AD61">
        <v>5</v>
      </c>
    </row>
    <row r="62" spans="25:32" x14ac:dyDescent="0.2">
      <c r="Y62">
        <f>Y57/AE57</f>
        <v>1.0245971162001699</v>
      </c>
      <c r="Z62">
        <v>6</v>
      </c>
      <c r="AA62">
        <f>AA57/AE57</f>
        <v>0.99236641221374056</v>
      </c>
      <c r="AB62">
        <v>6</v>
      </c>
      <c r="AC62">
        <f>AC57/AE57</f>
        <v>0.95674300254452915</v>
      </c>
      <c r="AD62">
        <v>6</v>
      </c>
    </row>
    <row r="64" spans="25:32" x14ac:dyDescent="0.2">
      <c r="Z64" t="s">
        <v>78</v>
      </c>
      <c r="AB64" t="s">
        <v>77</v>
      </c>
      <c r="AD64" t="s">
        <v>76</v>
      </c>
      <c r="AF64" t="s">
        <v>75</v>
      </c>
    </row>
    <row r="65" spans="25:32" x14ac:dyDescent="0.2">
      <c r="Y65">
        <f t="array" ref="Y65">_xlfn.STDEV.P(IF(G2:G16="D", S2:S16))</f>
        <v>8.2915619758885103E-2</v>
      </c>
      <c r="Z65">
        <v>4</v>
      </c>
      <c r="AA65">
        <f t="array" ref="AA65">_xlfn.STDEV.P(IF(G2:G16="N", S2:S16))</f>
        <v>0.15000000000000002</v>
      </c>
      <c r="AB65">
        <v>4</v>
      </c>
      <c r="AC65" t="e">
        <f t="array" ref="AC65">_xlfn.STDEV.S(IF(G2:G16="White Space", S2:S16))</f>
        <v>#DIV/0!</v>
      </c>
      <c r="AD65">
        <v>4</v>
      </c>
      <c r="AE65">
        <f t="array" ref="AE65">_xlfn.STDEV.P(S2:S16)</f>
        <v>0.15776212754932317</v>
      </c>
      <c r="AF65">
        <v>4</v>
      </c>
    </row>
    <row r="66" spans="25:32" x14ac:dyDescent="0.2">
      <c r="Y66">
        <f t="array" ref="Y66">_xlfn.STDEV.P(IF(G17:G31="D", S17:S31))</f>
        <v>5.0000000000000044E-2</v>
      </c>
      <c r="Z66">
        <v>5</v>
      </c>
      <c r="AA66">
        <f t="array" ref="AA66">_xlfn.STDEV.P(IF(G17:G31="N", S17:S31))</f>
        <v>0.14696938456699082</v>
      </c>
      <c r="AB66">
        <v>5</v>
      </c>
      <c r="AC66">
        <f t="array" ref="AC66">_xlfn.STDEV.P(IF(G17:G31="White Space", S17:S31))</f>
        <v>0.14999999999999991</v>
      </c>
      <c r="AD66">
        <v>5</v>
      </c>
      <c r="AE66">
        <f t="array" ref="AE66">_xlfn.STDEV.P(S17:S31)</f>
        <v>0.15691469727919752</v>
      </c>
      <c r="AF66">
        <v>5</v>
      </c>
    </row>
    <row r="67" spans="25:32" x14ac:dyDescent="0.2">
      <c r="Y67">
        <f t="array" ref="Y67">_xlfn.STDEV.P(IF(G32:G47="D", S32:S47))</f>
        <v>0.18856180831641248</v>
      </c>
      <c r="Z67">
        <v>6</v>
      </c>
      <c r="AA67">
        <f t="array" ref="AA67">_xlfn.STDEV.P(IF(G32:G47="N", S32:S47))</f>
        <v>9.6824583655185453E-2</v>
      </c>
      <c r="AB67">
        <v>6</v>
      </c>
      <c r="AC67">
        <f t="array" ref="AC67">_xlfn.STDEV.P(IF(G32:G47="White Space", S32:S47))</f>
        <v>0.39999999999999991</v>
      </c>
      <c r="AD67">
        <v>6</v>
      </c>
      <c r="AE67">
        <f t="array" ref="AE67">_xlfn.STDEV.P(S32:S47)</f>
        <v>0.2232571387436468</v>
      </c>
      <c r="AF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2018-07-21T10:24:52Z</dcterms:created>
  <dcterms:modified xsi:type="dcterms:W3CDTF">2018-07-23T16:21:51Z</dcterms:modified>
</cp:coreProperties>
</file>