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IWS Dropbox\Brian DeChesare\BIWS-All-Courses\100-Bonus-Case-Studies\Bank-Modeling\Bank-Regulatory-Capital\"/>
    </mc:Choice>
  </mc:AlternateContent>
  <xr:revisionPtr revIDLastSave="0" documentId="13_ncr:1_{0C4C743A-1090-44FD-B721-B04F2F42A1A2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Bank_Capital" sheetId="23" r:id="rId1"/>
    <sheet name="SVB" sheetId="24" r:id="rId2"/>
    <sheet name="CS" sheetId="25" r:id="rId3"/>
  </sheets>
  <definedNames>
    <definedName name="_xlnm.Print_Area" localSheetId="0">Bank_Capital!$A$1:$W$77</definedName>
    <definedName name="_xlnm.Print_Area" localSheetId="2">CS!$A$1:$I$81</definedName>
    <definedName name="_xlnm.Print_Area" localSheetId="1">SVB!$A$1:$I$71</definedName>
    <definedName name="Qualifying_ALL" localSheetId="2">CS!#REF!</definedName>
    <definedName name="Qualifying_ALL" localSheetId="1">SVB!#REF!</definedName>
    <definedName name="Qualifying_ALL">Bank_Capital!$G$13</definedName>
    <definedName name="Tax_Rate" localSheetId="2">CS!#REF!</definedName>
    <definedName name="Tax_Rate" localSheetId="1">SVB!#REF!</definedName>
    <definedName name="Tax_Rate">Bank_Capital!$G$7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23" l="1"/>
  <c r="F74" i="25"/>
  <c r="F71" i="25"/>
  <c r="F22" i="25"/>
  <c r="F36" i="25"/>
  <c r="F27" i="25"/>
  <c r="F39" i="25" s="1"/>
  <c r="F42" i="25" s="1"/>
  <c r="F44" i="25" s="1"/>
  <c r="F25" i="25"/>
  <c r="F24" i="25"/>
  <c r="F18" i="25"/>
  <c r="F15" i="25"/>
  <c r="L34" i="24"/>
  <c r="F76" i="25"/>
  <c r="G76" i="25"/>
  <c r="G74" i="25"/>
  <c r="G56" i="25"/>
  <c r="G36" i="25" l="1"/>
  <c r="G51" i="25"/>
  <c r="G71" i="25"/>
  <c r="G55" i="25"/>
  <c r="F55" i="25"/>
  <c r="F51" i="25"/>
  <c r="G30" i="25"/>
  <c r="F30" i="25"/>
  <c r="G22" i="25"/>
  <c r="G80" i="25" s="1"/>
  <c r="L25" i="24"/>
  <c r="G52" i="24"/>
  <c r="F52" i="24"/>
  <c r="G55" i="24"/>
  <c r="F55" i="24"/>
  <c r="G54" i="24"/>
  <c r="G35" i="24"/>
  <c r="G30" i="24"/>
  <c r="F30" i="24"/>
  <c r="F54" i="24"/>
  <c r="O59" i="23"/>
  <c r="F80" i="25" l="1"/>
  <c r="F79" i="25"/>
  <c r="F50" i="25"/>
  <c r="F54" i="25" s="1"/>
  <c r="G27" i="25"/>
  <c r="G78" i="25" s="1"/>
  <c r="F62" i="25"/>
  <c r="F63" i="25" s="1"/>
  <c r="F78" i="25"/>
  <c r="F50" i="24"/>
  <c r="G50" i="24"/>
  <c r="G22" i="24"/>
  <c r="G27" i="24" s="1"/>
  <c r="F35" i="24"/>
  <c r="F22" i="24"/>
  <c r="I44" i="23"/>
  <c r="P20" i="23" s="1"/>
  <c r="I39" i="23"/>
  <c r="I38" i="23"/>
  <c r="I37" i="23"/>
  <c r="I36" i="23"/>
  <c r="I35" i="23"/>
  <c r="I28" i="23"/>
  <c r="I27" i="23"/>
  <c r="I23" i="23"/>
  <c r="I21" i="23"/>
  <c r="I20" i="23"/>
  <c r="I19" i="23"/>
  <c r="G20" i="23"/>
  <c r="P36" i="23" s="1"/>
  <c r="P38" i="23" s="1"/>
  <c r="G27" i="23"/>
  <c r="F65" i="25" l="1"/>
  <c r="F46" i="25"/>
  <c r="G39" i="25"/>
  <c r="G62" i="25"/>
  <c r="G63" i="25" s="1"/>
  <c r="F66" i="25"/>
  <c r="F59" i="25"/>
  <c r="G60" i="24"/>
  <c r="G61" i="24" s="1"/>
  <c r="G38" i="24"/>
  <c r="G68" i="24"/>
  <c r="G70" i="24"/>
  <c r="F70" i="24"/>
  <c r="F27" i="24"/>
  <c r="P8" i="23"/>
  <c r="G44" i="23"/>
  <c r="F68" i="25" l="1"/>
  <c r="F67" i="25"/>
  <c r="G65" i="25"/>
  <c r="G42" i="25"/>
  <c r="G44" i="25" s="1"/>
  <c r="G50" i="25"/>
  <c r="G54" i="25" s="1"/>
  <c r="F68" i="24"/>
  <c r="F38" i="24"/>
  <c r="G41" i="24"/>
  <c r="G43" i="24" s="1"/>
  <c r="G49" i="24"/>
  <c r="G53" i="24" s="1"/>
  <c r="G63" i="24"/>
  <c r="F60" i="24"/>
  <c r="F61" i="24" s="1"/>
  <c r="P29" i="23"/>
  <c r="G79" i="25" l="1"/>
  <c r="G46" i="25"/>
  <c r="G59" i="25"/>
  <c r="G66" i="25"/>
  <c r="F63" i="24"/>
  <c r="F49" i="24"/>
  <c r="F53" i="24" s="1"/>
  <c r="F57" i="24" s="1"/>
  <c r="F41" i="24"/>
  <c r="G64" i="24"/>
  <c r="G57" i="24"/>
  <c r="G69" i="24"/>
  <c r="G45" i="24"/>
  <c r="F43" i="24"/>
  <c r="P13" i="23"/>
  <c r="P27" i="23" s="1"/>
  <c r="G68" i="25" l="1"/>
  <c r="G67" i="25"/>
  <c r="G65" i="24"/>
  <c r="G66" i="24"/>
  <c r="F69" i="24"/>
  <c r="F45" i="24"/>
  <c r="F64" i="24"/>
  <c r="G21" i="23"/>
  <c r="F59" i="23"/>
  <c r="F58" i="23"/>
  <c r="G39" i="23"/>
  <c r="G38" i="23"/>
  <c r="G37" i="23"/>
  <c r="G36" i="23"/>
  <c r="G35" i="23"/>
  <c r="V31" i="23" s="1"/>
  <c r="F54" i="23"/>
  <c r="G28" i="23"/>
  <c r="F40" i="23"/>
  <c r="F66" i="24" l="1"/>
  <c r="F65" i="24"/>
  <c r="P43" i="23"/>
  <c r="P31" i="23"/>
  <c r="P41" i="23"/>
  <c r="P32" i="23"/>
  <c r="P30" i="23"/>
  <c r="G59" i="23"/>
  <c r="P42" i="23"/>
  <c r="G58" i="23"/>
  <c r="P44" i="23"/>
  <c r="G54" i="23"/>
  <c r="F24" i="23"/>
  <c r="V12" i="23"/>
  <c r="P48" i="23" l="1"/>
  <c r="I47" i="23"/>
  <c r="G23" i="23"/>
  <c r="V16" i="23"/>
  <c r="F25" i="23"/>
  <c r="F60" i="23"/>
  <c r="F61" i="23" s="1"/>
  <c r="G40" i="23"/>
  <c r="F30" i="23" l="1"/>
  <c r="F43" i="23" s="1"/>
  <c r="F53" i="23" s="1"/>
  <c r="F76" i="23"/>
  <c r="G24" i="23"/>
  <c r="G60" i="23" s="1"/>
  <c r="G61" i="23" s="1"/>
  <c r="V22" i="23"/>
  <c r="V21" i="23"/>
  <c r="V20" i="23"/>
  <c r="F55" i="23" l="1"/>
  <c r="F63" i="23" s="1"/>
  <c r="F71" i="23" s="1"/>
  <c r="F66" i="23"/>
  <c r="F68" i="23" s="1"/>
  <c r="F74" i="23"/>
  <c r="G25" i="23"/>
  <c r="F45" i="23"/>
  <c r="F47" i="23" s="1"/>
  <c r="F69" i="23"/>
  <c r="I30" i="23"/>
  <c r="P7" i="23" s="1"/>
  <c r="F70" i="23" l="1"/>
  <c r="P9" i="23"/>
  <c r="P17" i="23" s="1"/>
  <c r="P18" i="23" s="1"/>
  <c r="P19" i="23" s="1"/>
  <c r="V30" i="23"/>
  <c r="V32" i="23" s="1"/>
  <c r="F72" i="23"/>
  <c r="F49" i="23"/>
  <c r="F75" i="23"/>
  <c r="G76" i="23"/>
  <c r="V34" i="23" l="1"/>
  <c r="V35" i="23"/>
  <c r="V29" i="23"/>
  <c r="P21" i="23"/>
  <c r="P26" i="23" l="1"/>
  <c r="V36" i="23"/>
  <c r="G43" i="23" l="1"/>
  <c r="P33" i="23"/>
  <c r="P50" i="23" s="1"/>
  <c r="G19" i="23" s="1"/>
  <c r="G30" i="23" l="1"/>
  <c r="G65" i="23"/>
  <c r="V24" i="23"/>
  <c r="G53" i="23"/>
  <c r="G45" i="23"/>
  <c r="G47" i="23" s="1"/>
  <c r="G75" i="23" s="1"/>
  <c r="V25" i="23" l="1"/>
  <c r="G69" i="23"/>
  <c r="G55" i="23"/>
  <c r="G63" i="23" s="1"/>
  <c r="G74" i="23"/>
  <c r="V26" i="23"/>
  <c r="G66" i="23"/>
  <c r="V27" i="23" s="1"/>
  <c r="G49" i="23"/>
  <c r="G72" i="23" l="1"/>
  <c r="G71" i="23"/>
  <c r="G70" i="23"/>
  <c r="G68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BIWS</author>
  </authors>
  <commentList>
    <comment ref="G8" authorId="0" shapeId="0" xr:uid="{0157DFB6-C59E-4BFA-A938-9C8CF44E0119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Official "minimum" is 4.5%, but a 2.5% capital conservation buffer is added for all bank, and some large banks have additional surcharges.</t>
        </r>
      </text>
    </comment>
    <comment ref="G9" authorId="0" shapeId="0" xr:uid="{36D55998-FD47-49D4-A2A6-EEB3AAEC09DE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Official minimum is 6.0%; this adds the 2.5% capital conservation buffer that applies to all banks.</t>
        </r>
      </text>
    </comment>
    <comment ref="G10" authorId="0" shapeId="0" xr:uid="{B0909314-461D-41FB-B7AA-9423C635EC4B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Official minimum of 8.0% plus the 2.5% capital conservation buffer.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BIWS</author>
  </authors>
  <commentList>
    <comment ref="H7" authorId="0" shapeId="0" xr:uid="{A2DF5FC9-FE4E-43A0-8A73-C98E5AE3FACA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Official "minimum" is 4.5%, but a 2.5% capital conservation buffer is added for all bank, and some large banks have additional surcharges.</t>
        </r>
      </text>
    </comment>
    <comment ref="H8" authorId="0" shapeId="0" xr:uid="{11D8F079-D70D-4F38-8C6D-F1A56C445084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Official minimum is 6.0%; this adds the 2.5% capital conservation buffer that applies to all banks.</t>
        </r>
      </text>
    </comment>
    <comment ref="H9" authorId="0" shapeId="0" xr:uid="{1816DD57-189D-4658-9E72-7718EED7389C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Official minimum of 8.0% plus the 2.5% capital conservation buffer.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BIWS</author>
  </authors>
  <commentList>
    <comment ref="H7" authorId="0" shapeId="0" xr:uid="{F02F8E03-DB86-4BE9-8B76-E92A02A9836B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Official "minimum" is 4.5%, but a 2.5% capital conservation buffer is added for all bank, and some large banks have additional surcharges.</t>
        </r>
      </text>
    </comment>
    <comment ref="H8" authorId="0" shapeId="0" xr:uid="{9C5E21A1-24B7-4E65-A956-7C06506AFB23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Official minimum is 6.0%; this adds the 2.5% capital conservation buffer that applies to all banks.</t>
        </r>
      </text>
    </comment>
    <comment ref="H9" authorId="0" shapeId="0" xr:uid="{7683E949-36EA-46E0-910B-6B4825A8D9C7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Official minimum of 8.0% plus the 2.5% capital conservation buffer.</t>
        </r>
      </text>
    </comment>
  </commentList>
</comments>
</file>

<file path=xl/sharedStrings.xml><?xml version="1.0" encoding="utf-8"?>
<sst xmlns="http://schemas.openxmlformats.org/spreadsheetml/2006/main" count="282" uniqueCount="177">
  <si>
    <t>Total Assets:</t>
  </si>
  <si>
    <t>Total Liabilities:</t>
  </si>
  <si>
    <t>Cash:</t>
  </si>
  <si>
    <t>($ in Millions)</t>
  </si>
  <si>
    <t>Preferred Stock:</t>
  </si>
  <si>
    <t>Allowance for Loan Losses:</t>
  </si>
  <si>
    <t>Net Loans:</t>
  </si>
  <si>
    <t>Liabilities:</t>
  </si>
  <si>
    <t>Deposits:</t>
  </si>
  <si>
    <t>Pre-Tax Income:</t>
  </si>
  <si>
    <t>Net Income:</t>
  </si>
  <si>
    <t>Non-Interest Expenses:</t>
  </si>
  <si>
    <t>Common Stock Issuances:</t>
  </si>
  <si>
    <t>Beginning Reserve Balance:</t>
  </si>
  <si>
    <t>Net Charge-Offs:</t>
  </si>
  <si>
    <t>Ending Reserve Balance:</t>
  </si>
  <si>
    <t>Net Charge-Offs Calculation:</t>
  </si>
  <si>
    <t>Common Stockholders' Equity:</t>
  </si>
  <si>
    <t>Provisions for Credit Losses:</t>
  </si>
  <si>
    <t>Tax Rate:</t>
  </si>
  <si>
    <t>Changes in Deposits:</t>
  </si>
  <si>
    <t>Preferred Issuances:</t>
  </si>
  <si>
    <t>Net Change in Cash:</t>
  </si>
  <si>
    <t>Reserve Ratio:</t>
  </si>
  <si>
    <t>Net Charge-Offs / Reserves:</t>
  </si>
  <si>
    <t>Assumptions:</t>
  </si>
  <si>
    <t>Loan Loss Reserve Calculations:</t>
  </si>
  <si>
    <t>ASSETS:</t>
  </si>
  <si>
    <t>Beginning:</t>
  </si>
  <si>
    <t>Ending:</t>
  </si>
  <si>
    <t>LIABILITIES &amp; EQUITY:</t>
  </si>
  <si>
    <t>Gross Loans:</t>
  </si>
  <si>
    <t>Goodwill &amp; Other Intangible Assets:</t>
  </si>
  <si>
    <t>Other Assets:</t>
  </si>
  <si>
    <t>Senior Debt:</t>
  </si>
  <si>
    <t>Subordinated Notes:</t>
  </si>
  <si>
    <t>Convertible Bonds:</t>
  </si>
  <si>
    <t>Other Borrowings:</t>
  </si>
  <si>
    <t>Equity:</t>
  </si>
  <si>
    <t>Total Equity:</t>
  </si>
  <si>
    <t>Total Liabilities &amp; Equity:</t>
  </si>
  <si>
    <t>Common Equity Tier 1 (CET 1):</t>
  </si>
  <si>
    <t>(-) Gross Charge-Offs:</t>
  </si>
  <si>
    <t>(+) Recoveries:</t>
  </si>
  <si>
    <t>(+) Additions to Provisions:</t>
  </si>
  <si>
    <t>(+) Preferred Stock:</t>
  </si>
  <si>
    <t>Tier 1 Capital:</t>
  </si>
  <si>
    <t>REGULATORY CAPITAL:</t>
  </si>
  <si>
    <t>Tier 2 Capital:</t>
  </si>
  <si>
    <t>(+) Convertible Bonds:</t>
  </si>
  <si>
    <t>(+) Subordinated Notes:</t>
  </si>
  <si>
    <t>Total Tier 2 Capital:</t>
  </si>
  <si>
    <t>Total Capital:</t>
  </si>
  <si>
    <t>(+) Qualifying Allowance for LLs:</t>
  </si>
  <si>
    <t>% of Allowance for Loan Losses in Tier 2 Capital:</t>
  </si>
  <si>
    <t>Common Equity Tier 1 Ratio:</t>
  </si>
  <si>
    <t>Tier 1 Capital Ratio:</t>
  </si>
  <si>
    <t>Total Capital Ratio:</t>
  </si>
  <si>
    <t>Total Risk-Weighted Assets:</t>
  </si>
  <si>
    <t>Total Tangible Assets:</t>
  </si>
  <si>
    <t>BALANCE CHECK:</t>
  </si>
  <si>
    <t>Loan Additions in Period Shown:</t>
  </si>
  <si>
    <t>Net Interest Income:</t>
  </si>
  <si>
    <t>Net Fee &amp; Commission Income:</t>
  </si>
  <si>
    <t>Changes in Other Assets:</t>
  </si>
  <si>
    <t>Changes in Subordinated Notes:</t>
  </si>
  <si>
    <t>Changes in Convertible Bonds:</t>
  </si>
  <si>
    <t>Annual Period:</t>
  </si>
  <si>
    <t>Minimum Tier 1 Capital Ratio:</t>
  </si>
  <si>
    <t>Minimum Total Capital Ratio:</t>
  </si>
  <si>
    <t>Minimum Common Equity Tier 1 Ratio:</t>
  </si>
  <si>
    <t>Additions to Gross Loans:</t>
  </si>
  <si>
    <t>Net Charge-Off Ratio:</t>
  </si>
  <si>
    <t>Interest</t>
  </si>
  <si>
    <t>Rate:</t>
  </si>
  <si>
    <t>Income:</t>
  </si>
  <si>
    <t>Risk</t>
  </si>
  <si>
    <t>Weight:</t>
  </si>
  <si>
    <t>Off-Balance Sheet Assets</t>
  </si>
  <si>
    <t>Conversion</t>
  </si>
  <si>
    <t>Balance:</t>
  </si>
  <si>
    <t>Factor:</t>
  </si>
  <si>
    <t>Total:</t>
  </si>
  <si>
    <t>Unused Commitments:</t>
  </si>
  <si>
    <t>&lt; 1-Year Commitments:</t>
  </si>
  <si>
    <t>&gt; 1-Year Commitments:</t>
  </si>
  <si>
    <t>Expense:</t>
  </si>
  <si>
    <t>Taxes, Regulatory Capital, and Operating Assumptions:</t>
  </si>
  <si>
    <t>Cash Flow from Operations:</t>
  </si>
  <si>
    <t>Changes in Operating Assets &amp; Liabilities:</t>
  </si>
  <si>
    <t>(-) Income Taxes:</t>
  </si>
  <si>
    <t>(+) Interest Income:</t>
  </si>
  <si>
    <t>(-) Interest Expense:</t>
  </si>
  <si>
    <t>Available for Sale Securities:</t>
  </si>
  <si>
    <t>Net Income to Common:</t>
  </si>
  <si>
    <t>Other Securities:</t>
  </si>
  <si>
    <t>Changes in Other Securities:</t>
  </si>
  <si>
    <t>Changes in Senior Debt:</t>
  </si>
  <si>
    <t>Changes in Other Borrowings:</t>
  </si>
  <si>
    <t>Cash Flow from Investing:</t>
  </si>
  <si>
    <t>(Purchases) of Intangible Assets:</t>
  </si>
  <si>
    <t>Sales / (Purchases) of AFS Securities:</t>
  </si>
  <si>
    <t>Total Cash Flow from Operations:</t>
  </si>
  <si>
    <t>Tangible Common Equity Ratio:</t>
  </si>
  <si>
    <t>(-) Preferred Stock Dividend:</t>
  </si>
  <si>
    <t>Total Cash Flow from Investing:</t>
  </si>
  <si>
    <t>Cash Flow from Financing:</t>
  </si>
  <si>
    <t>Total Cash Flow from Financing:</t>
  </si>
  <si>
    <t>Dividends to Common:</t>
  </si>
  <si>
    <t>Return on Common Equity:</t>
  </si>
  <si>
    <t>Return on Tangible Common Equity:</t>
  </si>
  <si>
    <t>Return on Assets:</t>
  </si>
  <si>
    <t>Return on Tangible Assets:</t>
  </si>
  <si>
    <t>Net Loans / Total Assets:</t>
  </si>
  <si>
    <t>Deposits / Total Liabilities &amp; Equity:</t>
  </si>
  <si>
    <t>Net Loans / Deposits:</t>
  </si>
  <si>
    <t>Net Interest Margin:</t>
  </si>
  <si>
    <t>Spread:</t>
  </si>
  <si>
    <t>Overhead Ratio:</t>
  </si>
  <si>
    <t>Dividend Payout Ratio:</t>
  </si>
  <si>
    <t>Average Interest Rate on IEA:</t>
  </si>
  <si>
    <t>Average Interest on IBL:</t>
  </si>
  <si>
    <t>Net Interest Income / Revenue:</t>
  </si>
  <si>
    <t>Commercial Banks: From the Balance Sheet to the Income Statement and Cash Flow Statement</t>
  </si>
  <si>
    <t>Key Operating Metrics and Ratios:</t>
  </si>
  <si>
    <t>Commercial Bank - Income Statement:</t>
  </si>
  <si>
    <t>Commercial Bank - Cash Flow Statement:</t>
  </si>
  <si>
    <t>Commercial Bank - Balance Sheet:</t>
  </si>
  <si>
    <t>Non-Sec. Guarantees:</t>
  </si>
  <si>
    <t>Minimum Tier 1 Leverage Ratio:</t>
  </si>
  <si>
    <t>Tier 1 Leverage Ratio:</t>
  </si>
  <si>
    <t>Silicon Valley Bank - Balance Sheet and Regulatory Capital:</t>
  </si>
  <si>
    <t>Held to Maturity Securities:</t>
  </si>
  <si>
    <t>FY 21</t>
  </si>
  <si>
    <t>FY 22</t>
  </si>
  <si>
    <t>Other Liabilities:</t>
  </si>
  <si>
    <t>Noncontrolling Interests:</t>
  </si>
  <si>
    <t>&lt;-- Recorded at fair market value, so there are no unrealized losses or gains.</t>
  </si>
  <si>
    <t>&lt;-- Massive unrealized losses here!</t>
  </si>
  <si>
    <t>RWAs / Tangible Assets:</t>
  </si>
  <si>
    <t>(-) Goodwill &amp; Intangibles:</t>
  </si>
  <si>
    <t>(+) Certain DTAs:</t>
  </si>
  <si>
    <t>(+/-) Other Adjustments:</t>
  </si>
  <si>
    <t>(+) Qualifying NCI:</t>
  </si>
  <si>
    <r>
      <t>Unrealized Losses:</t>
    </r>
    <r>
      <rPr>
        <sz val="12"/>
        <color theme="1"/>
        <rFont val="Calibri"/>
        <family val="2"/>
        <scheme val="minor"/>
      </rPr>
      <t xml:space="preserve"> </t>
    </r>
  </si>
  <si>
    <t>=PRICE("3/10/2023","3/10/2031",1.5%,4%,100,2)</t>
  </si>
  <si>
    <t>--&gt; This implies a ~17% unrealized loss on the total HTM portfolio,</t>
  </si>
  <si>
    <t>very close to the actual $15.2 billion unrealized loss the company</t>
  </si>
  <si>
    <t>stated in its filings.</t>
  </si>
  <si>
    <t>Our Estimates of SVB's Unrealized Losses:</t>
  </si>
  <si>
    <t>Regulatory Capital Minimums:</t>
  </si>
  <si>
    <t>Credit Suisse - Balance Sheet and Regulatory Capital:</t>
  </si>
  <si>
    <t>Debt &amp; Borrowings:</t>
  </si>
  <si>
    <t>Due to Banks &amp; Central Bank Funds:</t>
  </si>
  <si>
    <t>(+) AT1 Capital:</t>
  </si>
  <si>
    <t>Liquid Assets:</t>
  </si>
  <si>
    <t>% Cash:</t>
  </si>
  <si>
    <t>% Deposits:</t>
  </si>
  <si>
    <t>Stress Net Cash Outflows:</t>
  </si>
  <si>
    <t>Liquidity Coverage Ratio (LCR):</t>
  </si>
  <si>
    <t>With even simple, brain-dead strategies, such as buying short-term bonds rather than long-term</t>
  </si>
  <si>
    <t>ones, SVB could have saved itself:</t>
  </si>
  <si>
    <t>=PRICE("3/10/2023","3/10/2025",1.5%,4%,100,2)</t>
  </si>
  <si>
    <t>--&gt; This implies a ~5% unrealized loss on the total HTM portfolio, which</t>
  </si>
  <si>
    <t>would have left the company with a CET 1 Ratio of ~8%, still above the</t>
  </si>
  <si>
    <t>minimum level. Oh, and no bank runs, either.</t>
  </si>
  <si>
    <t>Cash &amp; Due from Banks:</t>
  </si>
  <si>
    <r>
      <t xml:space="preserve">Even if CS had written down </t>
    </r>
    <r>
      <rPr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its HTM Securities to 0, it would have made almost</t>
    </r>
  </si>
  <si>
    <t>no difference - ~2% reduction in its CET 1 and Tier 1 Capital.</t>
  </si>
  <si>
    <r>
      <t xml:space="preserve">The problems with CS were more related to its </t>
    </r>
    <r>
      <rPr>
        <b/>
        <sz val="12"/>
        <color theme="1"/>
        <rFont val="Calibri"/>
        <family val="2"/>
        <scheme val="minor"/>
      </rPr>
      <t>rapid loss of Deposits and Cash</t>
    </r>
    <r>
      <rPr>
        <sz val="12"/>
        <color theme="1"/>
        <rFont val="Calibri"/>
        <family val="2"/>
        <scheme val="minor"/>
      </rPr>
      <t>, which</t>
    </r>
  </si>
  <si>
    <t>the regulatory capital ratios "disguise" unless you look at the underlying Balance Sheets.</t>
  </si>
  <si>
    <t>Yes, its Liquidity Coverage Ratio was still well above 100% - but its Cash and Deposits</t>
  </si>
  <si>
    <r>
      <t xml:space="preserve">were </t>
    </r>
    <r>
      <rPr>
        <b/>
        <sz val="12"/>
        <color theme="1"/>
        <rFont val="Calibri"/>
        <family val="2"/>
        <scheme val="minor"/>
      </rPr>
      <t>down by 40-50%+ in a single year</t>
    </r>
    <r>
      <rPr>
        <sz val="12"/>
        <color theme="1"/>
        <rFont val="Calibri"/>
        <family val="2"/>
        <scheme val="minor"/>
      </rPr>
      <t xml:space="preserve"> - not good!</t>
    </r>
  </si>
  <si>
    <t>There's no "ratio" that measures "loss of deposits," but it's a serious problem because</t>
  </si>
  <si>
    <t>commercial banks need more assets to grow.</t>
  </si>
  <si>
    <r>
      <t xml:space="preserve">The lesson is that </t>
    </r>
    <r>
      <rPr>
        <b/>
        <sz val="12"/>
        <color theme="1"/>
        <rFont val="Calibri"/>
        <family val="2"/>
        <scheme val="minor"/>
      </rPr>
      <t>banks can fail in different ways</t>
    </r>
    <r>
      <rPr>
        <sz val="12"/>
        <color theme="1"/>
        <rFont val="Calibri"/>
        <family val="2"/>
        <scheme val="minor"/>
      </rPr>
      <t>, and no set of metrics captures every</t>
    </r>
  </si>
  <si>
    <t>possible outcome; you always need to look at the full picture to assess risk.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</si>
</sst>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&quot;$&quot;#,##0"/>
    <numFmt numFmtId="166" formatCode="0.0%;[Red]\(0.0%\)"/>
    <numFmt numFmtId="167" formatCode="_(&quot;$&quot;* #,##0.0_);_(&quot;$&quot;* \(#,##0.0\);_(&quot;$&quot;* &quot;-&quot;?_);_(@_)"/>
    <numFmt numFmtId="168" formatCode="0.0%;\(0.0%\)"/>
    <numFmt numFmtId="169" formatCode="&quot;$&quot;#,##0_);\(&quot;$&quot;#,##0\);&quot;OK!&quot;;&quot;ERROR&quot;"/>
    <numFmt numFmtId="170" formatCode="_(* #,##0.0_);_(* \(#,##0.0\);_(* &quot;-&quot;?_);_(@_)"/>
    <numFmt numFmtId="171" formatCode="_(* #,##0.0_);_(* \(#,##0.0\);_(* &quot;-&quot;_);_(@_)"/>
    <numFmt numFmtId="172" formatCode="_([$CHF]\ * #,##0.0_);_([$CHF]\ * \(#,##0.0\);_([$CHF]\ * &quot;-&quot;_);_(@_)"/>
    <numFmt numFmtId="173" formatCode="_([$CHF]\ * #,##0.0_);_([$CHF]\ * \(#,##0.0\);_([$CHF]\ * &quot;-&quot;?_);_(@_)"/>
    <numFmt numFmtId="174" formatCode="_([$CHF]\ * #,##0.00_);_([$CHF]\ * \(#,##0.00\);_([$CHF]\ * &quot;-&quot;??_);_(@_)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u/>
      <sz val="12"/>
      <color indexed="9"/>
      <name val="Arial"/>
      <family val="2"/>
    </font>
    <font>
      <u/>
      <sz val="12"/>
      <color indexed="9"/>
      <name val="Arial"/>
      <family val="2"/>
    </font>
    <font>
      <b/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00B05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centerContinuous"/>
    </xf>
    <xf numFmtId="4" fontId="10" fillId="4" borderId="2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centerContinuous"/>
    </xf>
    <xf numFmtId="4" fontId="10" fillId="4" borderId="3" xfId="0" applyNumberFormat="1" applyFont="1" applyFill="1" applyBorder="1" applyAlignment="1">
      <alignment horizontal="center"/>
    </xf>
    <xf numFmtId="164" fontId="11" fillId="3" borderId="4" xfId="0" applyNumberFormat="1" applyFont="1" applyFill="1" applyBorder="1" applyAlignment="1">
      <alignment horizontal="center"/>
    </xf>
    <xf numFmtId="0" fontId="6" fillId="0" borderId="0" xfId="0" applyFont="1" applyAlignment="1">
      <alignment horizontal="left" indent="1"/>
    </xf>
    <xf numFmtId="42" fontId="12" fillId="0" borderId="0" xfId="0" applyNumberFormat="1" applyFont="1"/>
    <xf numFmtId="167" fontId="12" fillId="0" borderId="0" xfId="0" applyNumberFormat="1" applyFont="1"/>
    <xf numFmtId="167" fontId="11" fillId="3" borderId="4" xfId="0" applyNumberFormat="1" applyFont="1" applyFill="1" applyBorder="1" applyAlignment="1">
      <alignment horizontal="center"/>
    </xf>
    <xf numFmtId="170" fontId="12" fillId="0" borderId="0" xfId="0" applyNumberFormat="1" applyFont="1"/>
    <xf numFmtId="42" fontId="13" fillId="0" borderId="0" xfId="0" applyNumberFormat="1" applyFont="1"/>
    <xf numFmtId="0" fontId="5" fillId="0" borderId="1" xfId="0" applyFont="1" applyBorder="1"/>
    <xf numFmtId="0" fontId="6" fillId="0" borderId="1" xfId="0" applyFont="1" applyBorder="1"/>
    <xf numFmtId="170" fontId="5" fillId="0" borderId="1" xfId="0" applyNumberFormat="1" applyFont="1" applyBorder="1"/>
    <xf numFmtId="170" fontId="11" fillId="3" borderId="4" xfId="0" applyNumberFormat="1" applyFont="1" applyFill="1" applyBorder="1" applyAlignment="1">
      <alignment horizontal="center"/>
    </xf>
    <xf numFmtId="170" fontId="11" fillId="0" borderId="0" xfId="0" applyNumberFormat="1" applyFont="1"/>
    <xf numFmtId="170" fontId="10" fillId="0" borderId="1" xfId="0" applyNumberFormat="1" applyFont="1" applyBorder="1"/>
    <xf numFmtId="41" fontId="12" fillId="0" borderId="0" xfId="0" applyNumberFormat="1" applyFont="1"/>
    <xf numFmtId="0" fontId="5" fillId="0" borderId="0" xfId="0" applyFont="1" applyAlignment="1">
      <alignment horizontal="left" indent="1"/>
    </xf>
    <xf numFmtId="167" fontId="5" fillId="0" borderId="0" xfId="0" applyNumberFormat="1" applyFont="1"/>
    <xf numFmtId="0" fontId="9" fillId="0" borderId="0" xfId="0" applyFont="1" applyAlignment="1">
      <alignment horizontal="left"/>
    </xf>
    <xf numFmtId="0" fontId="6" fillId="4" borderId="1" xfId="0" applyFont="1" applyFill="1" applyBorder="1"/>
    <xf numFmtId="4" fontId="10" fillId="4" borderId="1" xfId="0" applyNumberFormat="1" applyFont="1" applyFill="1" applyBorder="1" applyAlignment="1">
      <alignment horizontal="center"/>
    </xf>
    <xf numFmtId="4" fontId="10" fillId="0" borderId="0" xfId="0" applyNumberFormat="1" applyFont="1" applyAlignment="1">
      <alignment horizontal="center"/>
    </xf>
    <xf numFmtId="41" fontId="10" fillId="0" borderId="0" xfId="0" applyNumberFormat="1" applyFont="1"/>
    <xf numFmtId="170" fontId="10" fillId="0" borderId="0" xfId="0" applyNumberFormat="1" applyFont="1"/>
    <xf numFmtId="0" fontId="5" fillId="4" borderId="3" xfId="0" applyFont="1" applyFill="1" applyBorder="1"/>
    <xf numFmtId="0" fontId="6" fillId="0" borderId="0" xfId="0" applyFont="1" applyAlignment="1">
      <alignment horizontal="left"/>
    </xf>
    <xf numFmtId="6" fontId="14" fillId="0" borderId="0" xfId="0" applyNumberFormat="1" applyFont="1"/>
    <xf numFmtId="167" fontId="11" fillId="0" borderId="0" xfId="0" applyNumberFormat="1" applyFont="1"/>
    <xf numFmtId="168" fontId="11" fillId="0" borderId="0" xfId="0" applyNumberFormat="1" applyFont="1"/>
    <xf numFmtId="41" fontId="13" fillId="0" borderId="1" xfId="0" applyNumberFormat="1" applyFont="1" applyBorder="1"/>
    <xf numFmtId="170" fontId="6" fillId="0" borderId="0" xfId="0" applyNumberFormat="1" applyFont="1"/>
    <xf numFmtId="168" fontId="6" fillId="0" borderId="0" xfId="0" applyNumberFormat="1" applyFont="1"/>
    <xf numFmtId="167" fontId="10" fillId="0" borderId="1" xfId="0" applyNumberFormat="1" applyFont="1" applyBorder="1"/>
    <xf numFmtId="0" fontId="5" fillId="0" borderId="0" xfId="0" applyFont="1" applyAlignment="1">
      <alignment horizontal="left"/>
    </xf>
    <xf numFmtId="165" fontId="15" fillId="0" borderId="0" xfId="0" applyNumberFormat="1" applyFont="1"/>
    <xf numFmtId="170" fontId="16" fillId="0" borderId="0" xfId="0" applyNumberFormat="1" applyFont="1"/>
    <xf numFmtId="41" fontId="13" fillId="0" borderId="0" xfId="0" applyNumberFormat="1" applyFont="1"/>
    <xf numFmtId="42" fontId="5" fillId="0" borderId="0" xfId="0" applyNumberFormat="1" applyFont="1"/>
    <xf numFmtId="0" fontId="5" fillId="0" borderId="1" xfId="0" applyFont="1" applyBorder="1" applyAlignment="1">
      <alignment horizontal="left"/>
    </xf>
    <xf numFmtId="165" fontId="15" fillId="0" borderId="1" xfId="0" applyNumberFormat="1" applyFont="1" applyBorder="1"/>
    <xf numFmtId="6" fontId="13" fillId="0" borderId="0" xfId="0" applyNumberFormat="1" applyFont="1"/>
    <xf numFmtId="4" fontId="15" fillId="0" borderId="0" xfId="0" applyNumberFormat="1" applyFont="1" applyAlignment="1">
      <alignment horizontal="left"/>
    </xf>
    <xf numFmtId="6" fontId="10" fillId="0" borderId="0" xfId="0" applyNumberFormat="1" applyFont="1"/>
    <xf numFmtId="167" fontId="10" fillId="0" borderId="0" xfId="0" applyNumberFormat="1" applyFont="1"/>
    <xf numFmtId="6" fontId="6" fillId="0" borderId="0" xfId="0" applyNumberFormat="1" applyFont="1"/>
    <xf numFmtId="6" fontId="12" fillId="0" borderId="0" xfId="0" applyNumberFormat="1" applyFont="1" applyAlignment="1">
      <alignment horizontal="left" indent="1"/>
    </xf>
    <xf numFmtId="5" fontId="12" fillId="0" borderId="0" xfId="0" applyNumberFormat="1" applyFont="1"/>
    <xf numFmtId="166" fontId="12" fillId="0" borderId="0" xfId="0" applyNumberFormat="1" applyFont="1" applyAlignment="1">
      <alignment horizontal="left" indent="1"/>
    </xf>
    <xf numFmtId="166" fontId="17" fillId="0" borderId="0" xfId="0" applyNumberFormat="1" applyFont="1"/>
    <xf numFmtId="166" fontId="18" fillId="0" borderId="0" xfId="0" applyNumberFormat="1" applyFont="1"/>
    <xf numFmtId="42" fontId="10" fillId="0" borderId="0" xfId="0" applyNumberFormat="1" applyFont="1"/>
    <xf numFmtId="0" fontId="5" fillId="4" borderId="2" xfId="0" applyFont="1" applyFill="1" applyBorder="1"/>
    <xf numFmtId="41" fontId="12" fillId="4" borderId="2" xfId="0" applyNumberFormat="1" applyFont="1" applyFill="1" applyBorder="1"/>
    <xf numFmtId="6" fontId="12" fillId="0" borderId="0" xfId="0" applyNumberFormat="1" applyFont="1" applyAlignment="1">
      <alignment horizontal="left"/>
    </xf>
    <xf numFmtId="0" fontId="6" fillId="0" borderId="2" xfId="0" applyFont="1" applyBorder="1"/>
    <xf numFmtId="170" fontId="5" fillId="0" borderId="0" xfId="0" applyNumberFormat="1" applyFont="1"/>
    <xf numFmtId="169" fontId="5" fillId="0" borderId="0" xfId="0" applyNumberFormat="1" applyFont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" fontId="15" fillId="4" borderId="3" xfId="0" applyNumberFormat="1" applyFont="1" applyFill="1" applyBorder="1" applyAlignment="1">
      <alignment horizontal="left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4" borderId="2" xfId="0" applyFont="1" applyFill="1" applyBorder="1"/>
    <xf numFmtId="0" fontId="5" fillId="4" borderId="2" xfId="0" applyFont="1" applyFill="1" applyBorder="1" applyAlignment="1">
      <alignment horizontal="center"/>
    </xf>
    <xf numFmtId="167" fontId="6" fillId="0" borderId="0" xfId="0" applyNumberFormat="1" applyFont="1"/>
    <xf numFmtId="42" fontId="6" fillId="0" borderId="0" xfId="0" applyNumberFormat="1" applyFont="1"/>
    <xf numFmtId="0" fontId="6" fillId="0" borderId="2" xfId="0" applyFont="1" applyBorder="1" applyAlignment="1">
      <alignment horizontal="left" indent="1"/>
    </xf>
    <xf numFmtId="170" fontId="11" fillId="0" borderId="2" xfId="0" applyNumberFormat="1" applyFont="1" applyBorder="1"/>
    <xf numFmtId="168" fontId="11" fillId="0" borderId="2" xfId="0" applyNumberFormat="1" applyFont="1" applyBorder="1"/>
    <xf numFmtId="168" fontId="12" fillId="0" borderId="0" xfId="0" applyNumberFormat="1" applyFont="1"/>
    <xf numFmtId="171" fontId="10" fillId="0" borderId="1" xfId="0" applyNumberFormat="1" applyFont="1" applyBorder="1"/>
    <xf numFmtId="43" fontId="6" fillId="0" borderId="0" xfId="0" applyNumberFormat="1" applyFont="1"/>
    <xf numFmtId="0" fontId="6" fillId="0" borderId="0" xfId="0" quotePrefix="1" applyFont="1"/>
    <xf numFmtId="172" fontId="10" fillId="0" borderId="0" xfId="0" applyNumberFormat="1" applyFont="1"/>
    <xf numFmtId="173" fontId="11" fillId="0" borderId="0" xfId="0" applyNumberFormat="1" applyFont="1"/>
    <xf numFmtId="168" fontId="10" fillId="0" borderId="0" xfId="0" applyNumberFormat="1" applyFont="1"/>
    <xf numFmtId="174" fontId="6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V76"/>
  <sheetViews>
    <sheetView showGridLines="0" tabSelected="1" zoomScaleNormal="100" workbookViewId="0">
      <selection activeCell="B2" sqref="B2"/>
    </sheetView>
  </sheetViews>
  <sheetFormatPr defaultRowHeight="15.9" x14ac:dyDescent="0.45"/>
  <cols>
    <col min="1" max="2" width="2.69140625" style="3" customWidth="1"/>
    <col min="3" max="10" width="10.765625" style="3" customWidth="1"/>
    <col min="11" max="12" width="2.69140625" style="3" customWidth="1"/>
    <col min="13" max="16" width="10.765625" style="3" customWidth="1"/>
    <col min="17" max="18" width="2.69140625" style="3" customWidth="1"/>
    <col min="19" max="22" width="10.765625" style="3" customWidth="1"/>
    <col min="23" max="24" width="2.69140625" style="3" customWidth="1"/>
    <col min="25" max="16384" width="9.23046875" style="3"/>
  </cols>
  <sheetData>
    <row r="2" spans="2:22" ht="18.45" x14ac:dyDescent="0.5">
      <c r="B2" s="1" t="s">
        <v>123</v>
      </c>
    </row>
    <row r="3" spans="2:22" x14ac:dyDescent="0.45">
      <c r="B3" s="3" t="s">
        <v>3</v>
      </c>
    </row>
    <row r="5" spans="2:22" x14ac:dyDescent="0.45">
      <c r="B5" s="4" t="s">
        <v>25</v>
      </c>
      <c r="C5" s="5"/>
      <c r="D5" s="5"/>
      <c r="E5" s="5"/>
      <c r="F5" s="5"/>
      <c r="G5" s="6"/>
      <c r="H5" s="6"/>
      <c r="I5" s="6"/>
      <c r="J5" s="6"/>
      <c r="L5" s="4" t="s">
        <v>125</v>
      </c>
      <c r="M5" s="6"/>
      <c r="N5" s="6"/>
      <c r="O5" s="6"/>
      <c r="P5" s="6"/>
      <c r="R5" s="4" t="s">
        <v>26</v>
      </c>
      <c r="S5" s="5"/>
      <c r="T5" s="5"/>
      <c r="U5" s="5"/>
      <c r="V5" s="5"/>
    </row>
    <row r="6" spans="2:22" x14ac:dyDescent="0.45">
      <c r="B6" s="7" t="s">
        <v>87</v>
      </c>
      <c r="C6" s="8"/>
      <c r="D6" s="8"/>
      <c r="E6" s="8"/>
      <c r="F6" s="9"/>
      <c r="G6" s="9"/>
      <c r="H6" s="9"/>
      <c r="I6" s="9"/>
      <c r="J6" s="9"/>
      <c r="L6" s="10" t="s">
        <v>67</v>
      </c>
      <c r="M6" s="11"/>
      <c r="N6" s="11"/>
      <c r="O6" s="11"/>
      <c r="P6" s="12"/>
      <c r="R6" s="10" t="s">
        <v>67</v>
      </c>
      <c r="S6" s="11"/>
      <c r="T6" s="11"/>
      <c r="U6" s="11"/>
      <c r="V6" s="12"/>
    </row>
    <row r="7" spans="2:22" x14ac:dyDescent="0.45">
      <c r="C7" s="3" t="s">
        <v>19</v>
      </c>
      <c r="G7" s="13">
        <v>0.25</v>
      </c>
      <c r="M7" s="14" t="s">
        <v>91</v>
      </c>
      <c r="N7" s="15"/>
      <c r="P7" s="16">
        <f>+I30</f>
        <v>110</v>
      </c>
      <c r="S7" s="3" t="s">
        <v>13</v>
      </c>
      <c r="V7" s="17">
        <v>50</v>
      </c>
    </row>
    <row r="8" spans="2:22" x14ac:dyDescent="0.45">
      <c r="C8" s="3" t="s">
        <v>70</v>
      </c>
      <c r="G8" s="13">
        <v>7.0000000000000007E-2</v>
      </c>
      <c r="M8" s="14" t="s">
        <v>92</v>
      </c>
      <c r="P8" s="18">
        <f>-SUM(I35:I39)</f>
        <v>-37</v>
      </c>
      <c r="V8" s="19"/>
    </row>
    <row r="9" spans="2:22" x14ac:dyDescent="0.45">
      <c r="C9" s="3" t="s">
        <v>68</v>
      </c>
      <c r="G9" s="13">
        <v>8.5000000000000006E-2</v>
      </c>
      <c r="M9" s="20" t="s">
        <v>62</v>
      </c>
      <c r="N9" s="21"/>
      <c r="O9" s="21"/>
      <c r="P9" s="22">
        <f>SUM(P7:P8)</f>
        <v>73</v>
      </c>
      <c r="S9" s="2" t="s">
        <v>16</v>
      </c>
      <c r="V9" s="19"/>
    </row>
    <row r="10" spans="2:22" x14ac:dyDescent="0.45">
      <c r="C10" s="3" t="s">
        <v>69</v>
      </c>
      <c r="G10" s="13">
        <v>0.105</v>
      </c>
      <c r="S10" s="14" t="s">
        <v>42</v>
      </c>
      <c r="V10" s="23">
        <v>0</v>
      </c>
    </row>
    <row r="11" spans="2:22" x14ac:dyDescent="0.45">
      <c r="C11" s="3" t="s">
        <v>129</v>
      </c>
      <c r="G11" s="13">
        <v>0.04</v>
      </c>
      <c r="M11" s="3" t="s">
        <v>63</v>
      </c>
      <c r="P11" s="24">
        <v>12</v>
      </c>
      <c r="S11" s="14" t="s">
        <v>43</v>
      </c>
      <c r="V11" s="23">
        <v>0</v>
      </c>
    </row>
    <row r="12" spans="2:22" x14ac:dyDescent="0.45">
      <c r="S12" s="20" t="s">
        <v>14</v>
      </c>
      <c r="T12" s="21"/>
      <c r="U12" s="21"/>
      <c r="V12" s="25">
        <f>SUM(V10:V11)</f>
        <v>0</v>
      </c>
    </row>
    <row r="13" spans="2:22" x14ac:dyDescent="0.45">
      <c r="C13" s="3" t="s">
        <v>54</v>
      </c>
      <c r="G13" s="13">
        <v>0.5</v>
      </c>
      <c r="M13" s="3" t="s">
        <v>18</v>
      </c>
      <c r="N13" s="19"/>
      <c r="P13" s="18">
        <f>-V14</f>
        <v>-5</v>
      </c>
      <c r="S13" s="14"/>
    </row>
    <row r="14" spans="2:22" x14ac:dyDescent="0.45">
      <c r="C14" s="3" t="s">
        <v>61</v>
      </c>
      <c r="G14" s="17">
        <v>100</v>
      </c>
      <c r="S14" s="14" t="s">
        <v>44</v>
      </c>
      <c r="V14" s="23">
        <v>5</v>
      </c>
    </row>
    <row r="15" spans="2:22" x14ac:dyDescent="0.45">
      <c r="M15" s="3" t="s">
        <v>11</v>
      </c>
      <c r="N15" s="26"/>
      <c r="P15" s="24">
        <v>-40</v>
      </c>
      <c r="S15" s="27"/>
      <c r="V15" s="28"/>
    </row>
    <row r="16" spans="2:22" x14ac:dyDescent="0.45">
      <c r="B16" s="4" t="s">
        <v>127</v>
      </c>
      <c r="C16" s="5"/>
      <c r="D16" s="5"/>
      <c r="E16" s="5"/>
      <c r="F16" s="5"/>
      <c r="G16" s="6"/>
      <c r="H16" s="6"/>
      <c r="I16" s="6"/>
      <c r="J16" s="6"/>
      <c r="K16" s="29"/>
      <c r="M16" s="26"/>
      <c r="N16" s="26"/>
      <c r="P16" s="26"/>
      <c r="S16" s="2" t="s">
        <v>15</v>
      </c>
      <c r="V16" s="28">
        <f>+V7+V12+V14</f>
        <v>55</v>
      </c>
    </row>
    <row r="17" spans="2:22" x14ac:dyDescent="0.45">
      <c r="B17" s="30"/>
      <c r="C17" s="30"/>
      <c r="D17" s="30"/>
      <c r="E17" s="30"/>
      <c r="F17" s="30"/>
      <c r="G17" s="30"/>
      <c r="H17" s="31" t="s">
        <v>73</v>
      </c>
      <c r="I17" s="31" t="s">
        <v>73</v>
      </c>
      <c r="J17" s="31" t="s">
        <v>76</v>
      </c>
      <c r="K17" s="32"/>
      <c r="M17" s="2" t="s">
        <v>9</v>
      </c>
      <c r="N17" s="33"/>
      <c r="P17" s="34">
        <f>+P9+P13+P11+P15</f>
        <v>40</v>
      </c>
    </row>
    <row r="18" spans="2:22" x14ac:dyDescent="0.45">
      <c r="B18" s="7" t="s">
        <v>27</v>
      </c>
      <c r="C18" s="8"/>
      <c r="D18" s="8"/>
      <c r="E18" s="8"/>
      <c r="F18" s="9" t="s">
        <v>28</v>
      </c>
      <c r="G18" s="9" t="s">
        <v>29</v>
      </c>
      <c r="H18" s="9" t="s">
        <v>74</v>
      </c>
      <c r="I18" s="9" t="s">
        <v>75</v>
      </c>
      <c r="J18" s="9" t="s">
        <v>77</v>
      </c>
      <c r="K18" s="15"/>
      <c r="M18" s="14" t="s">
        <v>90</v>
      </c>
      <c r="P18" s="18">
        <f>-P17*Tax_Rate</f>
        <v>-10</v>
      </c>
      <c r="R18" s="35" t="s">
        <v>124</v>
      </c>
      <c r="S18" s="10"/>
      <c r="T18" s="11"/>
      <c r="U18" s="11"/>
      <c r="V18" s="11"/>
    </row>
    <row r="19" spans="2:22" x14ac:dyDescent="0.45">
      <c r="C19" s="36" t="s">
        <v>2</v>
      </c>
      <c r="D19" s="37"/>
      <c r="E19" s="37"/>
      <c r="F19" s="38">
        <v>100</v>
      </c>
      <c r="G19" s="16">
        <f>+F19+P50</f>
        <v>30</v>
      </c>
      <c r="H19" s="39">
        <v>0</v>
      </c>
      <c r="I19" s="16">
        <f>+H19*F19</f>
        <v>0</v>
      </c>
      <c r="J19" s="39">
        <v>0</v>
      </c>
      <c r="K19" s="19"/>
      <c r="M19" s="20" t="s">
        <v>10</v>
      </c>
      <c r="N19" s="40"/>
      <c r="O19" s="21"/>
      <c r="P19" s="25">
        <f>SUM(P17:P18)</f>
        <v>30</v>
      </c>
    </row>
    <row r="20" spans="2:22" x14ac:dyDescent="0.45">
      <c r="C20" s="3" t="s">
        <v>93</v>
      </c>
      <c r="F20" s="24">
        <v>100</v>
      </c>
      <c r="G20" s="41">
        <f>+F20</f>
        <v>100</v>
      </c>
      <c r="H20" s="39">
        <v>0.03</v>
      </c>
      <c r="I20" s="18">
        <f>+H20*F20</f>
        <v>3</v>
      </c>
      <c r="J20" s="39">
        <v>1</v>
      </c>
      <c r="K20" s="26"/>
      <c r="M20" s="14" t="s">
        <v>104</v>
      </c>
      <c r="P20" s="18">
        <f>-I44</f>
        <v>-5</v>
      </c>
      <c r="S20" s="3" t="s">
        <v>72</v>
      </c>
      <c r="V20" s="42">
        <f>-V12/AVERAGE(F23,G23)</f>
        <v>0</v>
      </c>
    </row>
    <row r="21" spans="2:22" x14ac:dyDescent="0.45">
      <c r="C21" s="3" t="s">
        <v>95</v>
      </c>
      <c r="F21" s="24">
        <v>200</v>
      </c>
      <c r="G21" s="41">
        <f>+F21</f>
        <v>200</v>
      </c>
      <c r="H21" s="39">
        <v>2.5000000000000001E-2</v>
      </c>
      <c r="I21" s="18">
        <f>+H21*F21</f>
        <v>5</v>
      </c>
      <c r="J21" s="39">
        <v>1</v>
      </c>
      <c r="K21" s="26"/>
      <c r="M21" s="20" t="s">
        <v>94</v>
      </c>
      <c r="N21" s="40"/>
      <c r="O21" s="21"/>
      <c r="P21" s="43">
        <f>+P19+P20</f>
        <v>25</v>
      </c>
      <c r="S21" s="3" t="s">
        <v>24</v>
      </c>
      <c r="V21" s="42">
        <f>-V12/V16</f>
        <v>0</v>
      </c>
    </row>
    <row r="22" spans="2:22" x14ac:dyDescent="0.45">
      <c r="H22" s="26"/>
      <c r="I22" s="26"/>
      <c r="J22" s="26"/>
      <c r="K22" s="33"/>
      <c r="S22" s="3" t="s">
        <v>23</v>
      </c>
      <c r="V22" s="42">
        <f>V16/G23</f>
        <v>0.05</v>
      </c>
    </row>
    <row r="23" spans="2:22" x14ac:dyDescent="0.45">
      <c r="B23" s="14"/>
      <c r="C23" s="44" t="s">
        <v>31</v>
      </c>
      <c r="D23" s="45"/>
      <c r="E23" s="45"/>
      <c r="F23" s="46">
        <v>1000</v>
      </c>
      <c r="G23" s="34">
        <f>+F23+G14+V12</f>
        <v>1100</v>
      </c>
      <c r="H23" s="39">
        <v>0.1</v>
      </c>
      <c r="I23" s="18">
        <f>+H23*F23</f>
        <v>100</v>
      </c>
      <c r="J23" s="39">
        <v>0.9</v>
      </c>
      <c r="K23" s="47"/>
      <c r="L23" s="4" t="s">
        <v>126</v>
      </c>
      <c r="M23" s="6"/>
      <c r="N23" s="6"/>
      <c r="O23" s="6"/>
      <c r="P23" s="6"/>
    </row>
    <row r="24" spans="2:22" x14ac:dyDescent="0.45">
      <c r="C24" s="14" t="s">
        <v>5</v>
      </c>
      <c r="D24" s="45"/>
      <c r="E24" s="45"/>
      <c r="F24" s="18">
        <f>-V7</f>
        <v>-50</v>
      </c>
      <c r="G24" s="18">
        <f>-V16</f>
        <v>-55</v>
      </c>
      <c r="H24" s="33"/>
      <c r="I24" s="33"/>
      <c r="J24" s="33"/>
      <c r="K24" s="48"/>
      <c r="L24" s="10" t="s">
        <v>67</v>
      </c>
      <c r="M24" s="11"/>
      <c r="N24" s="11"/>
      <c r="O24" s="11"/>
      <c r="P24" s="12"/>
      <c r="S24" s="3" t="s">
        <v>109</v>
      </c>
      <c r="V24" s="42">
        <f>+P21/AVERAGE(F43,G43)</f>
        <v>0.18867924528301888</v>
      </c>
    </row>
    <row r="25" spans="2:22" x14ac:dyDescent="0.45">
      <c r="C25" s="49" t="s">
        <v>6</v>
      </c>
      <c r="D25" s="50"/>
      <c r="E25" s="50"/>
      <c r="F25" s="25">
        <f>SUM(F23:F24)</f>
        <v>950</v>
      </c>
      <c r="G25" s="25">
        <f>SUM(G23:G24)</f>
        <v>1045</v>
      </c>
      <c r="H25" s="47"/>
      <c r="I25" s="47"/>
      <c r="J25" s="47"/>
      <c r="K25" s="51"/>
      <c r="L25" s="2" t="s">
        <v>88</v>
      </c>
      <c r="S25" s="3" t="s">
        <v>110</v>
      </c>
      <c r="V25" s="42">
        <f>+P21/AVERAGE(F53,G53)</f>
        <v>0.24390243902439024</v>
      </c>
    </row>
    <row r="26" spans="2:22" x14ac:dyDescent="0.45">
      <c r="H26" s="48"/>
      <c r="I26" s="48"/>
      <c r="J26" s="48"/>
      <c r="K26" s="52"/>
      <c r="M26" s="53" t="s">
        <v>94</v>
      </c>
      <c r="N26" s="53"/>
      <c r="O26" s="53"/>
      <c r="P26" s="54">
        <f>+P21</f>
        <v>25</v>
      </c>
      <c r="S26" s="3" t="s">
        <v>111</v>
      </c>
      <c r="V26" s="42">
        <f>+P19/AVERAGE(F30,G30)</f>
        <v>2.0942408376963352E-2</v>
      </c>
    </row>
    <row r="27" spans="2:22" x14ac:dyDescent="0.45">
      <c r="B27" s="14"/>
      <c r="C27" s="55" t="s">
        <v>32</v>
      </c>
      <c r="D27" s="53"/>
      <c r="E27" s="53"/>
      <c r="F27" s="24">
        <v>30</v>
      </c>
      <c r="G27" s="18">
        <f>+F27-P37</f>
        <v>30</v>
      </c>
      <c r="H27" s="39">
        <v>0</v>
      </c>
      <c r="I27" s="18">
        <f t="shared" ref="I27:I28" si="0">+H27*F27</f>
        <v>0</v>
      </c>
      <c r="J27" s="39">
        <v>0</v>
      </c>
      <c r="K27" s="53"/>
      <c r="M27" s="14" t="s">
        <v>18</v>
      </c>
      <c r="N27" s="15"/>
      <c r="O27" s="15"/>
      <c r="P27" s="18">
        <f>-P13</f>
        <v>5</v>
      </c>
      <c r="S27" s="3" t="s">
        <v>112</v>
      </c>
      <c r="V27" s="42">
        <f>+P19/AVERAGE(F66,G66)</f>
        <v>2.1390374331550801E-2</v>
      </c>
    </row>
    <row r="28" spans="2:22" x14ac:dyDescent="0.45">
      <c r="C28" s="3" t="s">
        <v>33</v>
      </c>
      <c r="F28" s="24">
        <v>40</v>
      </c>
      <c r="G28" s="18">
        <f t="shared" ref="G28" si="1">+F28</f>
        <v>40</v>
      </c>
      <c r="H28" s="39">
        <v>0.05</v>
      </c>
      <c r="I28" s="18">
        <f t="shared" si="0"/>
        <v>2</v>
      </c>
      <c r="J28" s="39">
        <v>1</v>
      </c>
      <c r="K28" s="15"/>
      <c r="M28" s="2" t="s">
        <v>89</v>
      </c>
    </row>
    <row r="29" spans="2:22" x14ac:dyDescent="0.45">
      <c r="H29" s="53"/>
      <c r="I29" s="53"/>
      <c r="J29" s="53"/>
      <c r="K29" s="26"/>
      <c r="M29" s="56" t="s">
        <v>71</v>
      </c>
      <c r="N29" s="26"/>
      <c r="O29" s="26"/>
      <c r="P29" s="18">
        <f>-G14</f>
        <v>-100</v>
      </c>
      <c r="S29" s="3" t="s">
        <v>116</v>
      </c>
      <c r="V29" s="42">
        <f>+P9/AVERAGE(F20+F21+F23+F28,G20+G21+G23+G28)</f>
        <v>5.251798561151079E-2</v>
      </c>
    </row>
    <row r="30" spans="2:22" x14ac:dyDescent="0.45">
      <c r="C30" s="2" t="s">
        <v>0</v>
      </c>
      <c r="D30" s="57"/>
      <c r="E30" s="57"/>
      <c r="F30" s="28">
        <f>SUM(F19:F21)+F25+SUM(F27:F28)</f>
        <v>1420</v>
      </c>
      <c r="G30" s="28">
        <f>SUM(G19:G21)+G25+SUM(G27:G28)</f>
        <v>1445</v>
      </c>
      <c r="H30" s="15"/>
      <c r="I30" s="28">
        <f>SUM(I19:I21)+I23+SUM(I27:I28)</f>
        <v>110</v>
      </c>
      <c r="J30" s="15"/>
      <c r="K30" s="26"/>
      <c r="M30" s="56" t="s">
        <v>96</v>
      </c>
      <c r="P30" s="18">
        <f>+F21-G21</f>
        <v>0</v>
      </c>
      <c r="S30" s="3" t="s">
        <v>120</v>
      </c>
      <c r="V30" s="42">
        <f>+P7/AVERAGE(F20+F21+F23+F28,G20+G21+G23+G28)</f>
        <v>7.9136690647482008E-2</v>
      </c>
    </row>
    <row r="31" spans="2:22" x14ac:dyDescent="0.45">
      <c r="B31" s="58"/>
      <c r="C31" s="59"/>
      <c r="D31" s="60"/>
      <c r="E31" s="60"/>
      <c r="F31" s="51"/>
      <c r="G31" s="51"/>
      <c r="H31" s="26"/>
      <c r="I31" s="26"/>
      <c r="J31" s="26"/>
      <c r="K31" s="61"/>
      <c r="M31" s="56" t="s">
        <v>64</v>
      </c>
      <c r="P31" s="18">
        <f>+F28-G28</f>
        <v>0</v>
      </c>
      <c r="S31" s="3" t="s">
        <v>121</v>
      </c>
      <c r="V31" s="42">
        <f>-P8/AVERAGE(F35+F36+F37+F38,G35+G36+G37+G38)</f>
        <v>3.0081300813008131E-2</v>
      </c>
    </row>
    <row r="32" spans="2:22" x14ac:dyDescent="0.45">
      <c r="B32" s="30"/>
      <c r="C32" s="30"/>
      <c r="D32" s="30"/>
      <c r="E32" s="30"/>
      <c r="F32" s="30"/>
      <c r="G32" s="30"/>
      <c r="H32" s="31" t="s">
        <v>73</v>
      </c>
      <c r="I32" s="31" t="s">
        <v>73</v>
      </c>
      <c r="J32" s="30"/>
      <c r="M32" s="56" t="s">
        <v>20</v>
      </c>
      <c r="N32" s="26"/>
      <c r="O32" s="26"/>
      <c r="P32" s="18">
        <f>+G35-F35</f>
        <v>0</v>
      </c>
      <c r="S32" s="3" t="s">
        <v>117</v>
      </c>
      <c r="V32" s="42">
        <f>+V30-V31</f>
        <v>4.9055389834473877E-2</v>
      </c>
    </row>
    <row r="33" spans="2:22" x14ac:dyDescent="0.45">
      <c r="B33" s="62" t="s">
        <v>30</v>
      </c>
      <c r="C33" s="7"/>
      <c r="D33" s="8"/>
      <c r="E33" s="8"/>
      <c r="F33" s="9" t="s">
        <v>28</v>
      </c>
      <c r="G33" s="9" t="s">
        <v>29</v>
      </c>
      <c r="H33" s="9" t="s">
        <v>74</v>
      </c>
      <c r="I33" s="9" t="s">
        <v>86</v>
      </c>
      <c r="J33" s="63"/>
      <c r="K33" s="26"/>
      <c r="L33" s="20" t="s">
        <v>102</v>
      </c>
      <c r="M33" s="21"/>
      <c r="N33" s="21"/>
      <c r="O33" s="21"/>
      <c r="P33" s="22">
        <f>SUM(P26:P32)</f>
        <v>-70</v>
      </c>
    </row>
    <row r="34" spans="2:22" x14ac:dyDescent="0.45">
      <c r="C34" s="2" t="s">
        <v>7</v>
      </c>
      <c r="D34" s="53"/>
      <c r="E34" s="53"/>
      <c r="F34" s="53"/>
      <c r="G34" s="53"/>
      <c r="H34" s="61"/>
      <c r="I34" s="61"/>
      <c r="J34" s="61"/>
      <c r="K34" s="33"/>
      <c r="S34" s="3" t="s">
        <v>122</v>
      </c>
      <c r="V34" s="42">
        <f>+P9/(P9+P11)</f>
        <v>0.85882352941176465</v>
      </c>
    </row>
    <row r="35" spans="2:22" x14ac:dyDescent="0.45">
      <c r="C35" s="14" t="s">
        <v>8</v>
      </c>
      <c r="D35" s="53"/>
      <c r="E35" s="53"/>
      <c r="F35" s="38">
        <v>1000</v>
      </c>
      <c r="G35" s="16">
        <f>+F35</f>
        <v>1000</v>
      </c>
      <c r="H35" s="39">
        <v>2.5000000000000001E-2</v>
      </c>
      <c r="I35" s="16">
        <f t="shared" ref="I35:I39" si="2">+H35*F35</f>
        <v>25</v>
      </c>
      <c r="L35" s="2" t="s">
        <v>99</v>
      </c>
      <c r="M35" s="2"/>
      <c r="S35" s="3" t="s">
        <v>118</v>
      </c>
      <c r="V35" s="42">
        <f>-P15/(P9+P11)</f>
        <v>0.47058823529411764</v>
      </c>
    </row>
    <row r="36" spans="2:22" x14ac:dyDescent="0.45">
      <c r="C36" s="14" t="s">
        <v>34</v>
      </c>
      <c r="D36" s="53"/>
      <c r="E36" s="53"/>
      <c r="F36" s="24">
        <v>100</v>
      </c>
      <c r="G36" s="18">
        <f t="shared" ref="G36:G39" si="3">+F36</f>
        <v>100</v>
      </c>
      <c r="H36" s="39">
        <v>0.04</v>
      </c>
      <c r="I36" s="18">
        <f t="shared" si="2"/>
        <v>4</v>
      </c>
      <c r="J36" s="26"/>
      <c r="K36" s="61"/>
      <c r="M36" s="64" t="s">
        <v>101</v>
      </c>
      <c r="P36" s="18">
        <f>+F20-G20</f>
        <v>0</v>
      </c>
      <c r="S36" s="3" t="s">
        <v>119</v>
      </c>
      <c r="V36" s="42">
        <f>-P47/P21</f>
        <v>0</v>
      </c>
    </row>
    <row r="37" spans="2:22" x14ac:dyDescent="0.45">
      <c r="C37" s="14" t="s">
        <v>35</v>
      </c>
      <c r="F37" s="24">
        <v>50</v>
      </c>
      <c r="G37" s="18">
        <f t="shared" si="3"/>
        <v>50</v>
      </c>
      <c r="H37" s="39">
        <v>0.08</v>
      </c>
      <c r="I37" s="18">
        <f t="shared" si="2"/>
        <v>4</v>
      </c>
      <c r="J37" s="33"/>
      <c r="M37" s="64" t="s">
        <v>100</v>
      </c>
      <c r="P37" s="23">
        <v>0</v>
      </c>
    </row>
    <row r="38" spans="2:22" x14ac:dyDescent="0.45">
      <c r="C38" s="14" t="s">
        <v>37</v>
      </c>
      <c r="F38" s="24">
        <v>80</v>
      </c>
      <c r="G38" s="18">
        <f t="shared" si="3"/>
        <v>80</v>
      </c>
      <c r="H38" s="39">
        <v>0.05</v>
      </c>
      <c r="I38" s="18">
        <f t="shared" si="2"/>
        <v>4</v>
      </c>
      <c r="L38" s="20" t="s">
        <v>105</v>
      </c>
      <c r="M38" s="21"/>
      <c r="N38" s="21"/>
      <c r="O38" s="21"/>
      <c r="P38" s="25">
        <f>SUM(P36:P37)</f>
        <v>0</v>
      </c>
    </row>
    <row r="39" spans="2:22" x14ac:dyDescent="0.45">
      <c r="C39" s="14" t="s">
        <v>36</v>
      </c>
      <c r="F39" s="24">
        <v>20</v>
      </c>
      <c r="G39" s="18">
        <f t="shared" si="3"/>
        <v>20</v>
      </c>
      <c r="H39" s="39">
        <v>0</v>
      </c>
      <c r="I39" s="18">
        <f t="shared" si="2"/>
        <v>0</v>
      </c>
      <c r="J39" s="61"/>
    </row>
    <row r="40" spans="2:22" x14ac:dyDescent="0.45">
      <c r="C40" s="20" t="s">
        <v>1</v>
      </c>
      <c r="D40" s="21"/>
      <c r="E40" s="21"/>
      <c r="F40" s="25">
        <f>SUM(F35:F39)</f>
        <v>1250</v>
      </c>
      <c r="G40" s="25">
        <f>SUM(G35:G39)</f>
        <v>1250</v>
      </c>
      <c r="L40" s="2" t="s">
        <v>106</v>
      </c>
    </row>
    <row r="41" spans="2:22" x14ac:dyDescent="0.45">
      <c r="M41" s="64" t="s">
        <v>97</v>
      </c>
      <c r="N41" s="61"/>
      <c r="O41" s="61"/>
      <c r="P41" s="18">
        <f>+G36-F36</f>
        <v>0</v>
      </c>
    </row>
    <row r="42" spans="2:22" x14ac:dyDescent="0.45">
      <c r="C42" s="2" t="s">
        <v>38</v>
      </c>
      <c r="M42" s="64" t="s">
        <v>65</v>
      </c>
      <c r="P42" s="18">
        <f>+G37-F37</f>
        <v>0</v>
      </c>
    </row>
    <row r="43" spans="2:22" x14ac:dyDescent="0.45">
      <c r="C43" s="14" t="s">
        <v>17</v>
      </c>
      <c r="F43" s="18">
        <f>+F30-F40-F44</f>
        <v>120</v>
      </c>
      <c r="G43" s="18">
        <f>+F43+P26+P46+P47</f>
        <v>145</v>
      </c>
      <c r="H43" s="39"/>
      <c r="M43" s="64" t="s">
        <v>98</v>
      </c>
      <c r="P43" s="18">
        <f>+G38-F38</f>
        <v>0</v>
      </c>
    </row>
    <row r="44" spans="2:22" x14ac:dyDescent="0.45">
      <c r="C44" s="14" t="s">
        <v>4</v>
      </c>
      <c r="F44" s="24">
        <v>50</v>
      </c>
      <c r="G44" s="18">
        <f>+F44+P45</f>
        <v>50</v>
      </c>
      <c r="H44" s="39">
        <v>0.1</v>
      </c>
      <c r="I44" s="41">
        <f t="shared" ref="I44" si="4">+H44*F44</f>
        <v>5</v>
      </c>
      <c r="M44" s="64" t="s">
        <v>66</v>
      </c>
      <c r="P44" s="18">
        <f>+G39-F39</f>
        <v>0</v>
      </c>
    </row>
    <row r="45" spans="2:22" x14ac:dyDescent="0.45">
      <c r="C45" s="20" t="s">
        <v>39</v>
      </c>
      <c r="D45" s="21"/>
      <c r="E45" s="21"/>
      <c r="F45" s="22">
        <f>SUM(F43:F44)</f>
        <v>170</v>
      </c>
      <c r="G45" s="22">
        <f>SUM(G43:G44)</f>
        <v>195</v>
      </c>
      <c r="M45" s="64" t="s">
        <v>21</v>
      </c>
      <c r="N45" s="26"/>
      <c r="O45" s="26"/>
      <c r="P45" s="23">
        <v>0</v>
      </c>
    </row>
    <row r="46" spans="2:22" x14ac:dyDescent="0.45">
      <c r="M46" s="64" t="s">
        <v>12</v>
      </c>
      <c r="N46" s="33"/>
      <c r="O46" s="33"/>
      <c r="P46" s="23">
        <v>0</v>
      </c>
    </row>
    <row r="47" spans="2:22" x14ac:dyDescent="0.45">
      <c r="C47" s="2" t="s">
        <v>40</v>
      </c>
      <c r="F47" s="54">
        <f>+F40+F45</f>
        <v>1420</v>
      </c>
      <c r="G47" s="54">
        <f>+G40+G45</f>
        <v>1445</v>
      </c>
      <c r="I47" s="54">
        <f>+SUM(I35:I39)+I44</f>
        <v>42</v>
      </c>
      <c r="L47" s="65"/>
      <c r="M47" s="65" t="s">
        <v>108</v>
      </c>
      <c r="N47" s="65"/>
      <c r="O47" s="65"/>
      <c r="P47" s="23">
        <v>0</v>
      </c>
    </row>
    <row r="48" spans="2:22" x14ac:dyDescent="0.45">
      <c r="L48" s="2" t="s">
        <v>107</v>
      </c>
      <c r="P48" s="66">
        <f>SUM(P41:P47)</f>
        <v>0</v>
      </c>
    </row>
    <row r="49" spans="2:18" x14ac:dyDescent="0.45">
      <c r="C49" s="2" t="s">
        <v>60</v>
      </c>
      <c r="F49" s="67">
        <f>+F30-F47</f>
        <v>0</v>
      </c>
      <c r="G49" s="67">
        <f>+G30-G47</f>
        <v>0</v>
      </c>
      <c r="Q49" s="68"/>
      <c r="R49" s="68"/>
    </row>
    <row r="50" spans="2:18" x14ac:dyDescent="0.45">
      <c r="L50" s="2" t="s">
        <v>22</v>
      </c>
      <c r="P50" s="28">
        <f>+P33+P38+P48</f>
        <v>-70</v>
      </c>
      <c r="Q50" s="69"/>
      <c r="R50" s="69"/>
    </row>
    <row r="51" spans="2:18" x14ac:dyDescent="0.45">
      <c r="B51" s="35" t="s">
        <v>47</v>
      </c>
      <c r="C51" s="10"/>
      <c r="D51" s="11"/>
      <c r="E51" s="11"/>
      <c r="F51" s="11"/>
      <c r="G51" s="70"/>
      <c r="Q51" s="69"/>
      <c r="R51" s="69"/>
    </row>
    <row r="52" spans="2:18" x14ac:dyDescent="0.45">
      <c r="L52" s="4" t="s">
        <v>78</v>
      </c>
      <c r="M52" s="6"/>
      <c r="N52" s="6"/>
      <c r="O52" s="6"/>
      <c r="P52" s="6"/>
      <c r="Q52" s="38"/>
      <c r="R52" s="39"/>
    </row>
    <row r="53" spans="2:18" x14ac:dyDescent="0.45">
      <c r="C53" s="2" t="s">
        <v>41</v>
      </c>
      <c r="F53" s="54">
        <f>+F43-F27</f>
        <v>90</v>
      </c>
      <c r="G53" s="54">
        <f>+G43-G27</f>
        <v>115</v>
      </c>
      <c r="L53" s="30"/>
      <c r="M53" s="30"/>
      <c r="N53" s="30"/>
      <c r="O53" s="71"/>
      <c r="P53" s="72" t="s">
        <v>79</v>
      </c>
      <c r="Q53" s="24"/>
      <c r="R53" s="39"/>
    </row>
    <row r="54" spans="2:18" x14ac:dyDescent="0.45">
      <c r="C54" s="14" t="s">
        <v>45</v>
      </c>
      <c r="F54" s="41">
        <f>+F44</f>
        <v>50</v>
      </c>
      <c r="G54" s="41">
        <f>+G44</f>
        <v>50</v>
      </c>
      <c r="L54" s="73"/>
      <c r="M54" s="73"/>
      <c r="N54" s="73"/>
      <c r="O54" s="74" t="s">
        <v>80</v>
      </c>
      <c r="P54" s="74" t="s">
        <v>81</v>
      </c>
      <c r="Q54" s="24"/>
      <c r="R54" s="39"/>
    </row>
    <row r="55" spans="2:18" x14ac:dyDescent="0.45">
      <c r="C55" s="20" t="s">
        <v>46</v>
      </c>
      <c r="D55" s="21"/>
      <c r="E55" s="21"/>
      <c r="F55" s="22">
        <f>SUM(F53:F54)</f>
        <v>140</v>
      </c>
      <c r="G55" s="22">
        <f>SUM(G53:G54)</f>
        <v>165</v>
      </c>
      <c r="M55" s="14" t="s">
        <v>83</v>
      </c>
      <c r="O55" s="38">
        <v>50</v>
      </c>
      <c r="P55" s="39">
        <v>0</v>
      </c>
      <c r="Q55" s="24"/>
      <c r="R55" s="39"/>
    </row>
    <row r="56" spans="2:18" x14ac:dyDescent="0.45">
      <c r="M56" s="14" t="s">
        <v>84</v>
      </c>
      <c r="O56" s="24">
        <v>50</v>
      </c>
      <c r="P56" s="39">
        <v>0.2</v>
      </c>
      <c r="Q56" s="75"/>
      <c r="R56" s="76"/>
    </row>
    <row r="57" spans="2:18" x14ac:dyDescent="0.45">
      <c r="C57" s="44" t="s">
        <v>48</v>
      </c>
      <c r="M57" s="14" t="s">
        <v>85</v>
      </c>
      <c r="O57" s="24">
        <v>50</v>
      </c>
      <c r="P57" s="39">
        <v>0.5</v>
      </c>
    </row>
    <row r="58" spans="2:18" x14ac:dyDescent="0.45">
      <c r="C58" s="14" t="s">
        <v>49</v>
      </c>
      <c r="F58" s="41">
        <f>+F39</f>
        <v>20</v>
      </c>
      <c r="G58" s="41">
        <f>+G39</f>
        <v>20</v>
      </c>
      <c r="M58" s="77" t="s">
        <v>128</v>
      </c>
      <c r="N58" s="65"/>
      <c r="O58" s="78">
        <v>50</v>
      </c>
      <c r="P58" s="79">
        <v>1</v>
      </c>
    </row>
    <row r="59" spans="2:18" x14ac:dyDescent="0.45">
      <c r="C59" s="14" t="s">
        <v>50</v>
      </c>
      <c r="F59" s="41">
        <f>+F37</f>
        <v>50</v>
      </c>
      <c r="G59" s="41">
        <f>+G37</f>
        <v>50</v>
      </c>
      <c r="M59" s="44" t="s">
        <v>82</v>
      </c>
      <c r="O59" s="28">
        <f>SUM(O55:O58)</f>
        <v>200</v>
      </c>
    </row>
    <row r="60" spans="2:18" x14ac:dyDescent="0.45">
      <c r="C60" s="14" t="s">
        <v>53</v>
      </c>
      <c r="F60" s="41">
        <f>-F24*Qualifying_ALL</f>
        <v>25</v>
      </c>
      <c r="G60" s="41">
        <f>-G24*Qualifying_ALL</f>
        <v>27.5</v>
      </c>
    </row>
    <row r="61" spans="2:18" x14ac:dyDescent="0.45">
      <c r="C61" s="20" t="s">
        <v>51</v>
      </c>
      <c r="D61" s="21"/>
      <c r="E61" s="21"/>
      <c r="F61" s="22">
        <f>SUM(F58:F60)</f>
        <v>95</v>
      </c>
      <c r="G61" s="22">
        <f>SUM(G58:G60)</f>
        <v>97.5</v>
      </c>
    </row>
    <row r="63" spans="2:18" x14ac:dyDescent="0.45">
      <c r="C63" s="2" t="s">
        <v>52</v>
      </c>
      <c r="F63" s="54">
        <f>+F55+F61</f>
        <v>235</v>
      </c>
      <c r="G63" s="54">
        <f>+G55+G61</f>
        <v>262.5</v>
      </c>
    </row>
    <row r="65" spans="3:13" x14ac:dyDescent="0.45">
      <c r="C65" s="3" t="s">
        <v>58</v>
      </c>
      <c r="F65" s="41">
        <f>SUMPRODUCT(F19:F21,$J19:$J21)+F23*$J23+SUMPRODUCT(F27:F28,$J27:$J28)+SUMPRODUCT($O55:$O58,$P55:$P58)</f>
        <v>1325</v>
      </c>
      <c r="G65" s="41">
        <f>SUMPRODUCT(G19:G21,$J19:$J21)+G23*$J23+SUMPRODUCT(G27:G28,$J27:$J28)+SUMPRODUCT($O55:$O58,$P55:$P58)</f>
        <v>1415</v>
      </c>
      <c r="M65" s="80"/>
    </row>
    <row r="66" spans="3:13" x14ac:dyDescent="0.45">
      <c r="C66" s="3" t="s">
        <v>59</v>
      </c>
      <c r="F66" s="41">
        <f>+F30-F27</f>
        <v>1390</v>
      </c>
      <c r="G66" s="41">
        <f>+G30-G27</f>
        <v>1415</v>
      </c>
      <c r="M66" s="80"/>
    </row>
    <row r="67" spans="3:13" x14ac:dyDescent="0.45">
      <c r="M67" s="80"/>
    </row>
    <row r="68" spans="3:13" x14ac:dyDescent="0.45">
      <c r="C68" s="3" t="s">
        <v>103</v>
      </c>
      <c r="F68" s="80">
        <f>+F53/F66</f>
        <v>6.4748201438848921E-2</v>
      </c>
      <c r="G68" s="80">
        <f t="shared" ref="G68" si="5">+G53/G66</f>
        <v>8.1272084805653705E-2</v>
      </c>
      <c r="M68" s="80"/>
    </row>
    <row r="69" spans="3:13" x14ac:dyDescent="0.45">
      <c r="C69" s="3" t="s">
        <v>55</v>
      </c>
      <c r="F69" s="80">
        <f>+F53/F65</f>
        <v>6.7924528301886791E-2</v>
      </c>
      <c r="G69" s="80">
        <f>+G53/G65</f>
        <v>8.1272084805653705E-2</v>
      </c>
      <c r="M69" s="80"/>
    </row>
    <row r="70" spans="3:13" x14ac:dyDescent="0.45">
      <c r="C70" s="3" t="s">
        <v>56</v>
      </c>
      <c r="F70" s="80">
        <f>+F55/F65</f>
        <v>0.10566037735849057</v>
      </c>
      <c r="G70" s="80">
        <f>+G55/G65</f>
        <v>0.1166077738515901</v>
      </c>
    </row>
    <row r="71" spans="3:13" x14ac:dyDescent="0.45">
      <c r="C71" s="3" t="s">
        <v>57</v>
      </c>
      <c r="F71" s="80">
        <f>+F63/F65</f>
        <v>0.17735849056603772</v>
      </c>
      <c r="G71" s="80">
        <f>+G63/G65</f>
        <v>0.18551236749116609</v>
      </c>
    </row>
    <row r="72" spans="3:13" x14ac:dyDescent="0.45">
      <c r="C72" s="3" t="s">
        <v>130</v>
      </c>
      <c r="F72" s="80">
        <f>+F55/F66</f>
        <v>0.10071942446043165</v>
      </c>
      <c r="G72" s="80">
        <f>+G55/G66</f>
        <v>0.1166077738515901</v>
      </c>
    </row>
    <row r="74" spans="3:13" x14ac:dyDescent="0.45">
      <c r="C74" s="3" t="s">
        <v>113</v>
      </c>
      <c r="F74" s="80">
        <f>+F25/F30</f>
        <v>0.66901408450704225</v>
      </c>
      <c r="G74" s="80">
        <f>+G25/G30</f>
        <v>0.72318339100346019</v>
      </c>
    </row>
    <row r="75" spans="3:13" x14ac:dyDescent="0.45">
      <c r="C75" s="3" t="s">
        <v>114</v>
      </c>
      <c r="F75" s="80">
        <f>+F35/F47</f>
        <v>0.70422535211267601</v>
      </c>
      <c r="G75" s="80">
        <f>+G35/G47</f>
        <v>0.69204152249134943</v>
      </c>
    </row>
    <row r="76" spans="3:13" x14ac:dyDescent="0.45">
      <c r="C76" s="3" t="s">
        <v>115</v>
      </c>
      <c r="F76" s="80">
        <f>+F25/F35</f>
        <v>0.95</v>
      </c>
      <c r="G76" s="80">
        <f>+G25/G35</f>
        <v>1.0449999999999999</v>
      </c>
    </row>
  </sheetData>
  <pageMargins left="0.7" right="0.7" top="0.75" bottom="0.75" header="0.3" footer="0.3"/>
  <pageSetup scale="64" orientation="landscape" r:id="rId1"/>
  <rowBreaks count="1" manualBreakCount="1">
    <brk id="50" max="22" man="1"/>
  </rowBreaks>
  <colBreaks count="1" manualBreakCount="1">
    <brk id="11" max="76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BD41-15C1-4C00-BEE0-4BA79535BB0A}">
  <sheetPr>
    <pageSetUpPr autoPageBreaks="0"/>
  </sheetPr>
  <dimension ref="B2:M70"/>
  <sheetViews>
    <sheetView showGridLines="0" zoomScaleNormal="100" workbookViewId="0">
      <selection activeCell="B2" sqref="B2"/>
    </sheetView>
  </sheetViews>
  <sheetFormatPr defaultRowHeight="15.9" x14ac:dyDescent="0.45"/>
  <cols>
    <col min="1" max="2" width="2.69140625" style="3" customWidth="1"/>
    <col min="3" max="8" width="11.07421875" style="3" customWidth="1"/>
    <col min="9" max="9" width="2.69140625" style="3" customWidth="1"/>
    <col min="10" max="16384" width="9.23046875" style="3"/>
  </cols>
  <sheetData>
    <row r="2" spans="2:9" ht="18.45" x14ac:dyDescent="0.5">
      <c r="B2" s="1" t="s">
        <v>131</v>
      </c>
    </row>
    <row r="3" spans="2:9" x14ac:dyDescent="0.45">
      <c r="B3" s="3" t="s">
        <v>3</v>
      </c>
    </row>
    <row r="5" spans="2:9" x14ac:dyDescent="0.45">
      <c r="B5" s="4" t="s">
        <v>25</v>
      </c>
      <c r="C5" s="5"/>
      <c r="D5" s="5"/>
      <c r="E5" s="5"/>
      <c r="F5" s="5"/>
      <c r="G5" s="5"/>
      <c r="H5" s="6"/>
    </row>
    <row r="6" spans="2:9" x14ac:dyDescent="0.45">
      <c r="B6" s="7" t="s">
        <v>150</v>
      </c>
      <c r="C6" s="8"/>
      <c r="D6" s="8"/>
      <c r="E6" s="8"/>
      <c r="F6" s="9"/>
      <c r="G6" s="9"/>
      <c r="H6" s="9"/>
    </row>
    <row r="7" spans="2:9" x14ac:dyDescent="0.45">
      <c r="C7" s="3" t="s">
        <v>70</v>
      </c>
      <c r="H7" s="13">
        <v>7.0000000000000007E-2</v>
      </c>
    </row>
    <row r="8" spans="2:9" x14ac:dyDescent="0.45">
      <c r="C8" s="3" t="s">
        <v>68</v>
      </c>
      <c r="H8" s="13">
        <v>8.5000000000000006E-2</v>
      </c>
    </row>
    <row r="9" spans="2:9" x14ac:dyDescent="0.45">
      <c r="C9" s="3" t="s">
        <v>69</v>
      </c>
      <c r="H9" s="13">
        <v>0.105</v>
      </c>
    </row>
    <row r="10" spans="2:9" x14ac:dyDescent="0.45">
      <c r="C10" s="3" t="s">
        <v>129</v>
      </c>
      <c r="H10" s="13">
        <v>0.04</v>
      </c>
    </row>
    <row r="12" spans="2:9" x14ac:dyDescent="0.45">
      <c r="B12" s="4" t="s">
        <v>127</v>
      </c>
      <c r="C12" s="5"/>
      <c r="D12" s="5"/>
      <c r="E12" s="5"/>
      <c r="F12" s="5"/>
      <c r="G12" s="5"/>
      <c r="H12" s="6"/>
    </row>
    <row r="13" spans="2:9" x14ac:dyDescent="0.45">
      <c r="B13" s="30"/>
      <c r="C13" s="30"/>
      <c r="D13" s="30"/>
      <c r="E13" s="30"/>
      <c r="F13" s="30"/>
      <c r="G13" s="30"/>
      <c r="H13" s="31"/>
    </row>
    <row r="14" spans="2:9" x14ac:dyDescent="0.45">
      <c r="B14" s="7" t="s">
        <v>27</v>
      </c>
      <c r="C14" s="8"/>
      <c r="D14" s="8"/>
      <c r="E14" s="8"/>
      <c r="F14" s="9" t="s">
        <v>133</v>
      </c>
      <c r="G14" s="9" t="s">
        <v>134</v>
      </c>
      <c r="H14" s="9"/>
    </row>
    <row r="15" spans="2:9" x14ac:dyDescent="0.45">
      <c r="C15" s="36" t="s">
        <v>2</v>
      </c>
      <c r="D15" s="37"/>
      <c r="E15" s="37"/>
      <c r="F15" s="38">
        <v>14.586</v>
      </c>
      <c r="G15" s="38">
        <v>13.803000000000001</v>
      </c>
      <c r="H15" s="39"/>
    </row>
    <row r="16" spans="2:9" x14ac:dyDescent="0.45">
      <c r="C16" s="3" t="s">
        <v>93</v>
      </c>
      <c r="F16" s="24">
        <v>27.221</v>
      </c>
      <c r="G16" s="24">
        <v>26.068999999999999</v>
      </c>
      <c r="H16" s="39"/>
      <c r="I16" s="3" t="s">
        <v>137</v>
      </c>
    </row>
    <row r="17" spans="2:13" x14ac:dyDescent="0.45">
      <c r="C17" s="3" t="s">
        <v>132</v>
      </c>
      <c r="F17" s="24">
        <v>98.194999999999993</v>
      </c>
      <c r="G17" s="24">
        <v>91.320999999999998</v>
      </c>
      <c r="H17" s="39"/>
      <c r="I17" s="3" t="s">
        <v>138</v>
      </c>
    </row>
    <row r="18" spans="2:13" x14ac:dyDescent="0.45">
      <c r="C18" s="3" t="s">
        <v>95</v>
      </c>
      <c r="F18" s="24">
        <v>2.5430000000000001</v>
      </c>
      <c r="G18" s="24">
        <v>2.6640000000000001</v>
      </c>
      <c r="H18" s="39"/>
    </row>
    <row r="19" spans="2:13" x14ac:dyDescent="0.45">
      <c r="G19" s="75"/>
      <c r="H19" s="26"/>
      <c r="J19" s="2" t="s">
        <v>144</v>
      </c>
      <c r="L19" s="24">
        <v>0.96799999999998931</v>
      </c>
      <c r="M19" s="24">
        <v>15.152000000000001</v>
      </c>
    </row>
    <row r="20" spans="2:13" x14ac:dyDescent="0.45">
      <c r="B20" s="14"/>
      <c r="C20" s="44" t="s">
        <v>31</v>
      </c>
      <c r="D20" s="45"/>
      <c r="E20" s="45"/>
      <c r="F20" s="46">
        <v>66.275999999999996</v>
      </c>
      <c r="G20" s="46">
        <v>74.25</v>
      </c>
      <c r="H20" s="39"/>
    </row>
    <row r="21" spans="2:13" x14ac:dyDescent="0.45">
      <c r="C21" s="14" t="s">
        <v>5</v>
      </c>
      <c r="D21" s="45"/>
      <c r="E21" s="45"/>
      <c r="F21" s="24">
        <v>-0.42199999999999999</v>
      </c>
      <c r="G21" s="24">
        <v>-0.63600000000000001</v>
      </c>
      <c r="H21" s="33"/>
      <c r="J21" s="2" t="s">
        <v>149</v>
      </c>
    </row>
    <row r="22" spans="2:13" x14ac:dyDescent="0.45">
      <c r="C22" s="49" t="s">
        <v>6</v>
      </c>
      <c r="D22" s="50"/>
      <c r="E22" s="50"/>
      <c r="F22" s="25">
        <f>SUM(F20:F21)</f>
        <v>65.853999999999999</v>
      </c>
      <c r="G22" s="25">
        <f t="shared" ref="G22" si="0">SUM(G20:G21)</f>
        <v>73.614000000000004</v>
      </c>
      <c r="H22" s="47"/>
    </row>
    <row r="23" spans="2:13" x14ac:dyDescent="0.45">
      <c r="H23" s="48"/>
      <c r="L23" s="83" t="s">
        <v>145</v>
      </c>
    </row>
    <row r="24" spans="2:13" x14ac:dyDescent="0.45">
      <c r="B24" s="14"/>
      <c r="C24" s="55" t="s">
        <v>32</v>
      </c>
      <c r="D24" s="53"/>
      <c r="E24" s="53"/>
      <c r="F24" s="24">
        <v>0.53500000000000003</v>
      </c>
      <c r="G24" s="24">
        <v>0.51100000000000001</v>
      </c>
      <c r="H24" s="39"/>
    </row>
    <row r="25" spans="2:13" x14ac:dyDescent="0.45">
      <c r="C25" s="3" t="s">
        <v>33</v>
      </c>
      <c r="F25" s="24">
        <v>2.3740000000000001</v>
      </c>
      <c r="G25" s="24">
        <v>3.8109999999999999</v>
      </c>
      <c r="H25" s="39"/>
      <c r="L25" s="18">
        <f>PRICE("3/10/2023","3/10/2031",1.5%,4%,100,2)</f>
        <v>83.027863357139651</v>
      </c>
      <c r="M25" s="83" t="s">
        <v>146</v>
      </c>
    </row>
    <row r="26" spans="2:13" x14ac:dyDescent="0.45">
      <c r="H26" s="53"/>
      <c r="M26" s="3" t="s">
        <v>147</v>
      </c>
    </row>
    <row r="27" spans="2:13" x14ac:dyDescent="0.45">
      <c r="C27" s="2" t="s">
        <v>0</v>
      </c>
      <c r="D27" s="57"/>
      <c r="E27" s="57"/>
      <c r="F27" s="28">
        <f>SUM(F15:F18)+F22+SUM(F24:F25)</f>
        <v>211.30799999999999</v>
      </c>
      <c r="G27" s="28">
        <f t="shared" ref="G27" si="1">SUM(G15:G18)+G22+SUM(G24:G25)</f>
        <v>211.79299999999998</v>
      </c>
      <c r="H27" s="15"/>
      <c r="M27" s="3" t="s">
        <v>148</v>
      </c>
    </row>
    <row r="28" spans="2:13" x14ac:dyDescent="0.45">
      <c r="B28" s="58"/>
      <c r="C28" s="59"/>
      <c r="D28" s="60"/>
      <c r="E28" s="60"/>
      <c r="F28" s="51"/>
      <c r="H28" s="26"/>
    </row>
    <row r="29" spans="2:13" x14ac:dyDescent="0.45">
      <c r="B29" s="30"/>
      <c r="C29" s="30"/>
      <c r="D29" s="30"/>
      <c r="E29" s="30"/>
      <c r="F29" s="30"/>
      <c r="G29" s="30"/>
      <c r="H29" s="30"/>
      <c r="J29" s="2" t="s">
        <v>160</v>
      </c>
    </row>
    <row r="30" spans="2:13" x14ac:dyDescent="0.45">
      <c r="B30" s="62" t="s">
        <v>30</v>
      </c>
      <c r="C30" s="7"/>
      <c r="D30" s="8"/>
      <c r="E30" s="8"/>
      <c r="F30" s="9" t="str">
        <f>$F$14</f>
        <v>FY 21</v>
      </c>
      <c r="G30" s="9" t="str">
        <f>$G$14</f>
        <v>FY 22</v>
      </c>
      <c r="H30" s="63"/>
      <c r="J30" s="2" t="s">
        <v>161</v>
      </c>
    </row>
    <row r="31" spans="2:13" x14ac:dyDescent="0.45">
      <c r="C31" s="2" t="s">
        <v>7</v>
      </c>
      <c r="D31" s="53"/>
      <c r="E31" s="53"/>
      <c r="F31" s="53"/>
      <c r="H31" s="61"/>
    </row>
    <row r="32" spans="2:13" x14ac:dyDescent="0.45">
      <c r="C32" s="14" t="s">
        <v>8</v>
      </c>
      <c r="D32" s="53"/>
      <c r="E32" s="53"/>
      <c r="F32" s="38">
        <v>189.203</v>
      </c>
      <c r="G32" s="38">
        <v>173.10900000000001</v>
      </c>
      <c r="L32" s="83" t="s">
        <v>162</v>
      </c>
    </row>
    <row r="33" spans="2:13" x14ac:dyDescent="0.45">
      <c r="C33" s="14" t="s">
        <v>34</v>
      </c>
      <c r="D33" s="53"/>
      <c r="E33" s="53"/>
      <c r="F33" s="24">
        <v>2.641</v>
      </c>
      <c r="G33" s="24">
        <v>18.934999999999999</v>
      </c>
      <c r="H33" s="26"/>
    </row>
    <row r="34" spans="2:13" x14ac:dyDescent="0.45">
      <c r="C34" s="14" t="s">
        <v>135</v>
      </c>
      <c r="F34" s="24">
        <v>2.855</v>
      </c>
      <c r="G34" s="24">
        <v>3.4540000000000002</v>
      </c>
      <c r="H34" s="33"/>
      <c r="L34" s="18">
        <f>PRICE("3/10/2023","3/10/2025",1.5%,4%,100,2)</f>
        <v>95.240339126657133</v>
      </c>
      <c r="M34" s="83" t="s">
        <v>163</v>
      </c>
    </row>
    <row r="35" spans="2:13" x14ac:dyDescent="0.45">
      <c r="C35" s="20" t="s">
        <v>1</v>
      </c>
      <c r="D35" s="21"/>
      <c r="E35" s="21"/>
      <c r="F35" s="25">
        <f>SUM(F32:F34)</f>
        <v>194.69899999999998</v>
      </c>
      <c r="G35" s="25">
        <f t="shared" ref="G35" si="2">SUM(G32:G34)</f>
        <v>195.49800000000002</v>
      </c>
      <c r="M35" s="3" t="s">
        <v>164</v>
      </c>
    </row>
    <row r="36" spans="2:13" x14ac:dyDescent="0.45">
      <c r="M36" s="3" t="s">
        <v>165</v>
      </c>
    </row>
    <row r="37" spans="2:13" x14ac:dyDescent="0.45">
      <c r="C37" s="2" t="s">
        <v>38</v>
      </c>
    </row>
    <row r="38" spans="2:13" x14ac:dyDescent="0.45">
      <c r="C38" s="14" t="s">
        <v>17</v>
      </c>
      <c r="F38" s="18">
        <f>F27-F35-F39-F40</f>
        <v>12.590000000000009</v>
      </c>
      <c r="G38" s="18">
        <f t="shared" ref="G38" si="3">G27-G35-G39-G40</f>
        <v>12.357999999999958</v>
      </c>
    </row>
    <row r="39" spans="2:13" x14ac:dyDescent="0.45">
      <c r="C39" s="14" t="s">
        <v>4</v>
      </c>
      <c r="F39" s="24">
        <v>3.6459999999999999</v>
      </c>
      <c r="G39" s="24">
        <v>3.6459999999999999</v>
      </c>
    </row>
    <row r="40" spans="2:13" x14ac:dyDescent="0.45">
      <c r="C40" s="14" t="s">
        <v>136</v>
      </c>
      <c r="F40" s="24">
        <v>0.373</v>
      </c>
      <c r="G40" s="24">
        <v>0.29099999999999998</v>
      </c>
    </row>
    <row r="41" spans="2:13" x14ac:dyDescent="0.45">
      <c r="C41" s="20" t="s">
        <v>39</v>
      </c>
      <c r="D41" s="21"/>
      <c r="E41" s="21"/>
      <c r="F41" s="22">
        <f>SUM(F38:F40)</f>
        <v>16.609000000000009</v>
      </c>
      <c r="G41" s="22">
        <f t="shared" ref="G41" si="4">SUM(G38:G40)</f>
        <v>16.294999999999959</v>
      </c>
    </row>
    <row r="43" spans="2:13" x14ac:dyDescent="0.45">
      <c r="C43" s="2" t="s">
        <v>40</v>
      </c>
      <c r="F43" s="54">
        <f>+F35+F41</f>
        <v>211.30799999999999</v>
      </c>
      <c r="G43" s="54">
        <f t="shared" ref="G43" si="5">+G35+G41</f>
        <v>211.79299999999998</v>
      </c>
    </row>
    <row r="45" spans="2:13" x14ac:dyDescent="0.45">
      <c r="C45" s="2" t="s">
        <v>60</v>
      </c>
      <c r="F45" s="67">
        <f>+F27-F43</f>
        <v>0</v>
      </c>
      <c r="G45" s="67">
        <f t="shared" ref="G45" si="6">+G27-G43</f>
        <v>0</v>
      </c>
    </row>
    <row r="47" spans="2:13" x14ac:dyDescent="0.45">
      <c r="B47" s="35" t="s">
        <v>47</v>
      </c>
      <c r="C47" s="10"/>
      <c r="D47" s="11"/>
      <c r="E47" s="11"/>
      <c r="F47" s="11"/>
      <c r="G47" s="11"/>
      <c r="H47" s="11"/>
    </row>
    <row r="49" spans="3:10" x14ac:dyDescent="0.45">
      <c r="C49" s="44" t="s">
        <v>17</v>
      </c>
      <c r="F49" s="54">
        <f>F38</f>
        <v>12.590000000000009</v>
      </c>
      <c r="G49" s="54">
        <f t="shared" ref="G49" si="7">G38</f>
        <v>12.357999999999958</v>
      </c>
    </row>
    <row r="50" spans="3:10" x14ac:dyDescent="0.45">
      <c r="C50" s="14" t="s">
        <v>140</v>
      </c>
      <c r="F50" s="41">
        <f>-F24</f>
        <v>-0.53500000000000003</v>
      </c>
      <c r="G50" s="41">
        <f>-G24</f>
        <v>-0.51100000000000001</v>
      </c>
    </row>
    <row r="51" spans="3:10" x14ac:dyDescent="0.45">
      <c r="C51" s="14" t="s">
        <v>141</v>
      </c>
      <c r="F51" s="24">
        <v>0</v>
      </c>
      <c r="G51" s="24">
        <v>-0.123</v>
      </c>
    </row>
    <row r="52" spans="3:10" x14ac:dyDescent="0.45">
      <c r="C52" s="14" t="s">
        <v>142</v>
      </c>
      <c r="F52" s="18">
        <f>0.018-0.08+0.193</f>
        <v>0.13100000000000001</v>
      </c>
      <c r="G52" s="18">
        <f>1.88-0.06+0.153</f>
        <v>1.9729999999999999</v>
      </c>
    </row>
    <row r="53" spans="3:10" x14ac:dyDescent="0.45">
      <c r="C53" s="20" t="s">
        <v>41</v>
      </c>
      <c r="D53" s="21"/>
      <c r="E53" s="21"/>
      <c r="F53" s="81">
        <f>SUM(F49:F52)</f>
        <v>12.186000000000009</v>
      </c>
      <c r="G53" s="81">
        <f>SUM(G49:G52)</f>
        <v>13.69699999999996</v>
      </c>
      <c r="I53" s="82"/>
      <c r="J53" s="82"/>
    </row>
    <row r="54" spans="3:10" x14ac:dyDescent="0.45">
      <c r="C54" s="14" t="s">
        <v>45</v>
      </c>
      <c r="F54" s="41">
        <f>+F39</f>
        <v>3.6459999999999999</v>
      </c>
      <c r="G54" s="41">
        <f>+G39</f>
        <v>3.6459999999999999</v>
      </c>
    </row>
    <row r="55" spans="3:10" x14ac:dyDescent="0.45">
      <c r="C55" s="14" t="s">
        <v>143</v>
      </c>
      <c r="F55" s="41">
        <f>F40</f>
        <v>0.373</v>
      </c>
      <c r="G55" s="41">
        <f t="shared" ref="G55" si="8">G40</f>
        <v>0.29099999999999998</v>
      </c>
    </row>
    <row r="56" spans="3:10" x14ac:dyDescent="0.45">
      <c r="C56" s="14" t="s">
        <v>142</v>
      </c>
      <c r="F56" s="24">
        <v>0</v>
      </c>
      <c r="G56" s="24">
        <v>-0.13</v>
      </c>
    </row>
    <row r="57" spans="3:10" x14ac:dyDescent="0.45">
      <c r="C57" s="20" t="s">
        <v>46</v>
      </c>
      <c r="D57" s="21"/>
      <c r="E57" s="21"/>
      <c r="F57" s="22">
        <f>SUM(F53:F56)</f>
        <v>16.205000000000009</v>
      </c>
      <c r="G57" s="22">
        <f t="shared" ref="G57" si="9">SUM(G53:G56)</f>
        <v>17.503999999999962</v>
      </c>
    </row>
    <row r="59" spans="3:10" x14ac:dyDescent="0.45">
      <c r="C59" s="3" t="s">
        <v>58</v>
      </c>
      <c r="F59" s="24">
        <v>100.812</v>
      </c>
      <c r="G59" s="24">
        <v>113.628</v>
      </c>
    </row>
    <row r="60" spans="3:10" x14ac:dyDescent="0.45">
      <c r="C60" s="3" t="s">
        <v>59</v>
      </c>
      <c r="F60" s="41">
        <f>+F27-F24</f>
        <v>210.773</v>
      </c>
      <c r="G60" s="41">
        <f>+G27-G24</f>
        <v>211.28199999999998</v>
      </c>
    </row>
    <row r="61" spans="3:10" x14ac:dyDescent="0.45">
      <c r="C61" s="3" t="s">
        <v>139</v>
      </c>
      <c r="F61" s="80">
        <f>F59/F60</f>
        <v>0.4782965560104947</v>
      </c>
      <c r="G61" s="80">
        <f>G59/G60</f>
        <v>0.53780255771906749</v>
      </c>
    </row>
    <row r="63" spans="3:10" x14ac:dyDescent="0.45">
      <c r="C63" s="3" t="s">
        <v>103</v>
      </c>
      <c r="F63" s="80">
        <f>(F38-F24)/F60</f>
        <v>5.7194232657883169E-2</v>
      </c>
      <c r="G63" s="80">
        <f t="shared" ref="G63" si="10">(G38-G24)/G60</f>
        <v>5.6071979629121076E-2</v>
      </c>
    </row>
    <row r="64" spans="3:10" x14ac:dyDescent="0.45">
      <c r="C64" s="3" t="s">
        <v>55</v>
      </c>
      <c r="F64" s="80">
        <f>+F53/F59</f>
        <v>0.12087846684918471</v>
      </c>
      <c r="G64" s="80">
        <f>+G53/G59</f>
        <v>0.1205424719259334</v>
      </c>
    </row>
    <row r="65" spans="3:7" x14ac:dyDescent="0.45">
      <c r="C65" s="3" t="s">
        <v>56</v>
      </c>
      <c r="F65" s="80">
        <f>+F57/F59</f>
        <v>0.16074475260881652</v>
      </c>
      <c r="G65" s="80">
        <f>+G57/G59</f>
        <v>0.1540465378251836</v>
      </c>
    </row>
    <row r="66" spans="3:7" x14ac:dyDescent="0.45">
      <c r="C66" s="3" t="s">
        <v>130</v>
      </c>
      <c r="F66" s="80">
        <f>+F57/F60</f>
        <v>7.6883661569555922E-2</v>
      </c>
      <c r="G66" s="80">
        <f>+G57/G60</f>
        <v>8.2846622050150809E-2</v>
      </c>
    </row>
    <row r="68" spans="3:7" x14ac:dyDescent="0.45">
      <c r="C68" s="3" t="s">
        <v>113</v>
      </c>
      <c r="F68" s="80">
        <f>+F22/F27</f>
        <v>0.31164934597838229</v>
      </c>
      <c r="G68" s="80">
        <f>+G22/G27</f>
        <v>0.34757522675442537</v>
      </c>
    </row>
    <row r="69" spans="3:7" x14ac:dyDescent="0.45">
      <c r="C69" s="3" t="s">
        <v>114</v>
      </c>
      <c r="F69" s="80">
        <f>+F32/F43</f>
        <v>0.89538966816211407</v>
      </c>
      <c r="G69" s="80">
        <f>+G32/G43</f>
        <v>0.81734995963039392</v>
      </c>
    </row>
    <row r="70" spans="3:7" x14ac:dyDescent="0.45">
      <c r="C70" s="3" t="s">
        <v>115</v>
      </c>
      <c r="F70" s="80">
        <f>+F22/F32</f>
        <v>0.34806002018995469</v>
      </c>
      <c r="G70" s="80">
        <f>+G22/G32</f>
        <v>0.42524652097811205</v>
      </c>
    </row>
  </sheetData>
  <pageMargins left="0.7" right="0.7" top="0.75" bottom="0.75" header="0.3" footer="0.3"/>
  <pageSetup scale="64" orientation="landscape" r:id="rId1"/>
  <rowBreaks count="1" manualBreakCount="1">
    <brk id="46" max="8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A3075-97DC-487E-9CFB-7DCC5077A4DA}">
  <sheetPr>
    <pageSetUpPr autoPageBreaks="0"/>
  </sheetPr>
  <dimension ref="B2:L80"/>
  <sheetViews>
    <sheetView showGridLines="0" zoomScaleNormal="100" workbookViewId="0">
      <selection activeCell="B2" sqref="B2"/>
    </sheetView>
  </sheetViews>
  <sheetFormatPr defaultRowHeight="15.9" x14ac:dyDescent="0.45"/>
  <cols>
    <col min="1" max="2" width="2.69140625" style="3" customWidth="1"/>
    <col min="3" max="5" width="11.07421875" style="3" customWidth="1"/>
    <col min="6" max="7" width="12.15234375" style="3" bestFit="1" customWidth="1"/>
    <col min="8" max="8" width="11.07421875" style="3" customWidth="1"/>
    <col min="9" max="9" width="2.69140625" style="3" customWidth="1"/>
    <col min="10" max="10" width="9.23046875" style="3"/>
    <col min="11" max="11" width="10.84375" style="3" bestFit="1" customWidth="1"/>
    <col min="12" max="16384" width="9.23046875" style="3"/>
  </cols>
  <sheetData>
    <row r="2" spans="2:11" ht="18.45" x14ac:dyDescent="0.5">
      <c r="B2" s="1" t="s">
        <v>151</v>
      </c>
    </row>
    <row r="3" spans="2:11" x14ac:dyDescent="0.45">
      <c r="B3" s="3" t="s">
        <v>3</v>
      </c>
    </row>
    <row r="5" spans="2:11" x14ac:dyDescent="0.45">
      <c r="B5" s="4" t="s">
        <v>25</v>
      </c>
      <c r="C5" s="5"/>
      <c r="D5" s="5"/>
      <c r="E5" s="5"/>
      <c r="F5" s="5"/>
      <c r="G5" s="5"/>
      <c r="H5" s="6"/>
    </row>
    <row r="6" spans="2:11" x14ac:dyDescent="0.45">
      <c r="B6" s="7" t="s">
        <v>150</v>
      </c>
      <c r="C6" s="8"/>
      <c r="D6" s="8"/>
      <c r="E6" s="8"/>
      <c r="F6" s="9"/>
      <c r="G6" s="9"/>
      <c r="H6" s="9"/>
    </row>
    <row r="7" spans="2:11" x14ac:dyDescent="0.45">
      <c r="C7" s="3" t="s">
        <v>70</v>
      </c>
      <c r="H7" s="13">
        <v>9.2799999999999994E-2</v>
      </c>
    </row>
    <row r="8" spans="2:11" x14ac:dyDescent="0.45">
      <c r="C8" s="3" t="s">
        <v>68</v>
      </c>
      <c r="H8" s="13">
        <v>0.1358</v>
      </c>
    </row>
    <row r="9" spans="2:11" x14ac:dyDescent="0.45">
      <c r="C9" s="3" t="s">
        <v>69</v>
      </c>
      <c r="H9" s="13">
        <v>0.27160000000000001</v>
      </c>
    </row>
    <row r="10" spans="2:11" x14ac:dyDescent="0.45">
      <c r="C10" s="3" t="s">
        <v>129</v>
      </c>
      <c r="H10" s="13">
        <v>4.7500000000000001E-2</v>
      </c>
    </row>
    <row r="12" spans="2:11" x14ac:dyDescent="0.45">
      <c r="B12" s="4" t="s">
        <v>127</v>
      </c>
      <c r="C12" s="5"/>
      <c r="D12" s="5"/>
      <c r="E12" s="5"/>
      <c r="F12" s="5"/>
      <c r="G12" s="5"/>
      <c r="H12" s="6"/>
    </row>
    <row r="13" spans="2:11" x14ac:dyDescent="0.45">
      <c r="B13" s="30"/>
      <c r="C13" s="30"/>
      <c r="D13" s="30"/>
      <c r="E13" s="30"/>
      <c r="F13" s="30"/>
      <c r="G13" s="30"/>
      <c r="H13" s="31"/>
    </row>
    <row r="14" spans="2:11" x14ac:dyDescent="0.45">
      <c r="B14" s="7" t="s">
        <v>27</v>
      </c>
      <c r="C14" s="8"/>
      <c r="D14" s="8"/>
      <c r="E14" s="8"/>
      <c r="F14" s="9" t="s">
        <v>133</v>
      </c>
      <c r="G14" s="9" t="s">
        <v>134</v>
      </c>
      <c r="H14" s="9"/>
    </row>
    <row r="15" spans="2:11" x14ac:dyDescent="0.45">
      <c r="C15" s="36" t="s">
        <v>166</v>
      </c>
      <c r="D15" s="37"/>
      <c r="E15" s="37"/>
      <c r="F15" s="85">
        <f>164.818+1.323+103.907</f>
        <v>270.048</v>
      </c>
      <c r="G15" s="85">
        <v>127.72999999999999</v>
      </c>
      <c r="H15" s="39"/>
      <c r="K15" s="87"/>
    </row>
    <row r="16" spans="2:11" x14ac:dyDescent="0.45">
      <c r="C16" s="3" t="s">
        <v>93</v>
      </c>
      <c r="F16" s="24">
        <v>111.14100000000001</v>
      </c>
      <c r="G16" s="24">
        <v>65.460999999999999</v>
      </c>
      <c r="H16" s="39"/>
    </row>
    <row r="17" spans="2:12" x14ac:dyDescent="0.45">
      <c r="C17" s="3" t="s">
        <v>132</v>
      </c>
      <c r="F17" s="24">
        <v>1.0049999999999999</v>
      </c>
      <c r="G17" s="24">
        <v>1.7190000000000001</v>
      </c>
      <c r="H17" s="39"/>
      <c r="J17" s="3" t="s">
        <v>167</v>
      </c>
    </row>
    <row r="18" spans="2:12" x14ac:dyDescent="0.45">
      <c r="C18" s="3" t="s">
        <v>95</v>
      </c>
      <c r="F18" s="24">
        <f>15.017+5.826</f>
        <v>20.843</v>
      </c>
      <c r="G18" s="24">
        <v>8.4960000000000004</v>
      </c>
      <c r="H18" s="39"/>
      <c r="J18" s="3" t="s">
        <v>168</v>
      </c>
    </row>
    <row r="19" spans="2:12" x14ac:dyDescent="0.45">
      <c r="H19" s="26"/>
      <c r="K19" s="24"/>
      <c r="L19" s="24"/>
    </row>
    <row r="20" spans="2:12" x14ac:dyDescent="0.45">
      <c r="B20" s="14"/>
      <c r="C20" s="44" t="s">
        <v>31</v>
      </c>
      <c r="D20" s="45"/>
      <c r="E20" s="45"/>
      <c r="F20" s="46">
        <v>292.983</v>
      </c>
      <c r="G20" s="46">
        <v>265.59899999999999</v>
      </c>
      <c r="H20" s="39"/>
      <c r="J20" s="3" t="s">
        <v>169</v>
      </c>
    </row>
    <row r="21" spans="2:12" x14ac:dyDescent="0.45">
      <c r="C21" s="14" t="s">
        <v>5</v>
      </c>
      <c r="D21" s="45"/>
      <c r="E21" s="45"/>
      <c r="F21" s="24">
        <v>-1.2969999999999999</v>
      </c>
      <c r="G21" s="24">
        <v>-1.363</v>
      </c>
      <c r="H21" s="33"/>
      <c r="J21" s="3" t="s">
        <v>170</v>
      </c>
    </row>
    <row r="22" spans="2:12" x14ac:dyDescent="0.45">
      <c r="C22" s="49" t="s">
        <v>6</v>
      </c>
      <c r="D22" s="50"/>
      <c r="E22" s="50"/>
      <c r="F22" s="25">
        <f>SUM(F20:F21)</f>
        <v>291.68599999999998</v>
      </c>
      <c r="G22" s="25">
        <f t="shared" ref="G22" si="0">SUM(G20:G21)</f>
        <v>264.23599999999999</v>
      </c>
      <c r="H22" s="47"/>
    </row>
    <row r="23" spans="2:12" x14ac:dyDescent="0.45">
      <c r="H23" s="48"/>
      <c r="J23" s="3" t="s">
        <v>171</v>
      </c>
      <c r="K23" s="83"/>
    </row>
    <row r="24" spans="2:12" x14ac:dyDescent="0.45">
      <c r="B24" s="14"/>
      <c r="C24" s="55" t="s">
        <v>32</v>
      </c>
      <c r="D24" s="53"/>
      <c r="E24" s="53"/>
      <c r="F24" s="24">
        <f>2.917+0.276</f>
        <v>3.1929999999999996</v>
      </c>
      <c r="G24" s="24">
        <v>3.3610000000000002</v>
      </c>
      <c r="H24" s="39"/>
      <c r="J24" s="3" t="s">
        <v>172</v>
      </c>
    </row>
    <row r="25" spans="2:12" x14ac:dyDescent="0.45">
      <c r="C25" s="3" t="s">
        <v>33</v>
      </c>
      <c r="F25" s="24">
        <f>16.687+41.23</f>
        <v>57.917000000000002</v>
      </c>
      <c r="G25" s="24">
        <v>60.425999999999995</v>
      </c>
      <c r="H25" s="39"/>
      <c r="K25" s="18"/>
      <c r="L25" s="83"/>
    </row>
    <row r="26" spans="2:12" x14ac:dyDescent="0.45">
      <c r="H26" s="53"/>
      <c r="J26" s="3" t="s">
        <v>173</v>
      </c>
    </row>
    <row r="27" spans="2:12" x14ac:dyDescent="0.45">
      <c r="C27" s="2" t="s">
        <v>0</v>
      </c>
      <c r="D27" s="57"/>
      <c r="E27" s="57"/>
      <c r="F27" s="84">
        <f t="shared" ref="F27:G27" si="1">SUM(F15:F18)+F22+SUM(F24:F25)</f>
        <v>755.83299999999997</v>
      </c>
      <c r="G27" s="84">
        <f t="shared" si="1"/>
        <v>531.42899999999997</v>
      </c>
      <c r="H27" s="15"/>
      <c r="J27" s="3" t="s">
        <v>174</v>
      </c>
    </row>
    <row r="28" spans="2:12" x14ac:dyDescent="0.45">
      <c r="B28" s="58"/>
      <c r="C28" s="59"/>
      <c r="D28" s="60"/>
      <c r="E28" s="60"/>
      <c r="H28" s="26"/>
    </row>
    <row r="29" spans="2:12" x14ac:dyDescent="0.45">
      <c r="B29" s="30"/>
      <c r="C29" s="30"/>
      <c r="D29" s="30"/>
      <c r="E29" s="30"/>
      <c r="F29" s="30"/>
      <c r="G29" s="30"/>
      <c r="H29" s="30"/>
      <c r="J29" s="3" t="s">
        <v>175</v>
      </c>
    </row>
    <row r="30" spans="2:12" x14ac:dyDescent="0.45">
      <c r="B30" s="62" t="s">
        <v>30</v>
      </c>
      <c r="C30" s="7"/>
      <c r="D30" s="8"/>
      <c r="E30" s="8"/>
      <c r="F30" s="9" t="str">
        <f>$F$14</f>
        <v>FY 21</v>
      </c>
      <c r="G30" s="9" t="str">
        <f>$G$14</f>
        <v>FY 22</v>
      </c>
      <c r="H30" s="63"/>
      <c r="J30" s="3" t="s">
        <v>176</v>
      </c>
    </row>
    <row r="31" spans="2:12" x14ac:dyDescent="0.45">
      <c r="C31" s="2" t="s">
        <v>7</v>
      </c>
      <c r="D31" s="53"/>
      <c r="E31" s="53"/>
      <c r="H31" s="61"/>
    </row>
    <row r="32" spans="2:12" x14ac:dyDescent="0.45">
      <c r="C32" s="14" t="s">
        <v>8</v>
      </c>
      <c r="D32" s="53"/>
      <c r="E32" s="53"/>
      <c r="F32" s="85">
        <v>392.81900000000002</v>
      </c>
      <c r="G32" s="85">
        <v>233.23500000000001</v>
      </c>
    </row>
    <row r="33" spans="2:8" x14ac:dyDescent="0.45">
      <c r="C33" s="14" t="s">
        <v>152</v>
      </c>
      <c r="D33" s="53"/>
      <c r="E33" s="53"/>
      <c r="F33" s="24">
        <v>186.28899999999999</v>
      </c>
      <c r="G33" s="24">
        <v>169.649</v>
      </c>
      <c r="H33" s="26"/>
    </row>
    <row r="34" spans="2:8" x14ac:dyDescent="0.45">
      <c r="C34" s="14" t="s">
        <v>153</v>
      </c>
      <c r="D34" s="53"/>
      <c r="E34" s="53"/>
      <c r="F34" s="24">
        <v>54.239000000000004</v>
      </c>
      <c r="G34" s="24">
        <v>32.186</v>
      </c>
      <c r="H34" s="26"/>
    </row>
    <row r="35" spans="2:8" x14ac:dyDescent="0.45">
      <c r="C35" s="14" t="s">
        <v>135</v>
      </c>
      <c r="F35" s="24">
        <v>78.256</v>
      </c>
      <c r="G35" s="24">
        <v>51.027999999999992</v>
      </c>
      <c r="H35" s="33"/>
    </row>
    <row r="36" spans="2:8" x14ac:dyDescent="0.45">
      <c r="C36" s="20" t="s">
        <v>1</v>
      </c>
      <c r="D36" s="21"/>
      <c r="E36" s="21"/>
      <c r="F36" s="25">
        <f>SUM(F32:F35)</f>
        <v>711.60299999999995</v>
      </c>
      <c r="G36" s="25">
        <f>SUM(G32:G35)</f>
        <v>486.09799999999996</v>
      </c>
    </row>
    <row r="38" spans="2:8" x14ac:dyDescent="0.45">
      <c r="C38" s="2" t="s">
        <v>38</v>
      </c>
    </row>
    <row r="39" spans="2:8" x14ac:dyDescent="0.45">
      <c r="C39" s="14" t="s">
        <v>17</v>
      </c>
      <c r="F39" s="18">
        <f>F27-F36-F40-F41</f>
        <v>43.954000000000015</v>
      </c>
      <c r="G39" s="18">
        <f>G27-G36-G40-G41</f>
        <v>45.129000000000019</v>
      </c>
    </row>
    <row r="40" spans="2:8" x14ac:dyDescent="0.45">
      <c r="C40" s="14" t="s">
        <v>4</v>
      </c>
      <c r="F40" s="24">
        <v>0</v>
      </c>
      <c r="G40" s="24">
        <v>0</v>
      </c>
    </row>
    <row r="41" spans="2:8" x14ac:dyDescent="0.45">
      <c r="C41" s="14" t="s">
        <v>136</v>
      </c>
      <c r="F41" s="24">
        <v>0.27600000000000002</v>
      </c>
      <c r="G41" s="24">
        <v>0.20200000000000001</v>
      </c>
    </row>
    <row r="42" spans="2:8" x14ac:dyDescent="0.45">
      <c r="C42" s="20" t="s">
        <v>39</v>
      </c>
      <c r="D42" s="21"/>
      <c r="E42" s="21"/>
      <c r="F42" s="22">
        <f t="shared" ref="F42:G42" si="2">SUM(F39:F41)</f>
        <v>44.230000000000018</v>
      </c>
      <c r="G42" s="22">
        <f t="shared" si="2"/>
        <v>45.331000000000017</v>
      </c>
    </row>
    <row r="44" spans="2:8" x14ac:dyDescent="0.45">
      <c r="C44" s="2" t="s">
        <v>40</v>
      </c>
      <c r="F44" s="84">
        <f t="shared" ref="F44:G44" si="3">+F36+F42</f>
        <v>755.83299999999997</v>
      </c>
      <c r="G44" s="84">
        <f t="shared" si="3"/>
        <v>531.42899999999997</v>
      </c>
    </row>
    <row r="46" spans="2:8" x14ac:dyDescent="0.45">
      <c r="C46" s="2" t="s">
        <v>60</v>
      </c>
      <c r="F46" s="67">
        <f>+F27-F44</f>
        <v>0</v>
      </c>
      <c r="G46" s="67">
        <f>+G27-G44</f>
        <v>0</v>
      </c>
    </row>
    <row r="48" spans="2:8" x14ac:dyDescent="0.45">
      <c r="B48" s="35" t="s">
        <v>47</v>
      </c>
      <c r="C48" s="10"/>
      <c r="D48" s="11"/>
      <c r="E48" s="11"/>
      <c r="F48" s="11"/>
      <c r="G48" s="11"/>
      <c r="H48" s="11"/>
    </row>
    <row r="50" spans="3:10" x14ac:dyDescent="0.45">
      <c r="C50" s="44" t="s">
        <v>17</v>
      </c>
      <c r="F50" s="84">
        <f>F39</f>
        <v>43.954000000000015</v>
      </c>
      <c r="G50" s="84">
        <f t="shared" ref="G50" si="4">G39</f>
        <v>45.129000000000019</v>
      </c>
    </row>
    <row r="51" spans="3:10" x14ac:dyDescent="0.45">
      <c r="C51" s="14" t="s">
        <v>140</v>
      </c>
      <c r="F51" s="41">
        <f>-F24</f>
        <v>-3.1929999999999996</v>
      </c>
      <c r="G51" s="41">
        <f>-G24</f>
        <v>-3.3610000000000002</v>
      </c>
    </row>
    <row r="52" spans="3:10" x14ac:dyDescent="0.45">
      <c r="C52" s="14" t="s">
        <v>141</v>
      </c>
      <c r="F52" s="24">
        <v>-0.88100000000000001</v>
      </c>
      <c r="G52" s="24">
        <v>-0.14099999999999999</v>
      </c>
    </row>
    <row r="53" spans="3:10" x14ac:dyDescent="0.45">
      <c r="C53" s="14" t="s">
        <v>142</v>
      </c>
      <c r="F53" s="24">
        <v>-1.3510000000000058</v>
      </c>
      <c r="G53" s="24">
        <v>-6.3370000000000815</v>
      </c>
    </row>
    <row r="54" spans="3:10" x14ac:dyDescent="0.45">
      <c r="C54" s="20" t="s">
        <v>41</v>
      </c>
      <c r="D54" s="21"/>
      <c r="E54" s="21"/>
      <c r="F54" s="22">
        <f>SUM(F50:F53)</f>
        <v>38.529000000000011</v>
      </c>
      <c r="G54" s="22">
        <f>SUM(G50:G53)</f>
        <v>35.289999999999942</v>
      </c>
      <c r="I54" s="82"/>
      <c r="J54" s="82"/>
    </row>
    <row r="55" spans="3:10" x14ac:dyDescent="0.45">
      <c r="C55" s="14" t="s">
        <v>45</v>
      </c>
      <c r="F55" s="41">
        <f>+F40</f>
        <v>0</v>
      </c>
      <c r="G55" s="41">
        <f>+G40</f>
        <v>0</v>
      </c>
    </row>
    <row r="56" spans="3:10" x14ac:dyDescent="0.45">
      <c r="C56" s="14" t="s">
        <v>154</v>
      </c>
      <c r="F56" s="24">
        <v>15.843999999999999</v>
      </c>
      <c r="G56" s="24">
        <f>10.495+4.241</f>
        <v>14.735999999999999</v>
      </c>
    </row>
    <row r="57" spans="3:10" x14ac:dyDescent="0.45">
      <c r="C57" s="14" t="s">
        <v>143</v>
      </c>
      <c r="F57" s="24">
        <v>0</v>
      </c>
      <c r="G57" s="24">
        <v>0</v>
      </c>
    </row>
    <row r="58" spans="3:10" x14ac:dyDescent="0.45">
      <c r="C58" s="14" t="s">
        <v>142</v>
      </c>
      <c r="F58" s="24">
        <v>0</v>
      </c>
      <c r="G58" s="24">
        <v>0</v>
      </c>
    </row>
    <row r="59" spans="3:10" x14ac:dyDescent="0.45">
      <c r="C59" s="20" t="s">
        <v>46</v>
      </c>
      <c r="D59" s="21"/>
      <c r="E59" s="21"/>
      <c r="F59" s="22">
        <f>SUM(F54:F58)</f>
        <v>54.373000000000012</v>
      </c>
      <c r="G59" s="22">
        <f t="shared" ref="G59" si="5">SUM(G54:G58)</f>
        <v>50.025999999999939</v>
      </c>
    </row>
    <row r="61" spans="3:10" x14ac:dyDescent="0.45">
      <c r="C61" s="3" t="s">
        <v>58</v>
      </c>
      <c r="F61" s="24">
        <v>267.78699999999998</v>
      </c>
      <c r="G61" s="24">
        <v>250.54</v>
      </c>
    </row>
    <row r="62" spans="3:10" x14ac:dyDescent="0.45">
      <c r="C62" s="3" t="s">
        <v>59</v>
      </c>
      <c r="F62" s="41">
        <f>+F27-F24</f>
        <v>752.64</v>
      </c>
      <c r="G62" s="41">
        <f>+G27-G24</f>
        <v>528.06799999999998</v>
      </c>
    </row>
    <row r="63" spans="3:10" x14ac:dyDescent="0.45">
      <c r="C63" s="3" t="s">
        <v>139</v>
      </c>
      <c r="F63" s="80">
        <f>F61/F62</f>
        <v>0.35579692814625846</v>
      </c>
      <c r="G63" s="80">
        <f>G61/G62</f>
        <v>0.4744464728027451</v>
      </c>
    </row>
    <row r="65" spans="3:7" x14ac:dyDescent="0.45">
      <c r="C65" s="3" t="s">
        <v>103</v>
      </c>
      <c r="F65" s="80">
        <f>(F39-F24)/F62</f>
        <v>5.4157366071428598E-2</v>
      </c>
      <c r="G65" s="80">
        <f>(G39-G24)/G62</f>
        <v>7.9095874016225226E-2</v>
      </c>
    </row>
    <row r="66" spans="3:7" x14ac:dyDescent="0.45">
      <c r="C66" s="3" t="s">
        <v>55</v>
      </c>
      <c r="F66" s="80">
        <f>+F54/F61</f>
        <v>0.14387927718671933</v>
      </c>
      <c r="G66" s="80">
        <f>+G54/G61</f>
        <v>0.14085575157659433</v>
      </c>
    </row>
    <row r="67" spans="3:7" x14ac:dyDescent="0.45">
      <c r="C67" s="3" t="s">
        <v>56</v>
      </c>
      <c r="F67" s="80">
        <f>+F59/F61</f>
        <v>0.20304570423508242</v>
      </c>
      <c r="G67" s="80">
        <f>+G59/G61</f>
        <v>0.19967270695298134</v>
      </c>
    </row>
    <row r="68" spans="3:7" x14ac:dyDescent="0.45">
      <c r="C68" s="3" t="s">
        <v>130</v>
      </c>
      <c r="F68" s="80">
        <f>+F59/F62</f>
        <v>7.2243037840136068E-2</v>
      </c>
      <c r="G68" s="80">
        <f>+G59/G62</f>
        <v>9.4734011528818149E-2</v>
      </c>
    </row>
    <row r="70" spans="3:7" x14ac:dyDescent="0.45">
      <c r="C70" s="3" t="s">
        <v>155</v>
      </c>
      <c r="F70" s="24">
        <v>227.19300000000001</v>
      </c>
      <c r="G70" s="24">
        <v>119.95399999999999</v>
      </c>
    </row>
    <row r="71" spans="3:7" x14ac:dyDescent="0.45">
      <c r="C71" s="14" t="s">
        <v>156</v>
      </c>
      <c r="F71" s="80">
        <f>F70/F15</f>
        <v>0.84130599004621409</v>
      </c>
      <c r="G71" s="80">
        <f>G70/G15</f>
        <v>0.93912158459249984</v>
      </c>
    </row>
    <row r="73" spans="3:7" x14ac:dyDescent="0.45">
      <c r="C73" s="3" t="s">
        <v>158</v>
      </c>
      <c r="F73" s="24">
        <v>112.15600000000001</v>
      </c>
      <c r="G73" s="24">
        <v>83.201999999999998</v>
      </c>
    </row>
    <row r="74" spans="3:7" x14ac:dyDescent="0.45">
      <c r="C74" s="14" t="s">
        <v>157</v>
      </c>
      <c r="F74" s="80">
        <f>F73/F32</f>
        <v>0.28551572098090977</v>
      </c>
      <c r="G74" s="80">
        <f>G73/G32</f>
        <v>0.35673033635603574</v>
      </c>
    </row>
    <row r="76" spans="3:7" x14ac:dyDescent="0.45">
      <c r="C76" s="2" t="s">
        <v>159</v>
      </c>
      <c r="F76" s="86">
        <f>F70/F73</f>
        <v>2.0256874353578942</v>
      </c>
      <c r="G76" s="86">
        <f>G70/G73</f>
        <v>1.4417201509579096</v>
      </c>
    </row>
    <row r="78" spans="3:7" x14ac:dyDescent="0.45">
      <c r="C78" s="3" t="s">
        <v>113</v>
      </c>
      <c r="F78" s="80">
        <f>+F22/F27</f>
        <v>0.38591329036969807</v>
      </c>
      <c r="G78" s="80">
        <f>+G22/G27</f>
        <v>0.49721787858773231</v>
      </c>
    </row>
    <row r="79" spans="3:7" x14ac:dyDescent="0.45">
      <c r="C79" s="3" t="s">
        <v>114</v>
      </c>
      <c r="F79" s="80">
        <f>+F32/F44</f>
        <v>0.5197166569863978</v>
      </c>
      <c r="G79" s="80">
        <f>+G32/G44</f>
        <v>0.43888271057845923</v>
      </c>
    </row>
    <row r="80" spans="3:7" x14ac:dyDescent="0.45">
      <c r="C80" s="3" t="s">
        <v>115</v>
      </c>
      <c r="F80" s="80">
        <f>+F22/F32</f>
        <v>0.74254554896784519</v>
      </c>
      <c r="G80" s="80">
        <f>+G22/G32</f>
        <v>1.1329174437798786</v>
      </c>
    </row>
  </sheetData>
  <pageMargins left="0.7" right="0.7" top="0.75" bottom="0.75" header="0.3" footer="0.3"/>
  <pageSetup scale="64" orientation="landscape" r:id="rId1"/>
  <rowBreaks count="1" manualBreakCount="1">
    <brk id="47" max="8" man="1"/>
  </rowBreaks>
  <ignoredErrors>
    <ignoredError sqref="F65 F78:F80" evalError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Bank_Capital</vt:lpstr>
      <vt:lpstr>SVB</vt:lpstr>
      <vt:lpstr>CS</vt:lpstr>
      <vt:lpstr>Bank_Capital!Print_Area</vt:lpstr>
      <vt:lpstr>CS!Print_Area</vt:lpstr>
      <vt:lpstr>SVB!Print_Area</vt:lpstr>
      <vt:lpstr>Qualifying_ALL</vt:lpstr>
      <vt:lpstr>Tax_Rate</vt:lpstr>
    </vt:vector>
  </TitlesOfParts>
  <Company>LENOVO CUSTOMER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BIWS</dc:creator>
  <cp:lastModifiedBy>BIWS</cp:lastModifiedBy>
  <cp:lastPrinted>2015-12-22T05:30:53Z</cp:lastPrinted>
  <dcterms:created xsi:type="dcterms:W3CDTF">2009-06-26T05:31:17Z</dcterms:created>
  <dcterms:modified xsi:type="dcterms:W3CDTF">2023-03-31T02:14:20Z</dcterms:modified>
</cp:coreProperties>
</file>