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\\nacdm\Die Design (Controlled Documents)\07 NAC Matters\NAC Die Design Automation 2019\Formula\ToVendor_050120\"/>
    </mc:Choice>
  </mc:AlternateContent>
  <bookViews>
    <workbookView xWindow="1530" yWindow="-105" windowWidth="9450" windowHeight="11580" tabRatio="785"/>
  </bookViews>
  <sheets>
    <sheet name="Sheet1" sheetId="1" r:id="rId1"/>
    <sheet name="IPH" sheetId="29" r:id="rId2"/>
    <sheet name="IP1" sheetId="4" r:id="rId3"/>
    <sheet name="IP3" sheetId="6" r:id="rId4"/>
    <sheet name="NC1" sheetId="9" r:id="rId5"/>
    <sheet name="NC2" sheetId="10" r:id="rId6"/>
    <sheet name="NC3" sheetId="11" r:id="rId7"/>
    <sheet name="NC4" sheetId="12" r:id="rId8"/>
    <sheet name="NC6" sheetId="14" r:id="rId9"/>
    <sheet name="OP1" sheetId="15" r:id="rId10"/>
    <sheet name="OP2" sheetId="37" r:id="rId11"/>
    <sheet name="OD" sheetId="20" r:id="rId12"/>
    <sheet name="EC1" sheetId="21" r:id="rId13"/>
    <sheet name="EC2" sheetId="22" r:id="rId14"/>
    <sheet name="DP1" sheetId="23" r:id="rId15"/>
    <sheet name="DP2" sheetId="26" r:id="rId16"/>
    <sheet name="DP3" sheetId="27" r:id="rId17"/>
    <sheet name="DP4" sheetId="32" r:id="rId18"/>
    <sheet name="DP26" sheetId="24" r:id="rId19"/>
    <sheet name="DP8" sheetId="28" r:id="rId20"/>
    <sheet name="DP9" sheetId="34" r:id="rId21"/>
    <sheet name="Sheet2" sheetId="2" state="hidden" r:id="rId22"/>
    <sheet name="Sheet3" sheetId="3" state="hidden" r:id="rId23"/>
  </sheets>
  <definedNames>
    <definedName name="_xlnm.Print_Area" localSheetId="14">'DP1'!$A$1:$N$61</definedName>
    <definedName name="_xlnm.Print_Area" localSheetId="15">'DP2'!$A$1:$N$61</definedName>
    <definedName name="_xlnm.Print_Area" localSheetId="18">'DP26'!$A$1:$N$61</definedName>
    <definedName name="_xlnm.Print_Area" localSheetId="16">'DP3'!$A$1:$N$61</definedName>
    <definedName name="_xlnm.Print_Area" localSheetId="17">'DP4'!$A$1:$N$61</definedName>
    <definedName name="_xlnm.Print_Area" localSheetId="19">'DP8'!$A$1:$N$61</definedName>
    <definedName name="_xlnm.Print_Area" localSheetId="20">'DP9'!$A$1:$N$61</definedName>
    <definedName name="_xlnm.Print_Area" localSheetId="12">'EC1'!$A$1:$N$61</definedName>
    <definedName name="_xlnm.Print_Area" localSheetId="13">'EC2'!$A$1:$N$61</definedName>
    <definedName name="_xlnm.Print_Area" localSheetId="2">'IP1'!$A$1:$N$61</definedName>
    <definedName name="_xlnm.Print_Area" localSheetId="3">'IP3'!$A$1:$N$61</definedName>
    <definedName name="_xlnm.Print_Area" localSheetId="1">IPH!$A$1:$N$61</definedName>
    <definedName name="_xlnm.Print_Area" localSheetId="4">'NC1'!$A$1:$N$61</definedName>
    <definedName name="_xlnm.Print_Area" localSheetId="5">'NC2'!$A$1:$N$61</definedName>
    <definedName name="_xlnm.Print_Area" localSheetId="6">'NC3'!$A$1:$N$61</definedName>
    <definedName name="_xlnm.Print_Area" localSheetId="7">'NC4'!$A$1:$N$61</definedName>
    <definedName name="_xlnm.Print_Area" localSheetId="8">'NC6'!$A$1:$N$61</definedName>
    <definedName name="_xlnm.Print_Area" localSheetId="11">OD!$A$1:$N$61</definedName>
    <definedName name="_xlnm.Print_Area" localSheetId="9">'OP1'!$A$1:$N$61</definedName>
    <definedName name="_xlnm.Print_Area" localSheetId="10">'OP2'!$A$1:$N$61</definedName>
    <definedName name="_xlnm.Print_Area" localSheetId="0">Sheet1!$A$1:$L$30</definedName>
  </definedNames>
  <calcPr calcId="162913"/>
</workbook>
</file>

<file path=xl/calcChain.xml><?xml version="1.0" encoding="utf-8"?>
<calcChain xmlns="http://schemas.openxmlformats.org/spreadsheetml/2006/main">
  <c r="N3" i="2" l="1"/>
  <c r="N2" i="2"/>
  <c r="U13" i="4" l="1"/>
  <c r="T12" i="24" l="1"/>
  <c r="S11" i="24"/>
  <c r="R11" i="24" s="1"/>
  <c r="T13" i="14" l="1"/>
  <c r="S12" i="14"/>
  <c r="R12" i="14" s="1"/>
  <c r="R5" i="2" l="1"/>
  <c r="Q9" i="2"/>
  <c r="B19" i="1"/>
  <c r="S9" i="2" l="1"/>
  <c r="Q7" i="2"/>
  <c r="Q6" i="2"/>
  <c r="Q8" i="2"/>
  <c r="Q5" i="2"/>
  <c r="R6" i="2" s="1"/>
  <c r="S5" i="2" l="1"/>
  <c r="T5" i="2" s="1"/>
  <c r="N5" i="2" s="1"/>
  <c r="R9" i="2"/>
  <c r="T9" i="2" s="1"/>
  <c r="N9" i="2" s="1"/>
  <c r="S8" i="2"/>
  <c r="R7" i="2"/>
  <c r="S6" i="2"/>
  <c r="T6" i="2" s="1"/>
  <c r="N6" i="2" s="1"/>
  <c r="R8" i="2"/>
  <c r="S7" i="2"/>
  <c r="T8" i="2" l="1"/>
  <c r="N8" i="2" s="1"/>
  <c r="T7" i="2"/>
  <c r="N7" i="2" s="1"/>
  <c r="M10" i="2" l="1"/>
  <c r="D14" i="1" s="1"/>
  <c r="I13" i="1"/>
  <c r="S12" i="4" l="1"/>
  <c r="R12" i="4" s="1"/>
  <c r="S13" i="4" s="1"/>
  <c r="T13" i="29"/>
  <c r="S12" i="29"/>
  <c r="R12" i="29" s="1"/>
  <c r="S11" i="22" l="1"/>
  <c r="R11" i="22" s="1"/>
  <c r="T12" i="27" l="1"/>
  <c r="S11" i="27"/>
  <c r="R11" i="27" s="1"/>
  <c r="T12" i="26"/>
  <c r="S11" i="26"/>
  <c r="R11" i="26" s="1"/>
  <c r="T12" i="23"/>
  <c r="S11" i="23"/>
  <c r="R11" i="23" s="1"/>
  <c r="T12" i="22"/>
  <c r="S16" i="21"/>
  <c r="T12" i="21"/>
  <c r="S11" i="21"/>
  <c r="R11" i="21" s="1"/>
  <c r="T12" i="20" l="1"/>
  <c r="S11" i="20"/>
  <c r="R11" i="20" s="1"/>
  <c r="R20" i="37" l="1"/>
  <c r="R13" i="37"/>
  <c r="S16" i="37" s="1"/>
  <c r="T12" i="37"/>
  <c r="S11" i="37"/>
  <c r="R11" i="37" s="1"/>
  <c r="T12" i="15"/>
  <c r="S11" i="15"/>
  <c r="R11" i="15" s="1"/>
  <c r="R16" i="37" l="1"/>
  <c r="R17" i="37" s="1"/>
  <c r="R18" i="37" s="1"/>
  <c r="R19" i="37"/>
  <c r="S12" i="9" l="1"/>
  <c r="R12" i="9" s="1"/>
  <c r="T13" i="9"/>
  <c r="O1" i="1"/>
  <c r="B11" i="2" l="1"/>
  <c r="C22" i="1"/>
  <c r="R18" i="22" s="1"/>
  <c r="R19" i="22" s="1"/>
  <c r="P2" i="22" s="1"/>
  <c r="C15" i="1"/>
  <c r="Y26" i="1"/>
  <c r="Y25" i="1"/>
  <c r="Y24" i="1"/>
  <c r="Y23" i="1"/>
  <c r="Y22" i="1"/>
  <c r="Y21" i="1"/>
  <c r="Y17" i="1"/>
  <c r="Y20" i="1"/>
  <c r="Y19" i="1"/>
  <c r="Y18" i="1"/>
  <c r="V23" i="1"/>
  <c r="V22" i="1"/>
  <c r="V21" i="1"/>
  <c r="V20" i="1"/>
  <c r="V19" i="1"/>
  <c r="V18" i="1"/>
  <c r="V17" i="1"/>
  <c r="P18" i="1"/>
  <c r="P19" i="1"/>
  <c r="P20" i="1"/>
  <c r="P21" i="1"/>
  <c r="P22" i="1"/>
  <c r="P23" i="1"/>
  <c r="P24" i="1"/>
  <c r="P25" i="1"/>
  <c r="P26" i="1"/>
  <c r="P27" i="1"/>
  <c r="S17" i="1"/>
  <c r="S18" i="1"/>
  <c r="S19" i="1"/>
  <c r="S20" i="1"/>
  <c r="S21" i="1"/>
  <c r="S22" i="1"/>
  <c r="S23" i="1"/>
  <c r="S24" i="1"/>
  <c r="P17" i="1"/>
  <c r="E12" i="2"/>
  <c r="B59" i="2"/>
  <c r="B60" i="2"/>
  <c r="B61" i="2"/>
  <c r="B62" i="2"/>
  <c r="B63" i="2"/>
  <c r="B64" i="2"/>
  <c r="B65" i="2"/>
  <c r="B66" i="2"/>
  <c r="B67" i="2"/>
  <c r="J1" i="1"/>
  <c r="A57" i="37"/>
  <c r="A59" i="37"/>
  <c r="F6" i="1"/>
  <c r="F11" i="1" s="1"/>
  <c r="R15" i="34"/>
  <c r="I12" i="1"/>
  <c r="I15" i="1"/>
  <c r="A57" i="34"/>
  <c r="A59" i="34"/>
  <c r="F7" i="1"/>
  <c r="R17" i="4" s="1"/>
  <c r="R20" i="9"/>
  <c r="R22" i="9" s="1"/>
  <c r="P2" i="9" s="1"/>
  <c r="R20" i="12"/>
  <c r="R23" i="12" s="1"/>
  <c r="R20" i="27"/>
  <c r="R21" i="27" s="1"/>
  <c r="R20" i="14"/>
  <c r="R24" i="14" s="1"/>
  <c r="P2" i="14" s="1"/>
  <c r="R14" i="6"/>
  <c r="R15" i="6" s="1"/>
  <c r="A57" i="28"/>
  <c r="A57" i="27"/>
  <c r="A57" i="26"/>
  <c r="A57" i="32"/>
  <c r="A57" i="24"/>
  <c r="A57" i="23"/>
  <c r="A57" i="22"/>
  <c r="A57" i="21"/>
  <c r="A57" i="20"/>
  <c r="A57" i="15"/>
  <c r="A57" i="14"/>
  <c r="A57" i="12"/>
  <c r="A57" i="11"/>
  <c r="A57" i="10"/>
  <c r="A57" i="9"/>
  <c r="A57" i="6"/>
  <c r="A57" i="4"/>
  <c r="R13" i="15"/>
  <c r="S16" i="15" s="1"/>
  <c r="A59" i="32"/>
  <c r="R14" i="4"/>
  <c r="R18" i="4" s="1"/>
  <c r="R14" i="29"/>
  <c r="R15" i="29" s="1"/>
  <c r="P2" i="29" s="1"/>
  <c r="A57" i="29"/>
  <c r="A59" i="29"/>
  <c r="R20" i="11"/>
  <c r="R20" i="10"/>
  <c r="A59" i="28"/>
  <c r="A59" i="27"/>
  <c r="A59" i="26"/>
  <c r="A59" i="24"/>
  <c r="A59" i="23"/>
  <c r="A59" i="22"/>
  <c r="A59" i="21"/>
  <c r="A59" i="20"/>
  <c r="A59" i="15"/>
  <c r="A59" i="14"/>
  <c r="A59" i="12"/>
  <c r="A59" i="11"/>
  <c r="A59" i="10"/>
  <c r="A59" i="9"/>
  <c r="A59" i="6"/>
  <c r="R20" i="15"/>
  <c r="R16" i="14"/>
  <c r="R17" i="14" s="1"/>
  <c r="R16" i="12"/>
  <c r="R17" i="12" s="1"/>
  <c r="R16" i="11"/>
  <c r="R16" i="10"/>
  <c r="R17" i="10" s="1"/>
  <c r="R16" i="9"/>
  <c r="R17" i="9" s="1"/>
  <c r="A59" i="4"/>
  <c r="F3" i="1"/>
  <c r="H14" i="1"/>
  <c r="E18" i="1"/>
  <c r="R13" i="32" l="1"/>
  <c r="R13" i="24"/>
  <c r="R21" i="10"/>
  <c r="R22" i="10" s="1"/>
  <c r="R17" i="24"/>
  <c r="R16" i="6"/>
  <c r="R21" i="9"/>
  <c r="K33" i="1"/>
  <c r="D20" i="1"/>
  <c r="D18" i="1"/>
  <c r="D19" i="1"/>
  <c r="R20" i="26"/>
  <c r="R21" i="26" s="1"/>
  <c r="P2" i="26" s="1"/>
  <c r="R18" i="21"/>
  <c r="R19" i="21" s="1"/>
  <c r="P2" i="21" s="1"/>
  <c r="R21" i="15"/>
  <c r="R20" i="34"/>
  <c r="R21" i="34" s="1"/>
  <c r="R21" i="11"/>
  <c r="R22" i="11" s="1"/>
  <c r="R21" i="12"/>
  <c r="R22" i="12" s="1"/>
  <c r="R24" i="12" s="1"/>
  <c r="R20" i="23"/>
  <c r="R21" i="23" s="1"/>
  <c r="P2" i="23" s="1"/>
  <c r="R14" i="27"/>
  <c r="C67" i="2"/>
  <c r="R16" i="15"/>
  <c r="R17" i="15" s="1"/>
  <c r="R16" i="23" s="1"/>
  <c r="R17" i="23" s="1"/>
  <c r="R18" i="23" s="1"/>
  <c r="R14" i="23"/>
  <c r="R15" i="23"/>
  <c r="R15" i="28"/>
  <c r="R15" i="24"/>
  <c r="R15" i="27"/>
  <c r="J19" i="1"/>
  <c r="H28" i="1"/>
  <c r="B10" i="2"/>
  <c r="R14" i="26"/>
  <c r="R14" i="28"/>
  <c r="R14" i="32"/>
  <c r="J23" i="1"/>
  <c r="I28" i="1"/>
  <c r="I7" i="1"/>
  <c r="R14" i="22" s="1"/>
  <c r="F17" i="1"/>
  <c r="R15" i="37" s="1"/>
  <c r="R14" i="34"/>
  <c r="L26" i="1"/>
  <c r="I35" i="1"/>
  <c r="R14" i="24"/>
  <c r="R19" i="15"/>
  <c r="Z17" i="1"/>
  <c r="J30" i="1" s="1"/>
  <c r="Q23" i="1"/>
  <c r="Q18" i="1"/>
  <c r="R14" i="9"/>
  <c r="R15" i="32"/>
  <c r="R21" i="37"/>
  <c r="H17" i="1"/>
  <c r="H25" i="1"/>
  <c r="H30" i="1"/>
  <c r="J26" i="1"/>
  <c r="H33" i="1"/>
  <c r="L33" i="1"/>
  <c r="H23" i="1"/>
  <c r="H22" i="1"/>
  <c r="H26" i="1"/>
  <c r="I27" i="1"/>
  <c r="K26" i="1"/>
  <c r="I34" i="1"/>
  <c r="J34" i="1"/>
  <c r="R13" i="27"/>
  <c r="J22" i="1"/>
  <c r="I19" i="1"/>
  <c r="H29" i="1"/>
  <c r="I29" i="1"/>
  <c r="J29" i="1"/>
  <c r="R13" i="23"/>
  <c r="T21" i="1"/>
  <c r="T17" i="1"/>
  <c r="W17" i="1"/>
  <c r="W21" i="1"/>
  <c r="Z22" i="1"/>
  <c r="R14" i="11"/>
  <c r="R13" i="26"/>
  <c r="R14" i="14"/>
  <c r="R13" i="28"/>
  <c r="R13" i="34"/>
  <c r="R14" i="10"/>
  <c r="R15" i="4"/>
  <c r="P2" i="4" s="1"/>
  <c r="R14" i="12"/>
  <c r="R16" i="4"/>
  <c r="R23" i="37"/>
  <c r="O2" i="1"/>
  <c r="O4" i="1" s="1"/>
  <c r="C16" i="1" s="1"/>
  <c r="I8" i="1"/>
  <c r="H18" i="1"/>
  <c r="H27" i="1"/>
  <c r="I26" i="1"/>
  <c r="I30" i="1"/>
  <c r="J27" i="1"/>
  <c r="H34" i="1"/>
  <c r="J33" i="1"/>
  <c r="R15" i="26"/>
  <c r="R20" i="32"/>
  <c r="R21" i="32" s="1"/>
  <c r="R20" i="28"/>
  <c r="R21" i="28" s="1"/>
  <c r="I18" i="1"/>
  <c r="H21" i="1"/>
  <c r="I22" i="1"/>
  <c r="J28" i="1"/>
  <c r="I33" i="1"/>
  <c r="J35" i="1"/>
  <c r="H32" i="1"/>
  <c r="B9" i="2"/>
  <c r="J18" i="1"/>
  <c r="B4" i="2"/>
  <c r="R23" i="15"/>
  <c r="H35" i="1"/>
  <c r="H19" i="1"/>
  <c r="I23" i="1"/>
  <c r="D60" i="34"/>
  <c r="D60" i="9"/>
  <c r="D60" i="37"/>
  <c r="D60" i="22"/>
  <c r="D60" i="12"/>
  <c r="D60" i="4"/>
  <c r="D60" i="28"/>
  <c r="D60" i="26"/>
  <c r="D60" i="32"/>
  <c r="D60" i="11"/>
  <c r="D60" i="6"/>
  <c r="D60" i="23"/>
  <c r="D60" i="10"/>
  <c r="D60" i="15"/>
  <c r="D60" i="27"/>
  <c r="D60" i="21"/>
  <c r="D60" i="24"/>
  <c r="D60" i="14"/>
  <c r="D60" i="20"/>
  <c r="D60" i="29"/>
  <c r="R16" i="32"/>
  <c r="R17" i="32" s="1"/>
  <c r="R18" i="32" s="1"/>
  <c r="R16" i="24"/>
  <c r="C62" i="2"/>
  <c r="C59" i="2"/>
  <c r="C65" i="2"/>
  <c r="C64" i="2"/>
  <c r="C66" i="2"/>
  <c r="C61" i="2"/>
  <c r="C60" i="2"/>
  <c r="C63" i="2"/>
  <c r="S12" i="24" l="1"/>
  <c r="U12" i="24" s="1"/>
  <c r="R12" i="24" s="1"/>
  <c r="T13" i="4"/>
  <c r="R13" i="4" s="1"/>
  <c r="R18" i="15"/>
  <c r="C18" i="1"/>
  <c r="B2" i="2" s="1"/>
  <c r="S13" i="29"/>
  <c r="U13" i="29" s="1"/>
  <c r="R13" i="29" s="1"/>
  <c r="S13" i="14"/>
  <c r="U13" i="14" s="1"/>
  <c r="R13" i="14" s="1"/>
  <c r="F12" i="1"/>
  <c r="R14" i="21"/>
  <c r="R15" i="15"/>
  <c r="B12" i="2"/>
  <c r="B13" i="2"/>
  <c r="B14" i="2"/>
  <c r="R15" i="21"/>
  <c r="R15" i="22"/>
  <c r="S12" i="21"/>
  <c r="U12" i="21" s="1"/>
  <c r="R12" i="21" s="1"/>
  <c r="S12" i="26"/>
  <c r="U12" i="26" s="1"/>
  <c r="R12" i="26" s="1"/>
  <c r="S12" i="20"/>
  <c r="U12" i="20" s="1"/>
  <c r="R12" i="20" s="1"/>
  <c r="S12" i="23"/>
  <c r="U12" i="23" s="1"/>
  <c r="R12" i="23" s="1"/>
  <c r="S12" i="37"/>
  <c r="V12" i="37" s="1"/>
  <c r="H3" i="1"/>
  <c r="S12" i="27"/>
  <c r="U12" i="27" s="1"/>
  <c r="R12" i="27" s="1"/>
  <c r="S12" i="22"/>
  <c r="U12" i="22" s="1"/>
  <c r="R12" i="22" s="1"/>
  <c r="S12" i="15"/>
  <c r="V12" i="15" s="1"/>
  <c r="S13" i="9"/>
  <c r="U13" i="9" s="1"/>
  <c r="R13" i="9" s="1"/>
  <c r="R15" i="9" l="1"/>
  <c r="R15" i="14"/>
  <c r="B3" i="2"/>
  <c r="C21" i="1" s="1"/>
  <c r="B8" i="2" s="1"/>
  <c r="R15" i="12"/>
  <c r="R15" i="10"/>
  <c r="R15" i="11"/>
  <c r="B25" i="1"/>
  <c r="B24" i="1"/>
  <c r="U12" i="15"/>
  <c r="R12" i="15" s="1"/>
  <c r="U12" i="37"/>
  <c r="R12" i="37" s="1"/>
  <c r="C23" i="1" l="1"/>
  <c r="B5" i="2"/>
  <c r="I6" i="1"/>
  <c r="R13" i="22" s="1"/>
  <c r="B7" i="2"/>
  <c r="B6" i="2"/>
  <c r="F29" i="1"/>
  <c r="R13" i="20" s="1"/>
  <c r="S13" i="20" s="1"/>
  <c r="T13" i="20" s="1"/>
  <c r="F16" i="1"/>
  <c r="R14" i="15" s="1"/>
  <c r="R14" i="37" l="1"/>
  <c r="R14" i="20"/>
  <c r="R15" i="20"/>
  <c r="R13" i="21"/>
  <c r="R16" i="21" s="1"/>
  <c r="C17" i="1"/>
  <c r="P35" i="2" s="1"/>
  <c r="R16" i="22"/>
  <c r="S16" i="22" s="1"/>
  <c r="T16" i="22" s="1"/>
  <c r="S13" i="22"/>
  <c r="T13" i="22" s="1"/>
  <c r="V35" i="2" l="1"/>
  <c r="W36" i="2" s="1"/>
  <c r="D35" i="2"/>
  <c r="E38" i="2" s="1"/>
  <c r="F22" i="1"/>
  <c r="J35" i="2"/>
  <c r="K40" i="2" s="1"/>
  <c r="V53" i="2"/>
  <c r="V59" i="2"/>
  <c r="W59" i="2" s="1"/>
  <c r="X59" i="2" s="1"/>
  <c r="D67" i="2" s="1"/>
  <c r="E67" i="2" s="1"/>
  <c r="D17" i="2"/>
  <c r="E17" i="2" s="1"/>
  <c r="J17" i="2"/>
  <c r="K21" i="2" s="1"/>
  <c r="F23" i="1"/>
  <c r="F24" i="1" s="1"/>
  <c r="V46" i="2"/>
  <c r="W46" i="2" s="1"/>
  <c r="W38" i="2"/>
  <c r="W35" i="2"/>
  <c r="W40" i="2"/>
  <c r="W54" i="2"/>
  <c r="W53" i="2"/>
  <c r="E53" i="2"/>
  <c r="E48" i="2"/>
  <c r="E36" i="2"/>
  <c r="E40" i="2"/>
  <c r="E49" i="2"/>
  <c r="E47" i="2"/>
  <c r="E46" i="2"/>
  <c r="E44" i="2"/>
  <c r="E52" i="2"/>
  <c r="E35" i="2"/>
  <c r="E41" i="2"/>
  <c r="Q37" i="2"/>
  <c r="Q45" i="2"/>
  <c r="Q36" i="2"/>
  <c r="Q44" i="2"/>
  <c r="Q42" i="2"/>
  <c r="Q46" i="2"/>
  <c r="Q48" i="2"/>
  <c r="Q40" i="2"/>
  <c r="Q43" i="2"/>
  <c r="Q47" i="2"/>
  <c r="Q41" i="2"/>
  <c r="Q38" i="2"/>
  <c r="Q39" i="2"/>
  <c r="Q35" i="2"/>
  <c r="K49" i="2" l="1"/>
  <c r="K35" i="2"/>
  <c r="K48" i="2"/>
  <c r="K22" i="2"/>
  <c r="K25" i="2"/>
  <c r="W39" i="2"/>
  <c r="W37" i="2"/>
  <c r="X35" i="2" s="1"/>
  <c r="D64" i="2" s="1"/>
  <c r="E64" i="2" s="1"/>
  <c r="W48" i="2"/>
  <c r="E54" i="2"/>
  <c r="E37" i="2"/>
  <c r="E43" i="2"/>
  <c r="B49" i="2" s="1"/>
  <c r="E55" i="2"/>
  <c r="E45" i="2"/>
  <c r="E21" i="2"/>
  <c r="E42" i="2"/>
  <c r="B48" i="2" s="1"/>
  <c r="E39" i="2"/>
  <c r="E50" i="2"/>
  <c r="E51" i="2"/>
  <c r="K18" i="2"/>
  <c r="K50" i="2"/>
  <c r="K53" i="2"/>
  <c r="K57" i="2"/>
  <c r="K42" i="2"/>
  <c r="K29" i="2"/>
  <c r="K54" i="2"/>
  <c r="K41" i="2"/>
  <c r="K36" i="2"/>
  <c r="K55" i="2"/>
  <c r="K27" i="2"/>
  <c r="E20" i="2"/>
  <c r="K46" i="2"/>
  <c r="K60" i="2"/>
  <c r="K59" i="2"/>
  <c r="K31" i="2"/>
  <c r="K19" i="2"/>
  <c r="K44" i="2"/>
  <c r="K37" i="2"/>
  <c r="K47" i="2"/>
  <c r="K39" i="2"/>
  <c r="K61" i="2"/>
  <c r="K58" i="2"/>
  <c r="K28" i="2"/>
  <c r="K30" i="2"/>
  <c r="K26" i="2"/>
  <c r="K23" i="2"/>
  <c r="E22" i="2"/>
  <c r="K56" i="2"/>
  <c r="K43" i="2"/>
  <c r="K52" i="2"/>
  <c r="K51" i="2"/>
  <c r="K45" i="2"/>
  <c r="K38" i="2"/>
  <c r="K20" i="2"/>
  <c r="K24" i="2"/>
  <c r="H26" i="2" s="1"/>
  <c r="K17" i="2"/>
  <c r="E18" i="2"/>
  <c r="E19" i="2"/>
  <c r="E23" i="2"/>
  <c r="W47" i="2"/>
  <c r="X46" i="2" s="1"/>
  <c r="D65" i="2" s="1"/>
  <c r="E65" i="2" s="1"/>
  <c r="X53" i="2"/>
  <c r="D66" i="2" s="1"/>
  <c r="E66" i="2" s="1"/>
  <c r="N45" i="2"/>
  <c r="N44" i="2"/>
  <c r="B50" i="2"/>
  <c r="H53" i="2" l="1"/>
  <c r="H50" i="2"/>
  <c r="H25" i="2"/>
  <c r="L17" i="2" s="1"/>
  <c r="D60" i="2" s="1"/>
  <c r="E60" i="2" s="1"/>
  <c r="H51" i="2"/>
  <c r="H52" i="2"/>
  <c r="F17" i="2"/>
  <c r="D59" i="2" s="1"/>
  <c r="E59" i="2" s="1"/>
  <c r="R35" i="2"/>
  <c r="D63" i="2" s="1"/>
  <c r="E63" i="2" s="1"/>
  <c r="F35" i="2"/>
  <c r="D61" i="2" s="1"/>
  <c r="E61" i="2" s="1"/>
  <c r="L35" i="2" l="1"/>
  <c r="D62" i="2" s="1"/>
  <c r="E62" i="2" s="1"/>
  <c r="E13" i="2" s="1"/>
  <c r="B26" i="1" s="1"/>
</calcChain>
</file>

<file path=xl/comments1.xml><?xml version="1.0" encoding="utf-8"?>
<comments xmlns="http://schemas.openxmlformats.org/spreadsheetml/2006/main">
  <authors>
    <author>NOK</author>
  </authors>
  <commentList>
    <comment ref="C3" authorId="0" shapeId="0">
      <text>
        <r>
          <rPr>
            <b/>
            <sz val="8"/>
            <color indexed="81"/>
            <rFont val="Tahoma"/>
            <family val="2"/>
          </rPr>
          <t>Please enter the product code as:
xxx_xxxx_xxx
        [ OR ]
XXX_ _ XXX _ XXX</t>
        </r>
      </text>
    </comment>
  </commentList>
</comments>
</file>

<file path=xl/sharedStrings.xml><?xml version="1.0" encoding="utf-8"?>
<sst xmlns="http://schemas.openxmlformats.org/spreadsheetml/2006/main" count="771" uniqueCount="164">
  <si>
    <t>Description</t>
  </si>
  <si>
    <t>Value</t>
  </si>
  <si>
    <t>Dd</t>
  </si>
  <si>
    <t>Dp</t>
  </si>
  <si>
    <t>Di</t>
  </si>
  <si>
    <t>H</t>
  </si>
  <si>
    <t>t</t>
  </si>
  <si>
    <t>D ( Blanking diameter)</t>
  </si>
  <si>
    <t>Dp - Di</t>
  </si>
  <si>
    <t>Dp/D</t>
  </si>
  <si>
    <t>A</t>
  </si>
  <si>
    <t>B</t>
  </si>
  <si>
    <t>Knockout Collar (NC)</t>
  </si>
  <si>
    <t>Inner Punch (IP)</t>
  </si>
  <si>
    <t>C</t>
  </si>
  <si>
    <t>D</t>
  </si>
  <si>
    <t>Outer Punch (OP)</t>
  </si>
  <si>
    <t>Stripper (ST)</t>
  </si>
  <si>
    <t>Outer Die (OD)</t>
  </si>
  <si>
    <t>Ejector Collar (EC)</t>
  </si>
  <si>
    <t>Drawing Punch (SP)</t>
  </si>
  <si>
    <t>D round off to the nearest 0.05</t>
  </si>
  <si>
    <t>Width of Coil (Size available?)</t>
  </si>
  <si>
    <t>Blank 1</t>
  </si>
  <si>
    <t>Blank 2</t>
  </si>
  <si>
    <t>Material Side Clearance</t>
  </si>
  <si>
    <t>Coil width 1</t>
  </si>
  <si>
    <t>Coil width 2</t>
  </si>
  <si>
    <t>R/feeder 1</t>
  </si>
  <si>
    <t>R/feeder 2</t>
  </si>
  <si>
    <t>Intermediate Functions</t>
  </si>
  <si>
    <t>Die Structure (temp1)</t>
  </si>
  <si>
    <t>Die Structure (temp2)</t>
  </si>
  <si>
    <t>Trimming? (y/n)</t>
  </si>
  <si>
    <t>blank width</t>
  </si>
  <si>
    <t>DATE</t>
  </si>
  <si>
    <t>PRODUCT CODE :</t>
  </si>
  <si>
    <t>Die structure (FSA~FDL)</t>
  </si>
  <si>
    <t xml:space="preserve">FSA ~ C &amp; FDA ~ FDH </t>
  </si>
  <si>
    <t>FDH ~ FDL</t>
  </si>
  <si>
    <t>No Trimming</t>
  </si>
  <si>
    <t>Trimming</t>
  </si>
  <si>
    <r>
      <t xml:space="preserve"> B.P = Dp</t>
    </r>
    <r>
      <rPr>
        <b/>
        <vertAlign val="superscript"/>
        <sz val="10"/>
        <color indexed="18"/>
        <rFont val="Arial"/>
        <family val="2"/>
      </rPr>
      <t>2</t>
    </r>
    <r>
      <rPr>
        <b/>
        <sz val="10"/>
        <color indexed="18"/>
        <rFont val="Arial"/>
        <family val="2"/>
      </rPr>
      <t xml:space="preserve"> + 4 (H - t/2) Dp </t>
    </r>
  </si>
  <si>
    <r>
      <t xml:space="preserve"> B.P = Dp</t>
    </r>
    <r>
      <rPr>
        <b/>
        <vertAlign val="superscript"/>
        <sz val="10"/>
        <color indexed="18"/>
        <rFont val="Arial"/>
        <family val="2"/>
      </rPr>
      <t>2</t>
    </r>
    <r>
      <rPr>
        <b/>
        <sz val="10"/>
        <color indexed="18"/>
        <rFont val="Arial"/>
        <family val="2"/>
      </rPr>
      <t xml:space="preserve"> + 4 (H - t/2 + 0.5)Dp </t>
    </r>
  </si>
  <si>
    <r>
      <t xml:space="preserve"> B.P = Dp</t>
    </r>
    <r>
      <rPr>
        <b/>
        <vertAlign val="superscript"/>
        <sz val="10"/>
        <color indexed="18"/>
        <rFont val="Arial"/>
        <family val="2"/>
      </rPr>
      <t>2</t>
    </r>
    <r>
      <rPr>
        <b/>
        <sz val="10"/>
        <color indexed="18"/>
        <rFont val="Arial"/>
        <family val="2"/>
      </rPr>
      <t xml:space="preserve"> + 4 (H - t + 0.5)Dp + 0.45t</t>
    </r>
  </si>
  <si>
    <r>
      <t xml:space="preserve"> B.P =   Dp</t>
    </r>
    <r>
      <rPr>
        <b/>
        <vertAlign val="superscript"/>
        <sz val="10"/>
        <color indexed="18"/>
        <rFont val="Arial"/>
        <family val="2"/>
      </rPr>
      <t>2</t>
    </r>
    <r>
      <rPr>
        <b/>
        <sz val="10"/>
        <color indexed="18"/>
        <rFont val="Arial"/>
        <family val="2"/>
      </rPr>
      <t xml:space="preserve"> + 4 ( H - t ) Dp  +  0.45t</t>
    </r>
  </si>
  <si>
    <t>OPPSITE PIERCING</t>
  </si>
  <si>
    <t>Material Thickness</t>
  </si>
  <si>
    <t>Material Available</t>
  </si>
  <si>
    <t>1=C-type,        2=C-type(S),         3=B-type 
4=Inside M/C for Assy type
5=C-type(Dp+/-0.05)              6=OD Grind</t>
  </si>
  <si>
    <t>Designed by</t>
  </si>
  <si>
    <t>Checked by</t>
  </si>
  <si>
    <t>Condition</t>
  </si>
  <si>
    <t>DESCRIPTION</t>
  </si>
  <si>
    <t>REV.</t>
  </si>
  <si>
    <t>APP.</t>
  </si>
  <si>
    <t>REVISION</t>
  </si>
  <si>
    <t xml:space="preserve"> APPROVED</t>
  </si>
  <si>
    <t xml:space="preserve"> NAME</t>
  </si>
  <si>
    <t xml:space="preserve"> MATERIAL</t>
  </si>
  <si>
    <t xml:space="preserve"> QUANTITY</t>
  </si>
  <si>
    <t>KNOCKOUT COLLAR</t>
  </si>
  <si>
    <t xml:space="preserve"> CHECKED</t>
  </si>
  <si>
    <t xml:space="preserve"> DRAWING  NO.</t>
  </si>
  <si>
    <t xml:space="preserve"> DESIGNED</t>
  </si>
  <si>
    <t xml:space="preserve"> DATE</t>
  </si>
  <si>
    <t>SCALE</t>
  </si>
  <si>
    <t xml:space="preserve">       FREE</t>
  </si>
  <si>
    <t xml:space="preserve">SHEET                 </t>
  </si>
  <si>
    <t xml:space="preserve"> OF</t>
  </si>
  <si>
    <t>FM-DD-7005, Rev. 0, p1/1</t>
  </si>
  <si>
    <t>Di =</t>
  </si>
  <si>
    <t>a</t>
  </si>
  <si>
    <t>b</t>
  </si>
  <si>
    <t>DC 53</t>
  </si>
  <si>
    <t>INNER PUNCH</t>
  </si>
  <si>
    <t>49-t</t>
  </si>
  <si>
    <t>Dp-Di</t>
  </si>
  <si>
    <t>NO PIERCING</t>
  </si>
  <si>
    <t>Total Length A</t>
  </si>
  <si>
    <t>M/C Width</t>
  </si>
  <si>
    <t>B-2</t>
  </si>
  <si>
    <t>B=A-40</t>
  </si>
  <si>
    <t>OUTER PUNCH</t>
  </si>
  <si>
    <t>Radius "R"</t>
  </si>
  <si>
    <t>OD (Dd)</t>
  </si>
  <si>
    <t>OUTER DIE</t>
  </si>
  <si>
    <t>a + 22</t>
  </si>
  <si>
    <t>a + 15</t>
  </si>
  <si>
    <t>EJECTOR COLLAR</t>
  </si>
  <si>
    <t>a + 11.5</t>
  </si>
  <si>
    <t xml:space="preserve"> 9 &lt; Dp - Di</t>
  </si>
  <si>
    <t>O.P "B" -3</t>
  </si>
  <si>
    <t>O.P "B" - 3 -r3</t>
  </si>
  <si>
    <t>Outer.Punch "B"</t>
  </si>
  <si>
    <r>
      <t xml:space="preserve"> </t>
    </r>
    <r>
      <rPr>
        <sz val="10"/>
        <rFont val="Arial"/>
        <family val="2"/>
      </rPr>
      <t xml:space="preserve">  9&lt; Dp - Di</t>
    </r>
  </si>
  <si>
    <t>FDB (SSX) Structure Design</t>
  </si>
  <si>
    <t>INNER PUNCH HOLDER</t>
  </si>
  <si>
    <t>SKS 3</t>
  </si>
  <si>
    <t>32 &lt; Di  Condition</t>
  </si>
  <si>
    <r>
      <t>h</t>
    </r>
    <r>
      <rPr>
        <b/>
        <vertAlign val="subscript"/>
        <sz val="11"/>
        <rFont val="Comic Sans MS"/>
        <family val="4"/>
      </rPr>
      <t xml:space="preserve">f </t>
    </r>
    <r>
      <rPr>
        <vertAlign val="subscript"/>
        <sz val="11"/>
        <rFont val="Comic Sans MS"/>
        <family val="4"/>
      </rPr>
      <t xml:space="preserve"> </t>
    </r>
    <r>
      <rPr>
        <sz val="11"/>
        <rFont val="Comic Sans MS"/>
        <family val="4"/>
      </rPr>
      <t>(For Inner bend Item)</t>
    </r>
  </si>
  <si>
    <r>
      <t xml:space="preserve">  Dp-Di </t>
    </r>
    <r>
      <rPr>
        <sz val="10"/>
        <rFont val="Symbol"/>
        <family val="1"/>
        <charset val="2"/>
      </rPr>
      <t>£</t>
    </r>
    <r>
      <rPr>
        <sz val="10"/>
        <rFont val="Arial"/>
        <family val="2"/>
      </rPr>
      <t xml:space="preserve"> 10</t>
    </r>
  </si>
  <si>
    <t>18 &lt; Di &lt; 32</t>
  </si>
  <si>
    <t>NO Piercing Condition</t>
  </si>
  <si>
    <t>DRAWING PUNCH</t>
  </si>
  <si>
    <t>DC53</t>
  </si>
  <si>
    <t>BEND DOWN</t>
  </si>
  <si>
    <t>SSU</t>
  </si>
  <si>
    <t>BEND UP</t>
  </si>
  <si>
    <t>SSS</t>
  </si>
  <si>
    <t>SXX</t>
  </si>
  <si>
    <r>
      <t xml:space="preserve">18 &lt;  Di </t>
    </r>
    <r>
      <rPr>
        <sz val="10"/>
        <rFont val="Symbol"/>
        <family val="1"/>
        <charset val="2"/>
      </rPr>
      <t xml:space="preserve"> </t>
    </r>
    <r>
      <rPr>
        <sz val="10"/>
        <rFont val="Arial"/>
        <family val="2"/>
      </rPr>
      <t>≤ 32 Condition</t>
    </r>
  </si>
  <si>
    <t>Dp-Di  ≤  10</t>
  </si>
  <si>
    <t xml:space="preserve"> Dp - Di ≤  9</t>
  </si>
  <si>
    <t xml:space="preserve"> Dp - Di ≤  10</t>
  </si>
  <si>
    <t>ENTER VALUE HERE</t>
  </si>
  <si>
    <t>W</t>
  </si>
  <si>
    <t>??</t>
  </si>
  <si>
    <t>X</t>
  </si>
  <si>
    <t>Y</t>
  </si>
  <si>
    <t>Z</t>
  </si>
  <si>
    <t>θ°</t>
  </si>
  <si>
    <t>Degree</t>
  </si>
  <si>
    <t>Minute</t>
  </si>
  <si>
    <t>32 &lt; Di</t>
  </si>
  <si>
    <t>a - X</t>
  </si>
  <si>
    <t>PRE-PIERCING</t>
  </si>
  <si>
    <t>R</t>
  </si>
  <si>
    <t xml:space="preserve"> </t>
  </si>
  <si>
    <r>
      <t>Æ</t>
    </r>
    <r>
      <rPr>
        <sz val="11"/>
        <color indexed="12"/>
        <rFont val="Arial"/>
        <family val="2"/>
      </rPr>
      <t>32 &lt; Di</t>
    </r>
  </si>
  <si>
    <r>
      <t>Æ</t>
    </r>
    <r>
      <rPr>
        <sz val="11"/>
        <color indexed="12"/>
        <rFont val="Arial"/>
        <family val="2"/>
      </rPr>
      <t xml:space="preserve">18 &lt;  Di  ≤ </t>
    </r>
    <r>
      <rPr>
        <sz val="11"/>
        <color indexed="12"/>
        <rFont val="Symbol"/>
        <family val="1"/>
        <charset val="2"/>
      </rPr>
      <t>Æ</t>
    </r>
    <r>
      <rPr>
        <sz val="11"/>
        <color indexed="12"/>
        <rFont val="Arial"/>
        <family val="2"/>
      </rPr>
      <t>32</t>
    </r>
  </si>
  <si>
    <r>
      <t xml:space="preserve">                                  Dp-Di  ≤ </t>
    </r>
    <r>
      <rPr>
        <sz val="11"/>
        <color indexed="12"/>
        <rFont val="Arial"/>
        <family val="2"/>
      </rPr>
      <t>Ø</t>
    </r>
    <r>
      <rPr>
        <sz val="11"/>
        <color indexed="12"/>
        <rFont val="Arial"/>
        <family val="2"/>
      </rPr>
      <t>10</t>
    </r>
  </si>
  <si>
    <r>
      <t xml:space="preserve">Dp-Di  ≤ </t>
    </r>
    <r>
      <rPr>
        <sz val="11"/>
        <color indexed="12"/>
        <rFont val="Arial"/>
        <family val="2"/>
      </rPr>
      <t>Ø</t>
    </r>
    <r>
      <rPr>
        <sz val="11"/>
        <color indexed="12"/>
        <rFont val="Arial"/>
        <family val="2"/>
      </rPr>
      <t>10 ,</t>
    </r>
    <r>
      <rPr>
        <sz val="11"/>
        <color indexed="12"/>
        <rFont val="Arial"/>
        <family val="2"/>
      </rPr>
      <t>Ø</t>
    </r>
    <r>
      <rPr>
        <sz val="11"/>
        <color indexed="12"/>
        <rFont val="Arial"/>
        <family val="2"/>
      </rPr>
      <t xml:space="preserve">18 &lt; Di &lt; </t>
    </r>
    <r>
      <rPr>
        <sz val="11"/>
        <color indexed="12"/>
        <rFont val="Arial"/>
        <family val="2"/>
      </rPr>
      <t>Ø</t>
    </r>
    <r>
      <rPr>
        <sz val="11"/>
        <color indexed="12"/>
        <rFont val="Arial"/>
        <family val="2"/>
      </rPr>
      <t>32</t>
    </r>
  </si>
  <si>
    <r>
      <t xml:space="preserve">                                  </t>
    </r>
    <r>
      <rPr>
        <sz val="11"/>
        <color indexed="12"/>
        <rFont val="Arial"/>
        <family val="2"/>
      </rPr>
      <t>Ø</t>
    </r>
    <r>
      <rPr>
        <sz val="11"/>
        <color indexed="12"/>
        <rFont val="Arial"/>
        <family val="2"/>
      </rPr>
      <t>9 &lt; Dp - Di</t>
    </r>
  </si>
  <si>
    <r>
      <t xml:space="preserve">                                Dp - Di   ≤  </t>
    </r>
    <r>
      <rPr>
        <sz val="11"/>
        <color indexed="12"/>
        <rFont val="Arial"/>
        <family val="2"/>
      </rPr>
      <t>Ø</t>
    </r>
    <r>
      <rPr>
        <sz val="11"/>
        <color indexed="12"/>
        <rFont val="Arial"/>
        <family val="2"/>
      </rPr>
      <t>9</t>
    </r>
  </si>
  <si>
    <t xml:space="preserve">                                Dp - Di   ≤  Ø9</t>
  </si>
  <si>
    <t xml:space="preserve">                                Dp - Di   ≤  Ø10</t>
  </si>
  <si>
    <t xml:space="preserve">                          Ø9  &lt;   Dp - Di</t>
  </si>
  <si>
    <t>Size</t>
  </si>
  <si>
    <t>Available</t>
  </si>
  <si>
    <t>Material Summary</t>
  </si>
  <si>
    <t xml:space="preserve">Material </t>
  </si>
  <si>
    <t>NA</t>
  </si>
  <si>
    <t>1s</t>
  </si>
  <si>
    <t>1S</t>
  </si>
  <si>
    <t>N</t>
  </si>
  <si>
    <t>DIE CODE</t>
  </si>
  <si>
    <t>PRODUCT CODE</t>
  </si>
  <si>
    <t>REFERENCE TABLE</t>
  </si>
  <si>
    <r>
      <t xml:space="preserve">10  </t>
    </r>
    <r>
      <rPr>
        <sz val="10"/>
        <rFont val="Symbol"/>
        <family val="1"/>
        <charset val="2"/>
      </rPr>
      <t xml:space="preserve"> </t>
    </r>
    <r>
      <rPr>
        <sz val="10"/>
        <rFont val="Arial"/>
        <family val="2"/>
      </rPr>
      <t>≤ Dp - Di</t>
    </r>
  </si>
  <si>
    <t>Ø32 &lt; Di</t>
  </si>
  <si>
    <t>KEE</t>
  </si>
  <si>
    <t>hf</t>
  </si>
  <si>
    <r>
      <t xml:space="preserve"> 0 &lt; hf </t>
    </r>
    <r>
      <rPr>
        <b/>
        <sz val="10"/>
        <color rgb="FF0000FF"/>
        <rFont val="Calibri"/>
        <family val="2"/>
      </rPr>
      <t>≤</t>
    </r>
    <r>
      <rPr>
        <b/>
        <sz val="10"/>
        <color rgb="FF0000FF"/>
        <rFont val="Arial"/>
        <family val="2"/>
      </rPr>
      <t xml:space="preserve"> 0.5t</t>
    </r>
  </si>
  <si>
    <r>
      <t xml:space="preserve"> B.P = Dp</t>
    </r>
    <r>
      <rPr>
        <b/>
        <vertAlign val="superscript"/>
        <sz val="10"/>
        <color indexed="18"/>
        <rFont val="Arial"/>
        <family val="2"/>
      </rPr>
      <t>2</t>
    </r>
    <r>
      <rPr>
        <b/>
        <sz val="10"/>
        <color indexed="18"/>
        <rFont val="Arial"/>
        <family val="2"/>
      </rPr>
      <t xml:space="preserve"> + 4 (H - t/2 + C )Dp </t>
    </r>
  </si>
  <si>
    <t>InnerBend</t>
  </si>
  <si>
    <r>
      <t xml:space="preserve"> 0.5t &lt; hf </t>
    </r>
    <r>
      <rPr>
        <b/>
        <sz val="10"/>
        <color rgb="FF0000FF"/>
        <rFont val="Calibri"/>
        <family val="2"/>
      </rPr>
      <t>≤</t>
    </r>
    <r>
      <rPr>
        <b/>
        <sz val="10"/>
        <color rgb="FF0000FF"/>
        <rFont val="Arial"/>
        <family val="2"/>
      </rPr>
      <t xml:space="preserve"> 1t</t>
    </r>
  </si>
  <si>
    <r>
      <t xml:space="preserve"> 1t &lt; hf </t>
    </r>
    <r>
      <rPr>
        <b/>
        <sz val="10"/>
        <color rgb="FF0000FF"/>
        <rFont val="Calibri"/>
        <family val="2"/>
      </rPr>
      <t>≤</t>
    </r>
    <r>
      <rPr>
        <b/>
        <sz val="10"/>
        <color rgb="FF0000FF"/>
        <rFont val="Arial"/>
        <family val="2"/>
      </rPr>
      <t xml:space="preserve"> 1.5t</t>
    </r>
  </si>
  <si>
    <r>
      <t xml:space="preserve"> 1.5t &lt; hf </t>
    </r>
    <r>
      <rPr>
        <b/>
        <sz val="10"/>
        <color rgb="FF0000FF"/>
        <rFont val="Calibri"/>
        <family val="2"/>
      </rPr>
      <t>≤</t>
    </r>
    <r>
      <rPr>
        <b/>
        <sz val="10"/>
        <color rgb="FF0000FF"/>
        <rFont val="Arial"/>
        <family val="2"/>
      </rPr>
      <t xml:space="preserve"> 2t</t>
    </r>
  </si>
  <si>
    <r>
      <t xml:space="preserve"> 2t &lt; hf </t>
    </r>
    <r>
      <rPr>
        <b/>
        <sz val="10"/>
        <color rgb="FF0000FF"/>
        <rFont val="Calibri"/>
        <family val="2"/>
      </rPr>
      <t>≤</t>
    </r>
    <r>
      <rPr>
        <b/>
        <sz val="10"/>
        <color rgb="FF0000FF"/>
        <rFont val="Arial"/>
        <family val="2"/>
      </rPr>
      <t xml:space="preserve"> 2.5t</t>
    </r>
  </si>
  <si>
    <t>C-Value</t>
  </si>
  <si>
    <r>
      <t xml:space="preserve"> B.P = Dp</t>
    </r>
    <r>
      <rPr>
        <b/>
        <vertAlign val="superscript"/>
        <sz val="10"/>
        <color indexed="18"/>
        <rFont val="Arial"/>
        <family val="2"/>
      </rPr>
      <t>2</t>
    </r>
    <r>
      <rPr>
        <b/>
        <sz val="10"/>
        <color indexed="18"/>
        <rFont val="Arial"/>
        <family val="2"/>
      </rPr>
      <t xml:space="preserve"> + 4 (H - t/2 + C + 0.5 )Dp </t>
    </r>
  </si>
  <si>
    <t>Trimming + Innerbend</t>
  </si>
  <si>
    <t>NAH 0609 A01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</si>
</sst>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&quot;$&quot;* #,##0.00_);_(&quot;$&quot;* \(#,##0.00\);_(&quot;$&quot;* &quot;-&quot;??_);_(@_)"/>
    <numFmt numFmtId="165" formatCode="0.0"/>
    <numFmt numFmtId="166" formatCode="0.0000"/>
    <numFmt numFmtId="167" formatCode="dd/mm/yy;@"/>
  </numFmts>
  <fonts count="88" x14ac:knownFonts="1">
    <font>
      <sz val="10"/>
      <name val="Arial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indexed="12"/>
      <name val="Arial"/>
      <family val="2"/>
    </font>
    <font>
      <sz val="10"/>
      <name val="Comic Sans MS"/>
      <family val="4"/>
    </font>
    <font>
      <b/>
      <u/>
      <sz val="16"/>
      <color indexed="18"/>
      <name val="Comic Sans MS"/>
      <family val="4"/>
    </font>
    <font>
      <u/>
      <sz val="16"/>
      <color indexed="18"/>
      <name val="Comic Sans MS"/>
      <family val="4"/>
    </font>
    <font>
      <sz val="16"/>
      <color indexed="18"/>
      <name val="Comic Sans MS"/>
      <family val="4"/>
    </font>
    <font>
      <sz val="14"/>
      <color indexed="18"/>
      <name val="Comic Sans MS"/>
      <family val="4"/>
    </font>
    <font>
      <sz val="11"/>
      <name val="Comic Sans MS"/>
      <family val="4"/>
    </font>
    <font>
      <sz val="11"/>
      <name val="Arial"/>
      <family val="2"/>
    </font>
    <font>
      <b/>
      <sz val="11"/>
      <name val="Comic Sans MS"/>
      <family val="4"/>
    </font>
    <font>
      <b/>
      <i/>
      <sz val="11"/>
      <color indexed="18"/>
      <name val="Comic Sans MS"/>
      <family val="4"/>
    </font>
    <font>
      <b/>
      <sz val="20"/>
      <color indexed="18"/>
      <name val="Comic Sans MS"/>
      <family val="4"/>
    </font>
    <font>
      <sz val="11"/>
      <color indexed="16"/>
      <name val="Comic Sans MS"/>
      <family val="4"/>
    </font>
    <font>
      <b/>
      <sz val="14"/>
      <color indexed="10"/>
      <name val="Comic Sans MS"/>
      <family val="4"/>
    </font>
    <font>
      <b/>
      <i/>
      <sz val="14"/>
      <color indexed="10"/>
      <name val="Comic Sans MS"/>
      <family val="4"/>
    </font>
    <font>
      <i/>
      <sz val="11"/>
      <color indexed="18"/>
      <name val="Comic Sans MS"/>
      <family val="4"/>
    </font>
    <font>
      <b/>
      <sz val="10"/>
      <color indexed="18"/>
      <name val="Arial"/>
      <family val="2"/>
    </font>
    <font>
      <b/>
      <vertAlign val="superscript"/>
      <sz val="10"/>
      <color indexed="18"/>
      <name val="Arial"/>
      <family val="2"/>
    </font>
    <font>
      <b/>
      <sz val="14"/>
      <color indexed="10"/>
      <name val="Arial"/>
      <family val="2"/>
    </font>
    <font>
      <sz val="8"/>
      <name val="Comic Sans MS"/>
      <family val="4"/>
    </font>
    <font>
      <i/>
      <sz val="11"/>
      <name val="Comic Sans MS"/>
      <family val="4"/>
    </font>
    <font>
      <b/>
      <i/>
      <sz val="10"/>
      <color indexed="18"/>
      <name val="Comic Sans MS"/>
      <family val="4"/>
    </font>
    <font>
      <b/>
      <sz val="10"/>
      <color indexed="18"/>
      <name val="Arial"/>
      <family val="2"/>
    </font>
    <font>
      <b/>
      <sz val="10"/>
      <color indexed="18"/>
      <name val="Comic Sans MS"/>
      <family val="4"/>
    </font>
    <font>
      <sz val="14"/>
      <name val="Comic Sans MS"/>
      <family val="4"/>
    </font>
    <font>
      <sz val="11"/>
      <color indexed="18"/>
      <name val="Comic Sans MS"/>
      <family val="4"/>
    </font>
    <font>
      <sz val="10"/>
      <color indexed="18"/>
      <name val="Comic Sans MS"/>
      <family val="4"/>
    </font>
    <font>
      <sz val="14"/>
      <color indexed="10"/>
      <name val="Comic Sans MS"/>
      <family val="4"/>
    </font>
    <font>
      <sz val="10"/>
      <name val="Arial"/>
      <family val="2"/>
    </font>
    <font>
      <b/>
      <i/>
      <sz val="10"/>
      <color indexed="10"/>
      <name val="Comic Sans MS"/>
      <family val="4"/>
    </font>
    <font>
      <b/>
      <sz val="12"/>
      <name val="Comic Sans MS"/>
      <family val="4"/>
    </font>
    <font>
      <b/>
      <sz val="8"/>
      <color indexed="81"/>
      <name val="Tahoma"/>
      <family val="2"/>
    </font>
    <font>
      <sz val="10"/>
      <name val="MS Sans Serif"/>
    </font>
    <font>
      <sz val="8"/>
      <name val="Arial"/>
      <family val="2"/>
    </font>
    <font>
      <sz val="10"/>
      <color indexed="10"/>
      <name val="Symbol"/>
      <family val="1"/>
      <charset val="2"/>
    </font>
    <font>
      <sz val="12"/>
      <color indexed="10"/>
      <name val="Symbol"/>
      <family val="1"/>
      <charset val="2"/>
    </font>
    <font>
      <sz val="9"/>
      <name val="Arial"/>
      <family val="2"/>
    </font>
    <font>
      <sz val="18"/>
      <name val="Txt"/>
    </font>
    <font>
      <sz val="9"/>
      <name val="Arial"/>
      <family val="2"/>
    </font>
    <font>
      <sz val="18"/>
      <name val="Arial"/>
      <family val="2"/>
    </font>
    <font>
      <sz val="10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sz val="14"/>
      <name val="Arial"/>
      <family val="2"/>
    </font>
    <font>
      <sz val="11"/>
      <name val="Arial"/>
      <family val="2"/>
    </font>
    <font>
      <b/>
      <sz val="14"/>
      <color indexed="12"/>
      <name val="Arial"/>
      <family val="2"/>
    </font>
    <font>
      <b/>
      <sz val="12"/>
      <color indexed="12"/>
      <name val="Arial"/>
      <family val="2"/>
    </font>
    <font>
      <sz val="12"/>
      <name val="Arial"/>
      <family val="2"/>
    </font>
    <font>
      <sz val="14"/>
      <color indexed="12"/>
      <name val="Arial"/>
      <family val="2"/>
    </font>
    <font>
      <sz val="8"/>
      <name val="Times New Roman"/>
      <family val="1"/>
    </font>
    <font>
      <sz val="18"/>
      <name val="Times New Roman"/>
      <family val="1"/>
    </font>
    <font>
      <sz val="10"/>
      <color indexed="10"/>
      <name val="Arial"/>
      <family val="2"/>
    </font>
    <font>
      <sz val="14"/>
      <color indexed="12"/>
      <name val="Comic Sans MS"/>
      <family val="4"/>
    </font>
    <font>
      <sz val="10"/>
      <color indexed="9"/>
      <name val="Comic Sans MS"/>
      <family val="4"/>
    </font>
    <font>
      <sz val="10"/>
      <color indexed="12"/>
      <name val="Arial"/>
      <family val="2"/>
    </font>
    <font>
      <sz val="8"/>
      <name val="Symbol"/>
      <family val="1"/>
      <charset val="2"/>
    </font>
    <font>
      <sz val="10"/>
      <name val="Symbol"/>
      <family val="1"/>
      <charset val="2"/>
    </font>
    <font>
      <sz val="8"/>
      <name val="Times"/>
      <family val="1"/>
    </font>
    <font>
      <b/>
      <sz val="11"/>
      <color indexed="12"/>
      <name val="Comic Sans MS"/>
      <family val="4"/>
    </font>
    <font>
      <vertAlign val="subscript"/>
      <sz val="11"/>
      <name val="Comic Sans MS"/>
      <family val="4"/>
    </font>
    <font>
      <b/>
      <vertAlign val="subscript"/>
      <sz val="11"/>
      <name val="Comic Sans MS"/>
      <family val="4"/>
    </font>
    <font>
      <sz val="10"/>
      <color indexed="9"/>
      <name val="Arial"/>
      <family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11"/>
      <color indexed="12"/>
      <name val="Arial"/>
      <family val="2"/>
    </font>
    <font>
      <sz val="11"/>
      <color indexed="12"/>
      <name val="Symbol"/>
      <family val="1"/>
      <charset val="2"/>
    </font>
    <font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10"/>
      <color indexed="12"/>
      <name val="Times New Roman"/>
      <family val="1"/>
    </font>
    <font>
      <b/>
      <sz val="12"/>
      <color indexed="12"/>
      <name val="Times New Roman"/>
      <family val="1"/>
    </font>
    <font>
      <sz val="10"/>
      <color theme="0"/>
      <name val="Arial"/>
      <family val="2"/>
    </font>
    <font>
      <b/>
      <sz val="12"/>
      <color rgb="FF0000FF"/>
      <name val="Times New Roman"/>
      <family val="1"/>
    </font>
    <font>
      <b/>
      <sz val="10"/>
      <color rgb="FF0033CC"/>
      <name val="Arial"/>
      <family val="2"/>
    </font>
    <font>
      <b/>
      <sz val="12"/>
      <color rgb="FF0033CC"/>
      <name val="Times New Roman"/>
      <family val="1"/>
    </font>
    <font>
      <b/>
      <sz val="14"/>
      <color indexed="12"/>
      <name val="Times New Roman"/>
      <family val="1"/>
    </font>
    <font>
      <b/>
      <sz val="10"/>
      <color rgb="FF0000FF"/>
      <name val="Times New Roman"/>
      <family val="1"/>
    </font>
    <font>
      <b/>
      <sz val="11"/>
      <color indexed="12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0"/>
      <name val="Comic Sans MS"/>
      <family val="4"/>
    </font>
    <font>
      <b/>
      <sz val="10"/>
      <color rgb="FF0000FF"/>
      <name val="Arial"/>
      <family val="2"/>
    </font>
    <font>
      <sz val="10"/>
      <color rgb="FFFF0000"/>
      <name val="Arial"/>
      <family val="2"/>
    </font>
    <font>
      <b/>
      <sz val="10"/>
      <color rgb="FF0000FF"/>
      <name val="Calibri"/>
      <family val="2"/>
    </font>
    <font>
      <b/>
      <sz val="14"/>
      <color rgb="FF0000FF"/>
      <name val="Times New Roman"/>
      <family val="1"/>
    </font>
    <font>
      <sz val="9"/>
      <name val="Comic Sans MS"/>
      <family val="4"/>
    </font>
    <font>
      <b/>
      <sz val="11"/>
      <color rgb="FF0000FF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34" fillId="0" borderId="0"/>
  </cellStyleXfs>
  <cellXfs count="510">
    <xf numFmtId="0" fontId="0" fillId="0" borderId="0" xfId="0"/>
    <xf numFmtId="2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Fill="1" applyBorder="1" applyAlignment="1">
      <alignment horizontal="center"/>
    </xf>
    <xf numFmtId="0" fontId="18" fillId="0" borderId="0" xfId="0" applyFont="1" applyBorder="1"/>
    <xf numFmtId="0" fontId="20" fillId="0" borderId="0" xfId="0" applyFont="1"/>
    <xf numFmtId="0" fontId="15" fillId="2" borderId="0" xfId="0" applyFont="1" applyFill="1" applyBorder="1" applyAlignment="1" applyProtection="1">
      <alignment horizontal="center"/>
      <protection hidden="1"/>
    </xf>
    <xf numFmtId="0" fontId="16" fillId="2" borderId="0" xfId="0" applyFont="1" applyFill="1" applyBorder="1" applyAlignment="1" applyProtection="1">
      <alignment horizontal="center" wrapText="1"/>
      <protection hidden="1"/>
    </xf>
    <xf numFmtId="0" fontId="0" fillId="3" borderId="1" xfId="0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36" fillId="3" borderId="0" xfId="0" applyFont="1" applyFill="1" applyBorder="1" applyProtection="1">
      <protection hidden="1"/>
    </xf>
    <xf numFmtId="0" fontId="37" fillId="3" borderId="0" xfId="0" applyFont="1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3" fillId="3" borderId="0" xfId="2" applyFill="1" applyBorder="1" applyAlignment="1" applyProtection="1">
      <protection hidden="1"/>
    </xf>
    <xf numFmtId="0" fontId="0" fillId="3" borderId="4" xfId="0" applyFill="1" applyBorder="1" applyAlignment="1" applyProtection="1">
      <protection hidden="1"/>
    </xf>
    <xf numFmtId="0" fontId="0" fillId="3" borderId="0" xfId="0" applyFill="1" applyBorder="1" applyAlignment="1" applyProtection="1">
      <protection hidden="1"/>
    </xf>
    <xf numFmtId="0" fontId="0" fillId="3" borderId="5" xfId="0" applyFill="1" applyBorder="1" applyAlignment="1" applyProtection="1">
      <protection hidden="1"/>
    </xf>
    <xf numFmtId="0" fontId="38" fillId="3" borderId="0" xfId="0" applyFont="1" applyFill="1" applyBorder="1" applyAlignment="1" applyProtection="1">
      <alignment horizontal="center" vertical="center" textRotation="90"/>
      <protection hidden="1"/>
    </xf>
    <xf numFmtId="0" fontId="38" fillId="3" borderId="0" xfId="0" applyFont="1" applyFill="1" applyBorder="1" applyAlignment="1" applyProtection="1">
      <alignment horizontal="center" vertical="center"/>
      <protection hidden="1"/>
    </xf>
    <xf numFmtId="0" fontId="38" fillId="3" borderId="5" xfId="0" applyFont="1" applyFill="1" applyBorder="1" applyAlignment="1" applyProtection="1">
      <alignment horizontal="center" vertical="center"/>
      <protection hidden="1"/>
    </xf>
    <xf numFmtId="0" fontId="39" fillId="3" borderId="0" xfId="0" applyFont="1" applyFill="1" applyBorder="1" applyAlignment="1"/>
    <xf numFmtId="0" fontId="40" fillId="3" borderId="6" xfId="0" applyFont="1" applyFill="1" applyBorder="1"/>
    <xf numFmtId="0" fontId="40" fillId="3" borderId="7" xfId="0" applyFont="1" applyFill="1" applyBorder="1"/>
    <xf numFmtId="0" fontId="40" fillId="3" borderId="4" xfId="0" applyFont="1" applyFill="1" applyBorder="1"/>
    <xf numFmtId="0" fontId="40" fillId="3" borderId="0" xfId="0" applyFont="1" applyFill="1" applyBorder="1"/>
    <xf numFmtId="0" fontId="41" fillId="3" borderId="0" xfId="0" applyFont="1" applyFill="1" applyBorder="1" applyAlignment="1"/>
    <xf numFmtId="0" fontId="42" fillId="3" borderId="0" xfId="0" applyFont="1" applyFill="1" applyBorder="1" applyAlignment="1"/>
    <xf numFmtId="0" fontId="40" fillId="3" borderId="5" xfId="0" applyFont="1" applyFill="1" applyBorder="1"/>
    <xf numFmtId="0" fontId="44" fillId="3" borderId="0" xfId="3" applyFont="1" applyFill="1" applyBorder="1" applyAlignment="1">
      <alignment horizontal="right"/>
    </xf>
    <xf numFmtId="0" fontId="42" fillId="3" borderId="0" xfId="3" applyFont="1" applyFill="1" applyBorder="1" applyAlignment="1">
      <alignment horizontal="left" vertical="top"/>
    </xf>
    <xf numFmtId="0" fontId="42" fillId="3" borderId="0" xfId="0" applyFont="1" applyFill="1" applyBorder="1"/>
    <xf numFmtId="0" fontId="42" fillId="3" borderId="0" xfId="3" quotePrefix="1" applyFont="1" applyFill="1" applyBorder="1" applyAlignment="1">
      <alignment horizontal="left"/>
    </xf>
    <xf numFmtId="0" fontId="40" fillId="3" borderId="6" xfId="0" applyFont="1" applyFill="1" applyBorder="1" applyAlignment="1">
      <alignment horizontal="center" vertical="center"/>
    </xf>
    <xf numFmtId="0" fontId="40" fillId="3" borderId="7" xfId="0" applyFont="1" applyFill="1" applyBorder="1" applyAlignment="1">
      <alignment horizontal="center" vertical="center"/>
    </xf>
    <xf numFmtId="0" fontId="40" fillId="3" borderId="6" xfId="0" applyFont="1" applyFill="1" applyBorder="1" applyAlignment="1">
      <alignment horizontal="centerContinuous" vertical="center"/>
    </xf>
    <xf numFmtId="0" fontId="40" fillId="3" borderId="4" xfId="0" applyFont="1" applyFill="1" applyBorder="1" applyAlignment="1">
      <alignment horizontal="center" vertical="center"/>
    </xf>
    <xf numFmtId="0" fontId="40" fillId="3" borderId="0" xfId="0" applyFont="1" applyFill="1" applyBorder="1" applyAlignment="1">
      <alignment horizontal="center" vertical="center"/>
    </xf>
    <xf numFmtId="0" fontId="40" fillId="3" borderId="4" xfId="0" applyFont="1" applyFill="1" applyBorder="1" applyAlignment="1">
      <alignment horizontal="centerContinuous" vertical="center"/>
    </xf>
    <xf numFmtId="0" fontId="40" fillId="3" borderId="0" xfId="0" applyFont="1" applyFill="1" applyBorder="1" applyAlignment="1">
      <alignment horizontal="centerContinuous" vertical="center"/>
    </xf>
    <xf numFmtId="0" fontId="42" fillId="3" borderId="8" xfId="3" applyFont="1" applyFill="1" applyBorder="1"/>
    <xf numFmtId="0" fontId="42" fillId="3" borderId="8" xfId="3" applyFont="1" applyFill="1" applyBorder="1" applyAlignment="1">
      <alignment vertical="top"/>
    </xf>
    <xf numFmtId="0" fontId="40" fillId="3" borderId="8" xfId="0" applyFont="1" applyFill="1" applyBorder="1"/>
    <xf numFmtId="0" fontId="40" fillId="3" borderId="9" xfId="0" applyFont="1" applyFill="1" applyBorder="1"/>
    <xf numFmtId="0" fontId="40" fillId="3" borderId="2" xfId="0" quotePrefix="1" applyFont="1" applyFill="1" applyBorder="1" applyAlignment="1">
      <alignment horizontal="left" vertical="top"/>
    </xf>
    <xf numFmtId="0" fontId="40" fillId="3" borderId="3" xfId="0" quotePrefix="1" applyFont="1" applyFill="1" applyBorder="1" applyAlignment="1">
      <alignment horizontal="left" vertical="top"/>
    </xf>
    <xf numFmtId="0" fontId="40" fillId="3" borderId="1" xfId="0" applyFont="1" applyFill="1" applyBorder="1" applyAlignment="1">
      <alignment horizontal="left" vertical="top"/>
    </xf>
    <xf numFmtId="0" fontId="40" fillId="3" borderId="2" xfId="0" applyFont="1" applyFill="1" applyBorder="1" applyAlignment="1">
      <alignment horizontal="left" vertical="top"/>
    </xf>
    <xf numFmtId="0" fontId="40" fillId="3" borderId="5" xfId="0" quotePrefix="1" applyFont="1" applyFill="1" applyBorder="1" applyAlignment="1">
      <alignment horizontal="left" vertical="top"/>
    </xf>
    <xf numFmtId="0" fontId="40" fillId="3" borderId="10" xfId="0" quotePrefix="1" applyFont="1" applyFill="1" applyBorder="1" applyAlignment="1">
      <alignment horizontal="left" vertical="top"/>
    </xf>
    <xf numFmtId="0" fontId="40" fillId="3" borderId="8" xfId="0" quotePrefix="1" applyFont="1" applyFill="1" applyBorder="1" applyAlignment="1">
      <alignment horizontal="left" vertical="top"/>
    </xf>
    <xf numFmtId="0" fontId="40" fillId="3" borderId="9" xfId="0" quotePrefix="1" applyFont="1" applyFill="1" applyBorder="1" applyAlignment="1">
      <alignment horizontal="left" vertical="top"/>
    </xf>
    <xf numFmtId="0" fontId="47" fillId="3" borderId="4" xfId="0" applyFont="1" applyFill="1" applyBorder="1" applyAlignment="1">
      <alignment horizontal="right" vertical="center"/>
    </xf>
    <xf numFmtId="0" fontId="47" fillId="3" borderId="0" xfId="0" applyFont="1" applyFill="1" applyBorder="1" applyAlignment="1">
      <alignment horizontal="center" vertical="center"/>
    </xf>
    <xf numFmtId="0" fontId="47" fillId="3" borderId="0" xfId="0" applyFont="1" applyFill="1" applyBorder="1" applyAlignment="1">
      <alignment horizontal="left" vertical="center"/>
    </xf>
    <xf numFmtId="0" fontId="48" fillId="3" borderId="0" xfId="0" applyFont="1" applyFill="1" applyBorder="1" applyAlignment="1">
      <alignment vertical="center"/>
    </xf>
    <xf numFmtId="0" fontId="49" fillId="3" borderId="0" xfId="0" applyFont="1" applyFill="1" applyBorder="1" applyAlignment="1">
      <alignment vertical="center"/>
    </xf>
    <xf numFmtId="0" fontId="49" fillId="3" borderId="5" xfId="0" applyFont="1" applyFill="1" applyBorder="1" applyAlignment="1">
      <alignment vertical="center"/>
    </xf>
    <xf numFmtId="0" fontId="50" fillId="3" borderId="0" xfId="0" applyFont="1" applyFill="1" applyBorder="1" applyAlignment="1">
      <alignment horizontal="center"/>
    </xf>
    <xf numFmtId="0" fontId="40" fillId="3" borderId="4" xfId="0" quotePrefix="1" applyFont="1" applyFill="1" applyBorder="1" applyAlignment="1">
      <alignment horizontal="left" vertical="top"/>
    </xf>
    <xf numFmtId="0" fontId="40" fillId="3" borderId="0" xfId="0" applyFont="1" applyFill="1" applyBorder="1" applyAlignment="1">
      <alignment vertical="top"/>
    </xf>
    <xf numFmtId="0" fontId="40" fillId="3" borderId="3" xfId="0" applyFont="1" applyFill="1" applyBorder="1" applyAlignment="1">
      <alignment vertical="top"/>
    </xf>
    <xf numFmtId="0" fontId="40" fillId="3" borderId="8" xfId="0" applyFont="1" applyFill="1" applyBorder="1" applyAlignment="1">
      <alignment horizontal="centerContinuous" vertical="center"/>
    </xf>
    <xf numFmtId="0" fontId="0" fillId="2" borderId="7" xfId="0" applyFill="1" applyBorder="1" applyProtection="1">
      <protection hidden="1"/>
    </xf>
    <xf numFmtId="0" fontId="0" fillId="2" borderId="11" xfId="0" applyFill="1" applyBorder="1" applyAlignment="1" applyProtection="1">
      <alignment horizontal="center"/>
      <protection hidden="1"/>
    </xf>
    <xf numFmtId="0" fontId="0" fillId="4" borderId="6" xfId="0" applyFill="1" applyBorder="1" applyAlignment="1" applyProtection="1">
      <alignment horizontal="center"/>
      <protection hidden="1"/>
    </xf>
    <xf numFmtId="0" fontId="0" fillId="5" borderId="6" xfId="0" applyFill="1" applyBorder="1" applyAlignment="1" applyProtection="1">
      <alignment horizontal="center"/>
      <protection hidden="1"/>
    </xf>
    <xf numFmtId="0" fontId="29" fillId="3" borderId="0" xfId="0" applyFont="1" applyFill="1" applyBorder="1" applyAlignment="1" applyProtection="1">
      <alignment horizontal="left"/>
      <protection hidden="1"/>
    </xf>
    <xf numFmtId="0" fontId="31" fillId="3" borderId="0" xfId="0" applyFont="1" applyFill="1" applyBorder="1" applyAlignment="1" applyProtection="1">
      <alignment horizontal="center" wrapText="1"/>
      <protection hidden="1"/>
    </xf>
    <xf numFmtId="0" fontId="11" fillId="6" borderId="6" xfId="0" applyFont="1" applyFill="1" applyBorder="1" applyAlignment="1" applyProtection="1">
      <alignment horizontal="center"/>
      <protection locked="0"/>
    </xf>
    <xf numFmtId="165" fontId="11" fillId="6" borderId="6" xfId="0" applyNumberFormat="1" applyFont="1" applyFill="1" applyBorder="1" applyAlignment="1" applyProtection="1">
      <alignment horizontal="center"/>
      <protection locked="0"/>
    </xf>
    <xf numFmtId="0" fontId="0" fillId="3" borderId="0" xfId="0" applyFill="1" applyProtection="1"/>
    <xf numFmtId="0" fontId="8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Protection="1"/>
    <xf numFmtId="0" fontId="5" fillId="3" borderId="0" xfId="0" applyFont="1" applyFill="1" applyBorder="1" applyProtection="1"/>
    <xf numFmtId="0" fontId="6" fillId="3" borderId="0" xfId="0" applyFont="1" applyFill="1" applyBorder="1" applyAlignment="1" applyProtection="1">
      <alignment horizontal="center"/>
    </xf>
    <xf numFmtId="0" fontId="7" fillId="3" borderId="0" xfId="0" applyFont="1" applyFill="1" applyBorder="1" applyProtection="1"/>
    <xf numFmtId="0" fontId="4" fillId="3" borderId="0" xfId="0" applyFont="1" applyFill="1" applyBorder="1" applyAlignment="1" applyProtection="1">
      <alignment horizontal="center"/>
    </xf>
    <xf numFmtId="14" fontId="4" fillId="3" borderId="0" xfId="0" applyNumberFormat="1" applyFont="1" applyFill="1" applyBorder="1" applyProtection="1"/>
    <xf numFmtId="0" fontId="55" fillId="3" borderId="0" xfId="0" applyFont="1" applyFill="1" applyBorder="1" applyAlignment="1" applyProtection="1">
      <alignment horizontal="center"/>
    </xf>
    <xf numFmtId="0" fontId="10" fillId="3" borderId="0" xfId="0" applyFont="1" applyFill="1" applyProtection="1"/>
    <xf numFmtId="0" fontId="9" fillId="3" borderId="0" xfId="0" applyFont="1" applyFill="1" applyBorder="1" applyProtection="1"/>
    <xf numFmtId="0" fontId="9" fillId="3" borderId="0" xfId="0" applyFont="1" applyFill="1" applyBorder="1" applyAlignment="1" applyProtection="1">
      <alignment horizontal="center"/>
    </xf>
    <xf numFmtId="0" fontId="14" fillId="3" borderId="0" xfId="0" applyFont="1" applyFill="1" applyBorder="1" applyProtection="1"/>
    <xf numFmtId="0" fontId="14" fillId="3" borderId="0" xfId="0" applyFont="1" applyFill="1" applyBorder="1" applyAlignment="1" applyProtection="1">
      <alignment horizontal="center"/>
    </xf>
    <xf numFmtId="0" fontId="17" fillId="3" borderId="6" xfId="0" applyFont="1" applyFill="1" applyBorder="1" applyAlignment="1" applyProtection="1">
      <alignment horizontal="center"/>
    </xf>
    <xf numFmtId="0" fontId="11" fillId="3" borderId="6" xfId="0" applyFont="1" applyFill="1" applyBorder="1" applyAlignment="1" applyProtection="1">
      <alignment horizontal="center"/>
    </xf>
    <xf numFmtId="0" fontId="22" fillId="3" borderId="6" xfId="0" applyFont="1" applyFill="1" applyBorder="1" applyAlignment="1" applyProtection="1">
      <alignment horizontal="center"/>
    </xf>
    <xf numFmtId="2" fontId="11" fillId="3" borderId="6" xfId="0" applyNumberFormat="1" applyFont="1" applyFill="1" applyBorder="1" applyAlignment="1" applyProtection="1">
      <alignment horizontal="center"/>
    </xf>
    <xf numFmtId="165" fontId="11" fillId="3" borderId="6" xfId="0" applyNumberFormat="1" applyFont="1" applyFill="1" applyBorder="1" applyAlignment="1" applyProtection="1">
      <alignment horizontal="center"/>
    </xf>
    <xf numFmtId="0" fontId="27" fillId="3" borderId="6" xfId="0" applyFont="1" applyFill="1" applyBorder="1" applyAlignment="1" applyProtection="1">
      <alignment horizontal="center"/>
    </xf>
    <xf numFmtId="0" fontId="22" fillId="3" borderId="0" xfId="0" applyFont="1" applyFill="1" applyBorder="1" applyAlignment="1" applyProtection="1">
      <alignment horizontal="center"/>
    </xf>
    <xf numFmtId="0" fontId="22" fillId="3" borderId="13" xfId="0" applyFont="1" applyFill="1" applyBorder="1" applyAlignment="1" applyProtection="1">
      <alignment horizontal="center"/>
    </xf>
    <xf numFmtId="2" fontId="11" fillId="3" borderId="13" xfId="0" applyNumberFormat="1" applyFont="1" applyFill="1" applyBorder="1" applyAlignment="1" applyProtection="1">
      <alignment horizontal="center"/>
    </xf>
    <xf numFmtId="0" fontId="28" fillId="3" borderId="0" xfId="0" applyFont="1" applyFill="1" applyBorder="1" applyAlignment="1" applyProtection="1">
      <alignment horizontal="center"/>
    </xf>
    <xf numFmtId="0" fontId="17" fillId="3" borderId="13" xfId="0" applyFont="1" applyFill="1" applyBorder="1" applyAlignment="1" applyProtection="1">
      <alignment horizontal="center" vertical="top"/>
    </xf>
    <xf numFmtId="0" fontId="4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28" fillId="3" borderId="0" xfId="0" applyFont="1" applyFill="1" applyBorder="1" applyAlignment="1" applyProtection="1">
      <alignment horizontal="left"/>
    </xf>
    <xf numFmtId="2" fontId="4" fillId="3" borderId="0" xfId="0" applyNumberFormat="1" applyFont="1" applyFill="1" applyBorder="1" applyAlignment="1" applyProtection="1">
      <alignment horizontal="left"/>
    </xf>
    <xf numFmtId="1" fontId="11" fillId="3" borderId="6" xfId="0" applyNumberFormat="1" applyFont="1" applyFill="1" applyBorder="1" applyAlignment="1" applyProtection="1">
      <alignment horizontal="center"/>
    </xf>
    <xf numFmtId="0" fontId="22" fillId="3" borderId="2" xfId="0" applyFont="1" applyFill="1" applyBorder="1" applyAlignment="1" applyProtection="1">
      <alignment horizontal="center"/>
    </xf>
    <xf numFmtId="1" fontId="9" fillId="3" borderId="2" xfId="0" applyNumberFormat="1" applyFont="1" applyFill="1" applyBorder="1" applyAlignment="1" applyProtection="1">
      <alignment horizontal="center"/>
    </xf>
    <xf numFmtId="165" fontId="4" fillId="3" borderId="0" xfId="0" applyNumberFormat="1" applyFont="1" applyFill="1" applyBorder="1" applyAlignment="1" applyProtection="1">
      <alignment horizontal="left"/>
    </xf>
    <xf numFmtId="0" fontId="9" fillId="3" borderId="0" xfId="0" applyFont="1" applyFill="1" applyProtection="1"/>
    <xf numFmtId="0" fontId="9" fillId="3" borderId="0" xfId="0" applyFont="1" applyFill="1" applyAlignment="1" applyProtection="1">
      <alignment horizont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center"/>
    </xf>
    <xf numFmtId="0" fontId="30" fillId="3" borderId="0" xfId="0" applyFont="1" applyFill="1" applyProtection="1"/>
    <xf numFmtId="0" fontId="30" fillId="3" borderId="0" xfId="0" applyFont="1" applyFill="1" applyAlignment="1" applyProtection="1">
      <alignment horizontal="center"/>
    </xf>
    <xf numFmtId="0" fontId="9" fillId="3" borderId="6" xfId="0" applyFont="1" applyFill="1" applyBorder="1" applyAlignment="1" applyProtection="1">
      <alignment horizontal="right"/>
    </xf>
    <xf numFmtId="0" fontId="60" fillId="6" borderId="6" xfId="0" applyFont="1" applyFill="1" applyBorder="1" applyAlignment="1" applyProtection="1">
      <alignment horizontal="center"/>
      <protection locked="0"/>
    </xf>
    <xf numFmtId="0" fontId="26" fillId="3" borderId="0" xfId="0" applyFont="1" applyFill="1" applyBorder="1" applyProtection="1"/>
    <xf numFmtId="0" fontId="0" fillId="3" borderId="0" xfId="0" applyFill="1" applyAlignment="1" applyProtection="1">
      <alignment horizontal="center"/>
    </xf>
    <xf numFmtId="0" fontId="0" fillId="3" borderId="0" xfId="0" applyFill="1" applyBorder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"/>
      <protection hidden="1"/>
    </xf>
    <xf numFmtId="1" fontId="0" fillId="3" borderId="6" xfId="0" applyNumberFormat="1" applyFill="1" applyBorder="1" applyAlignment="1" applyProtection="1">
      <alignment horizontal="center"/>
      <protection hidden="1"/>
    </xf>
    <xf numFmtId="1" fontId="0" fillId="3" borderId="0" xfId="0" applyNumberFormat="1" applyFill="1" applyBorder="1" applyProtection="1">
      <protection hidden="1"/>
    </xf>
    <xf numFmtId="0" fontId="0" fillId="3" borderId="0" xfId="0" quotePrefix="1" applyFill="1"/>
    <xf numFmtId="0" fontId="0" fillId="3" borderId="0" xfId="0" applyFill="1" applyProtection="1">
      <protection hidden="1"/>
    </xf>
    <xf numFmtId="0" fontId="43" fillId="3" borderId="0" xfId="0" applyFont="1" applyFill="1"/>
    <xf numFmtId="0" fontId="43" fillId="3" borderId="0" xfId="0" quotePrefix="1" applyFont="1" applyFill="1" applyAlignment="1">
      <alignment horizontal="left" vertical="top"/>
    </xf>
    <xf numFmtId="0" fontId="51" fillId="3" borderId="0" xfId="0" quotePrefix="1" applyFont="1" applyFill="1" applyAlignment="1">
      <alignment horizontal="left" vertical="top"/>
    </xf>
    <xf numFmtId="0" fontId="52" fillId="3" borderId="0" xfId="0" applyFont="1" applyFill="1" applyAlignment="1">
      <alignment horizontal="left" vertical="top"/>
    </xf>
    <xf numFmtId="0" fontId="43" fillId="3" borderId="0" xfId="0" applyFont="1" applyFill="1" applyAlignment="1">
      <alignment horizontal="centerContinuous"/>
    </xf>
    <xf numFmtId="0" fontId="53" fillId="3" borderId="0" xfId="0" applyFont="1" applyFill="1" applyBorder="1" applyProtection="1">
      <protection hidden="1"/>
    </xf>
    <xf numFmtId="165" fontId="0" fillId="3" borderId="6" xfId="0" applyNumberFormat="1" applyFill="1" applyBorder="1" applyAlignment="1" applyProtection="1">
      <alignment horizontal="center"/>
      <protection hidden="1"/>
    </xf>
    <xf numFmtId="165" fontId="0" fillId="3" borderId="0" xfId="0" applyNumberFormat="1" applyFill="1" applyBorder="1" applyProtection="1">
      <protection hidden="1"/>
    </xf>
    <xf numFmtId="2" fontId="0" fillId="3" borderId="6" xfId="0" applyNumberFormat="1" applyFill="1" applyBorder="1" applyAlignment="1" applyProtection="1">
      <alignment horizontal="center"/>
      <protection hidden="1"/>
    </xf>
    <xf numFmtId="1" fontId="56" fillId="3" borderId="6" xfId="0" applyNumberFormat="1" applyFont="1" applyFill="1" applyBorder="1" applyAlignment="1" applyProtection="1">
      <alignment horizontal="center"/>
      <protection hidden="1"/>
    </xf>
    <xf numFmtId="1" fontId="0" fillId="3" borderId="0" xfId="0" applyNumberFormat="1" applyFill="1" applyBorder="1" applyAlignment="1" applyProtection="1">
      <alignment horizontal="center"/>
      <protection hidden="1"/>
    </xf>
    <xf numFmtId="2" fontId="0" fillId="3" borderId="0" xfId="0" applyNumberFormat="1" applyFill="1" applyBorder="1" applyProtection="1">
      <protection hidden="1"/>
    </xf>
    <xf numFmtId="0" fontId="0" fillId="0" borderId="6" xfId="0" applyFill="1" applyBorder="1" applyAlignment="1" applyProtection="1">
      <alignment horizontal="center"/>
      <protection hidden="1"/>
    </xf>
    <xf numFmtId="0" fontId="55" fillId="3" borderId="0" xfId="0" applyFont="1" applyFill="1" applyBorder="1" applyProtection="1"/>
    <xf numFmtId="0" fontId="27" fillId="4" borderId="6" xfId="0" applyFont="1" applyFill="1" applyBorder="1" applyAlignment="1" applyProtection="1">
      <alignment horizontal="center"/>
    </xf>
    <xf numFmtId="0" fontId="0" fillId="2" borderId="14" xfId="0" applyFill="1" applyBorder="1" applyAlignment="1" applyProtection="1">
      <alignment horizontal="center"/>
      <protection locked="0" hidden="1"/>
    </xf>
    <xf numFmtId="0" fontId="0" fillId="2" borderId="15" xfId="0" applyFill="1" applyBorder="1" applyAlignment="1" applyProtection="1">
      <alignment horizontal="center"/>
      <protection locked="0" hidden="1"/>
    </xf>
    <xf numFmtId="0" fontId="0" fillId="2" borderId="16" xfId="0" applyFill="1" applyBorder="1" applyAlignment="1" applyProtection="1">
      <alignment horizontal="center"/>
      <protection locked="0" hidden="1"/>
    </xf>
    <xf numFmtId="0" fontId="65" fillId="7" borderId="6" xfId="0" applyFont="1" applyFill="1" applyBorder="1" applyAlignment="1" applyProtection="1">
      <protection hidden="1"/>
    </xf>
    <xf numFmtId="0" fontId="65" fillId="7" borderId="17" xfId="0" applyFont="1" applyFill="1" applyBorder="1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65" fillId="7" borderId="13" xfId="0" applyFont="1" applyFill="1" applyBorder="1" applyAlignment="1" applyProtection="1">
      <protection hidden="1"/>
    </xf>
    <xf numFmtId="2" fontId="56" fillId="3" borderId="6" xfId="0" applyNumberFormat="1" applyFont="1" applyFill="1" applyBorder="1" applyAlignment="1" applyProtection="1">
      <alignment horizontal="center"/>
      <protection hidden="1"/>
    </xf>
    <xf numFmtId="0" fontId="0" fillId="8" borderId="0" xfId="0" applyFill="1" applyBorder="1" applyProtection="1">
      <protection hidden="1"/>
    </xf>
    <xf numFmtId="1" fontId="56" fillId="8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65" fillId="9" borderId="20" xfId="0" applyFont="1" applyFill="1" applyBorder="1" applyAlignment="1" applyProtection="1">
      <alignment horizontal="center" vertical="center"/>
      <protection hidden="1"/>
    </xf>
    <xf numFmtId="0" fontId="65" fillId="9" borderId="21" xfId="0" applyFont="1" applyFill="1" applyBorder="1" applyAlignment="1" applyProtection="1">
      <alignment horizontal="center" vertical="center" shrinkToFit="1"/>
      <protection hidden="1"/>
    </xf>
    <xf numFmtId="0" fontId="0" fillId="0" borderId="0" xfId="0" applyBorder="1" applyAlignment="1" applyProtection="1">
      <alignment vertical="center"/>
      <protection hidden="1"/>
    </xf>
    <xf numFmtId="0" fontId="65" fillId="9" borderId="2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0" fontId="0" fillId="0" borderId="6" xfId="0" applyFill="1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63" fillId="0" borderId="23" xfId="0" applyFont="1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17" xfId="0" applyFill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25" xfId="0" applyBorder="1" applyAlignment="1" applyProtection="1">
      <alignment horizontal="center" vertical="center"/>
      <protection hidden="1"/>
    </xf>
    <xf numFmtId="0" fontId="56" fillId="0" borderId="23" xfId="0" applyFont="1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63" fillId="0" borderId="25" xfId="0" applyFont="1" applyBorder="1" applyAlignment="1" applyProtection="1">
      <alignment horizontal="center" vertical="center"/>
      <protection hidden="1"/>
    </xf>
    <xf numFmtId="0" fontId="56" fillId="0" borderId="24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6" xfId="0" applyBorder="1" applyAlignment="1" applyProtection="1">
      <protection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0" fillId="0" borderId="15" xfId="0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17" xfId="0" applyBorder="1" applyAlignment="1" applyProtection="1">
      <protection hidden="1"/>
    </xf>
    <xf numFmtId="0" fontId="0" fillId="0" borderId="28" xfId="0" applyBorder="1" applyAlignment="1" applyProtection="1">
      <alignment horizontal="center" vertical="center" wrapText="1"/>
      <protection hidden="1"/>
    </xf>
    <xf numFmtId="0" fontId="0" fillId="0" borderId="14" xfId="0" applyBorder="1" applyAlignment="1" applyProtection="1">
      <alignment horizontal="center" vertical="center" wrapText="1"/>
      <protection hidden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8" fillId="3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left"/>
    </xf>
    <xf numFmtId="4" fontId="4" fillId="3" borderId="0" xfId="0" applyNumberFormat="1" applyFont="1" applyFill="1" applyBorder="1" applyAlignment="1">
      <alignment horizontal="left"/>
    </xf>
    <xf numFmtId="0" fontId="4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28" fillId="3" borderId="0" xfId="0" applyFont="1" applyFill="1" applyBorder="1" applyAlignment="1">
      <alignment horizontal="left"/>
    </xf>
    <xf numFmtId="0" fontId="4" fillId="3" borderId="0" xfId="0" applyNumberFormat="1" applyFont="1" applyFill="1" applyBorder="1" applyAlignment="1">
      <alignment horizontal="left"/>
    </xf>
    <xf numFmtId="0" fontId="4" fillId="3" borderId="0" xfId="0" applyFont="1" applyFill="1" applyBorder="1" applyAlignment="1" applyProtection="1">
      <alignment horizontal="left"/>
      <protection hidden="1"/>
    </xf>
    <xf numFmtId="0" fontId="63" fillId="3" borderId="0" xfId="0" applyFont="1" applyFill="1" applyProtection="1"/>
    <xf numFmtId="0" fontId="63" fillId="3" borderId="0" xfId="0" applyFont="1" applyFill="1" applyAlignment="1">
      <alignment horizontal="center"/>
    </xf>
    <xf numFmtId="0" fontId="63" fillId="3" borderId="0" xfId="0" applyFont="1" applyFill="1"/>
    <xf numFmtId="0" fontId="63" fillId="3" borderId="0" xfId="0" applyFont="1" applyFill="1" applyAlignment="1" applyProtection="1">
      <alignment horizontal="center"/>
    </xf>
    <xf numFmtId="0" fontId="68" fillId="3" borderId="0" xfId="0" applyFont="1" applyFill="1" applyProtection="1"/>
    <xf numFmtId="0" fontId="68" fillId="3" borderId="0" xfId="0" applyFont="1" applyFill="1" applyAlignment="1">
      <alignment horizontal="center"/>
    </xf>
    <xf numFmtId="0" fontId="68" fillId="3" borderId="0" xfId="0" applyFont="1" applyFill="1"/>
    <xf numFmtId="0" fontId="68" fillId="3" borderId="0" xfId="0" applyFont="1" applyFill="1" applyAlignment="1" applyProtection="1">
      <alignment horizontal="center"/>
    </xf>
    <xf numFmtId="0" fontId="69" fillId="3" borderId="0" xfId="0" applyFont="1" applyFill="1" applyBorder="1"/>
    <xf numFmtId="0" fontId="68" fillId="3" borderId="0" xfId="0" applyFont="1" applyFill="1" applyAlignment="1" applyProtection="1">
      <alignment horizontal="center" vertical="center"/>
    </xf>
    <xf numFmtId="0" fontId="68" fillId="3" borderId="0" xfId="0" applyFont="1" applyFill="1" applyAlignment="1">
      <alignment vertical="center"/>
    </xf>
    <xf numFmtId="0" fontId="43" fillId="3" borderId="0" xfId="0" applyFont="1" applyFill="1" applyProtection="1"/>
    <xf numFmtId="0" fontId="63" fillId="8" borderId="0" xfId="0" applyFont="1" applyFill="1" applyBorder="1" applyProtection="1">
      <protection hidden="1"/>
    </xf>
    <xf numFmtId="0" fontId="72" fillId="3" borderId="0" xfId="0" applyFont="1" applyFill="1" applyBorder="1" applyProtection="1">
      <protection hidden="1"/>
    </xf>
    <xf numFmtId="0" fontId="72" fillId="3" borderId="0" xfId="0" applyFont="1" applyFill="1" applyProtection="1"/>
    <xf numFmtId="0" fontId="72" fillId="3" borderId="0" xfId="0" applyFont="1" applyFill="1" applyAlignment="1">
      <alignment vertical="center"/>
    </xf>
    <xf numFmtId="0" fontId="73" fillId="3" borderId="6" xfId="0" applyFont="1" applyFill="1" applyBorder="1" applyAlignment="1" applyProtection="1">
      <alignment horizontal="right"/>
    </xf>
    <xf numFmtId="0" fontId="73" fillId="6" borderId="12" xfId="0" applyFont="1" applyFill="1" applyBorder="1" applyAlignment="1" applyProtection="1">
      <alignment horizontal="left"/>
      <protection locked="0"/>
    </xf>
    <xf numFmtId="0" fontId="75" fillId="3" borderId="6" xfId="0" applyNumberFormat="1" applyFont="1" applyFill="1" applyBorder="1" applyAlignment="1" applyProtection="1">
      <alignment horizontal="center" vertical="center"/>
      <protection hidden="1"/>
    </xf>
    <xf numFmtId="1" fontId="75" fillId="3" borderId="6" xfId="0" applyNumberFormat="1" applyFont="1" applyFill="1" applyBorder="1" applyAlignment="1" applyProtection="1">
      <alignment horizontal="center" vertical="center"/>
      <protection hidden="1"/>
    </xf>
    <xf numFmtId="165" fontId="72" fillId="3" borderId="0" xfId="0" applyNumberFormat="1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0" fillId="3" borderId="0" xfId="0" applyFill="1" applyBorder="1" applyAlignment="1" applyProtection="1">
      <alignment horizontal="center"/>
      <protection hidden="1"/>
    </xf>
    <xf numFmtId="0" fontId="77" fillId="2" borderId="15" xfId="0" applyFont="1" applyFill="1" applyBorder="1" applyAlignment="1" applyProtection="1">
      <alignment horizontal="center"/>
      <protection locked="0" hidden="1"/>
    </xf>
    <xf numFmtId="0" fontId="72" fillId="3" borderId="0" xfId="0" applyFont="1" applyFill="1" applyBorder="1" applyAlignment="1" applyProtection="1">
      <alignment horizontal="center"/>
      <protection hidden="1"/>
    </xf>
    <xf numFmtId="1" fontId="72" fillId="3" borderId="0" xfId="0" applyNumberFormat="1" applyFont="1" applyFill="1" applyBorder="1" applyProtection="1">
      <protection hidden="1"/>
    </xf>
    <xf numFmtId="0" fontId="72" fillId="3" borderId="0" xfId="0" applyNumberFormat="1" applyFont="1" applyFill="1" applyBorder="1" applyProtection="1">
      <protection hidden="1"/>
    </xf>
    <xf numFmtId="0" fontId="0" fillId="2" borderId="11" xfId="0" applyFill="1" applyBorder="1" applyAlignment="1" applyProtection="1">
      <alignment horizontal="center"/>
      <protection hidden="1"/>
    </xf>
    <xf numFmtId="0" fontId="75" fillId="3" borderId="15" xfId="0" applyNumberFormat="1" applyFont="1" applyFill="1" applyBorder="1" applyAlignment="1" applyProtection="1">
      <alignment horizontal="center" vertical="center"/>
      <protection hidden="1"/>
    </xf>
    <xf numFmtId="1" fontId="75" fillId="3" borderId="15" xfId="0" applyNumberFormat="1" applyFont="1" applyFill="1" applyBorder="1" applyAlignment="1" applyProtection="1">
      <alignment horizontal="center" vertical="center"/>
      <protection hidden="1"/>
    </xf>
    <xf numFmtId="0" fontId="0" fillId="3" borderId="15" xfId="0" applyFill="1" applyBorder="1" applyAlignment="1" applyProtection="1">
      <alignment horizontal="center"/>
      <protection hidden="1"/>
    </xf>
    <xf numFmtId="0" fontId="0" fillId="4" borderId="15" xfId="0" applyFill="1" applyBorder="1" applyAlignment="1" applyProtection="1">
      <alignment horizontal="center"/>
      <protection hidden="1"/>
    </xf>
    <xf numFmtId="0" fontId="0" fillId="3" borderId="14" xfId="0" applyFill="1" applyBorder="1" applyAlignment="1" applyProtection="1">
      <alignment horizontal="center"/>
      <protection hidden="1"/>
    </xf>
    <xf numFmtId="0" fontId="0" fillId="4" borderId="14" xfId="0" applyFill="1" applyBorder="1" applyAlignment="1" applyProtection="1">
      <alignment horizontal="center"/>
      <protection hidden="1"/>
    </xf>
    <xf numFmtId="0" fontId="71" fillId="8" borderId="15" xfId="0" applyFont="1" applyFill="1" applyBorder="1" applyAlignment="1" applyProtection="1">
      <alignment horizontal="center" shrinkToFit="1"/>
      <protection hidden="1"/>
    </xf>
    <xf numFmtId="0" fontId="0" fillId="2" borderId="39" xfId="0" applyFill="1" applyBorder="1" applyProtection="1">
      <protection hidden="1"/>
    </xf>
    <xf numFmtId="1" fontId="0" fillId="3" borderId="15" xfId="0" applyNumberFormat="1" applyFill="1" applyBorder="1" applyAlignment="1" applyProtection="1">
      <alignment horizontal="center"/>
      <protection hidden="1"/>
    </xf>
    <xf numFmtId="0" fontId="0" fillId="2" borderId="24" xfId="0" applyFill="1" applyBorder="1" applyProtection="1">
      <protection hidden="1"/>
    </xf>
    <xf numFmtId="0" fontId="0" fillId="2" borderId="47" xfId="0" applyFill="1" applyBorder="1" applyAlignment="1" applyProtection="1">
      <alignment horizontal="center"/>
      <protection hidden="1"/>
    </xf>
    <xf numFmtId="1" fontId="0" fillId="3" borderId="14" xfId="0" applyNumberFormat="1" applyFill="1" applyBorder="1" applyAlignment="1" applyProtection="1">
      <alignment horizontal="center"/>
      <protection hidden="1"/>
    </xf>
    <xf numFmtId="165" fontId="0" fillId="3" borderId="15" xfId="0" applyNumberFormat="1" applyFill="1" applyBorder="1" applyAlignment="1" applyProtection="1">
      <alignment horizontal="center"/>
      <protection hidden="1"/>
    </xf>
    <xf numFmtId="0" fontId="0" fillId="0" borderId="11" xfId="0" applyFill="1" applyBorder="1" applyAlignment="1" applyProtection="1">
      <alignment horizontal="center"/>
      <protection hidden="1"/>
    </xf>
    <xf numFmtId="2" fontId="0" fillId="3" borderId="15" xfId="0" applyNumberFormat="1" applyFill="1" applyBorder="1" applyAlignment="1" applyProtection="1">
      <alignment horizontal="center"/>
      <protection hidden="1"/>
    </xf>
    <xf numFmtId="0" fontId="0" fillId="5" borderId="15" xfId="0" applyFill="1" applyBorder="1" applyAlignment="1" applyProtection="1">
      <alignment horizontal="center"/>
      <protection hidden="1"/>
    </xf>
    <xf numFmtId="1" fontId="56" fillId="3" borderId="15" xfId="0" applyNumberFormat="1" applyFont="1" applyFill="1" applyBorder="1" applyAlignment="1" applyProtection="1">
      <alignment horizontal="center"/>
      <protection hidden="1"/>
    </xf>
    <xf numFmtId="0" fontId="77" fillId="2" borderId="14" xfId="0" applyFont="1" applyFill="1" applyBorder="1" applyAlignment="1" applyProtection="1">
      <alignment horizontal="center"/>
      <protection locked="0" hidden="1"/>
    </xf>
    <xf numFmtId="165" fontId="0" fillId="3" borderId="14" xfId="0" applyNumberFormat="1" applyFill="1" applyBorder="1" applyAlignment="1" applyProtection="1">
      <alignment horizontal="center"/>
      <protection hidden="1"/>
    </xf>
    <xf numFmtId="0" fontId="0" fillId="3" borderId="15" xfId="0" applyNumberFormat="1" applyFill="1" applyBorder="1" applyAlignment="1" applyProtection="1">
      <alignment horizontal="center"/>
      <protection hidden="1"/>
    </xf>
    <xf numFmtId="2" fontId="72" fillId="3" borderId="0" xfId="0" applyNumberFormat="1" applyFont="1" applyFill="1" applyBorder="1" applyProtection="1">
      <protection hidden="1"/>
    </xf>
    <xf numFmtId="2" fontId="72" fillId="3" borderId="0" xfId="0" applyNumberFormat="1" applyFont="1" applyFill="1" applyBorder="1" applyAlignment="1" applyProtection="1">
      <alignment horizontal="center"/>
      <protection hidden="1"/>
    </xf>
    <xf numFmtId="0" fontId="77" fillId="2" borderId="16" xfId="0" applyFont="1" applyFill="1" applyBorder="1" applyAlignment="1" applyProtection="1">
      <alignment horizontal="center"/>
      <protection locked="0" hidden="1"/>
    </xf>
    <xf numFmtId="0" fontId="81" fillId="11" borderId="0" xfId="0" applyFont="1" applyFill="1" applyBorder="1" applyAlignment="1" applyProtection="1">
      <alignment horizontal="center" vertical="center"/>
    </xf>
    <xf numFmtId="0" fontId="81" fillId="11" borderId="0" xfId="0" applyFont="1" applyFill="1" applyBorder="1" applyProtection="1"/>
    <xf numFmtId="0" fontId="0" fillId="10" borderId="46" xfId="0" applyFill="1" applyBorder="1" applyAlignment="1">
      <alignment horizontal="center" vertical="center"/>
    </xf>
    <xf numFmtId="0" fontId="82" fillId="10" borderId="20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83" fillId="0" borderId="0" xfId="0" applyFont="1"/>
    <xf numFmtId="0" fontId="0" fillId="10" borderId="26" xfId="0" applyFill="1" applyBorder="1" applyAlignment="1">
      <alignment horizontal="center" vertical="center"/>
    </xf>
    <xf numFmtId="0" fontId="82" fillId="10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2" fillId="10" borderId="26" xfId="0" applyFont="1" applyFill="1" applyBorder="1" applyAlignment="1">
      <alignment horizontal="center" vertical="center"/>
    </xf>
    <xf numFmtId="0" fontId="85" fillId="13" borderId="27" xfId="0" applyFont="1" applyFill="1" applyBorder="1" applyAlignment="1">
      <alignment horizontal="center" vertical="center"/>
    </xf>
    <xf numFmtId="0" fontId="85" fillId="13" borderId="17" xfId="0" applyFont="1" applyFill="1" applyBorder="1" applyAlignment="1">
      <alignment horizontal="center" vertical="center"/>
    </xf>
    <xf numFmtId="0" fontId="85" fillId="13" borderId="14" xfId="0" applyFont="1" applyFill="1" applyBorder="1" applyAlignment="1">
      <alignment horizontal="center" vertical="center"/>
    </xf>
    <xf numFmtId="0" fontId="72" fillId="0" borderId="0" xfId="0" applyFont="1"/>
    <xf numFmtId="0" fontId="86" fillId="3" borderId="0" xfId="0" applyFont="1" applyFill="1" applyBorder="1" applyAlignment="1" applyProtection="1">
      <alignment shrinkToFit="1"/>
    </xf>
    <xf numFmtId="0" fontId="0" fillId="14" borderId="15" xfId="0" applyFill="1" applyBorder="1" applyProtection="1">
      <protection hidden="1"/>
    </xf>
    <xf numFmtId="0" fontId="0" fillId="3" borderId="16" xfId="0" applyNumberFormat="1" applyFill="1" applyBorder="1" applyAlignment="1" applyProtection="1">
      <alignment horizontal="center"/>
      <protection hidden="1"/>
    </xf>
    <xf numFmtId="0" fontId="0" fillId="3" borderId="6" xfId="0" applyNumberFormat="1" applyFill="1" applyBorder="1" applyAlignment="1" applyProtection="1">
      <alignment horizontal="center"/>
      <protection hidden="1"/>
    </xf>
    <xf numFmtId="0" fontId="0" fillId="11" borderId="0" xfId="0" applyFill="1" applyBorder="1" applyAlignment="1" applyProtection="1">
      <alignment horizontal="center"/>
      <protection hidden="1"/>
    </xf>
    <xf numFmtId="1" fontId="56" fillId="0" borderId="15" xfId="0" applyNumberFormat="1" applyFont="1" applyFill="1" applyBorder="1" applyAlignment="1" applyProtection="1">
      <alignment horizontal="center"/>
      <protection hidden="1"/>
    </xf>
    <xf numFmtId="0" fontId="0" fillId="3" borderId="14" xfId="0" applyFill="1" applyBorder="1" applyProtection="1">
      <protection hidden="1"/>
    </xf>
    <xf numFmtId="1" fontId="77" fillId="2" borderId="15" xfId="0" applyNumberFormat="1" applyFont="1" applyFill="1" applyBorder="1" applyAlignment="1" applyProtection="1">
      <alignment horizontal="center"/>
      <protection locked="0" hidden="1"/>
    </xf>
    <xf numFmtId="1" fontId="77" fillId="2" borderId="14" xfId="0" applyNumberFormat="1" applyFont="1" applyFill="1" applyBorder="1" applyAlignment="1" applyProtection="1">
      <alignment horizontal="center"/>
      <protection locked="0" hidden="1"/>
    </xf>
    <xf numFmtId="0" fontId="77" fillId="3" borderId="15" xfId="0" applyNumberFormat="1" applyFont="1" applyFill="1" applyBorder="1" applyAlignment="1" applyProtection="1">
      <alignment horizontal="center"/>
      <protection hidden="1"/>
    </xf>
    <xf numFmtId="2" fontId="77" fillId="3" borderId="15" xfId="0" applyNumberFormat="1" applyFont="1" applyFill="1" applyBorder="1" applyAlignment="1" applyProtection="1">
      <alignment horizontal="center"/>
      <protection hidden="1"/>
    </xf>
    <xf numFmtId="1" fontId="77" fillId="3" borderId="15" xfId="0" applyNumberFormat="1" applyFont="1" applyFill="1" applyBorder="1" applyAlignment="1" applyProtection="1">
      <alignment horizontal="center"/>
      <protection hidden="1"/>
    </xf>
    <xf numFmtId="165" fontId="77" fillId="3" borderId="15" xfId="0" applyNumberFormat="1" applyFont="1" applyFill="1" applyBorder="1" applyAlignment="1" applyProtection="1">
      <alignment horizontal="center"/>
      <protection hidden="1"/>
    </xf>
    <xf numFmtId="0" fontId="77" fillId="0" borderId="15" xfId="0" applyNumberFormat="1" applyFont="1" applyFill="1" applyBorder="1" applyAlignment="1" applyProtection="1">
      <alignment horizontal="center"/>
      <protection hidden="1"/>
    </xf>
    <xf numFmtId="0" fontId="40" fillId="3" borderId="6" xfId="0" applyFont="1" applyFill="1" applyBorder="1" applyProtection="1">
      <protection locked="0"/>
    </xf>
    <xf numFmtId="0" fontId="40" fillId="3" borderId="7" xfId="0" applyFont="1" applyFill="1" applyBorder="1" applyProtection="1">
      <protection locked="0"/>
    </xf>
    <xf numFmtId="0" fontId="0" fillId="3" borderId="0" xfId="0" applyFill="1" applyBorder="1" applyAlignment="1" applyProtection="1">
      <protection locked="0" hidden="1"/>
    </xf>
    <xf numFmtId="0" fontId="43" fillId="3" borderId="0" xfId="0" applyFont="1" applyFill="1" applyProtection="1">
      <protection locked="0"/>
    </xf>
    <xf numFmtId="0" fontId="72" fillId="3" borderId="0" xfId="0" applyFont="1" applyFill="1" applyAlignment="1">
      <alignment vertical="center" wrapText="1"/>
    </xf>
    <xf numFmtId="0" fontId="68" fillId="3" borderId="0" xfId="0" applyFont="1" applyFill="1" applyAlignment="1">
      <alignment horizontal="center" vertical="center" shrinkToFit="1"/>
    </xf>
    <xf numFmtId="0" fontId="17" fillId="3" borderId="29" xfId="0" applyFont="1" applyFill="1" applyBorder="1" applyAlignment="1" applyProtection="1">
      <alignment horizontal="left" vertical="center"/>
    </xf>
    <xf numFmtId="0" fontId="17" fillId="3" borderId="30" xfId="0" applyFont="1" applyFill="1" applyBorder="1" applyAlignment="1" applyProtection="1">
      <alignment horizontal="left" vertical="center"/>
    </xf>
    <xf numFmtId="164" fontId="27" fillId="3" borderId="13" xfId="1" applyFont="1" applyFill="1" applyBorder="1" applyAlignment="1" applyProtection="1">
      <alignment wrapText="1"/>
    </xf>
    <xf numFmtId="164" fontId="27" fillId="3" borderId="29" xfId="1" applyFont="1" applyFill="1" applyBorder="1" applyAlignment="1" applyProtection="1">
      <alignment wrapText="1"/>
    </xf>
    <xf numFmtId="164" fontId="27" fillId="3" borderId="30" xfId="1" applyFont="1" applyFill="1" applyBorder="1" applyAlignment="1" applyProtection="1">
      <alignment wrapText="1"/>
    </xf>
    <xf numFmtId="1" fontId="11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6" borderId="29" xfId="0" applyNumberFormat="1" applyFont="1" applyFill="1" applyBorder="1" applyAlignment="1" applyProtection="1">
      <alignment horizontal="center" vertical="center"/>
      <protection locked="0"/>
    </xf>
    <xf numFmtId="1" fontId="11" fillId="6" borderId="30" xfId="0" applyNumberFormat="1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Border="1" applyAlignment="1" applyProtection="1">
      <alignment horizontal="left"/>
    </xf>
    <xf numFmtId="0" fontId="21" fillId="3" borderId="4" xfId="0" applyFont="1" applyFill="1" applyBorder="1" applyAlignment="1" applyProtection="1">
      <alignment horizontal="center"/>
    </xf>
    <xf numFmtId="0" fontId="21" fillId="3" borderId="0" xfId="0" applyFont="1" applyFill="1" applyBorder="1" applyAlignment="1" applyProtection="1">
      <alignment horizontal="center"/>
    </xf>
    <xf numFmtId="0" fontId="23" fillId="2" borderId="10" xfId="0" applyFont="1" applyFill="1" applyBorder="1" applyAlignment="1" applyProtection="1">
      <alignment horizontal="center"/>
    </xf>
    <xf numFmtId="0" fontId="24" fillId="2" borderId="9" xfId="0" applyFont="1" applyFill="1" applyBorder="1" applyProtection="1"/>
    <xf numFmtId="2" fontId="11" fillId="3" borderId="6" xfId="0" applyNumberFormat="1" applyFont="1" applyFill="1" applyBorder="1" applyAlignment="1" applyProtection="1">
      <alignment horizontal="center"/>
    </xf>
    <xf numFmtId="0" fontId="11" fillId="3" borderId="6" xfId="0" applyFont="1" applyFill="1" applyBorder="1" applyAlignment="1" applyProtection="1">
      <alignment horizontal="center"/>
    </xf>
    <xf numFmtId="14" fontId="4" fillId="3" borderId="0" xfId="0" applyNumberFormat="1" applyFont="1" applyFill="1" applyBorder="1" applyAlignment="1" applyProtection="1">
      <alignment horizontal="center"/>
    </xf>
    <xf numFmtId="166" fontId="11" fillId="3" borderId="13" xfId="0" applyNumberFormat="1" applyFont="1" applyFill="1" applyBorder="1" applyAlignment="1" applyProtection="1">
      <alignment horizontal="center" vertical="center"/>
    </xf>
    <xf numFmtId="166" fontId="11" fillId="3" borderId="29" xfId="0" applyNumberFormat="1" applyFont="1" applyFill="1" applyBorder="1" applyAlignment="1" applyProtection="1">
      <alignment horizontal="center" vertical="center"/>
    </xf>
    <xf numFmtId="166" fontId="11" fillId="3" borderId="30" xfId="0" applyNumberFormat="1" applyFont="1" applyFill="1" applyBorder="1" applyAlignment="1" applyProtection="1">
      <alignment horizontal="center" vertical="center"/>
    </xf>
    <xf numFmtId="0" fontId="27" fillId="4" borderId="6" xfId="0" applyFont="1" applyFill="1" applyBorder="1" applyAlignment="1" applyProtection="1">
      <alignment horizontal="center"/>
    </xf>
    <xf numFmtId="0" fontId="25" fillId="3" borderId="0" xfId="0" applyFont="1" applyFill="1" applyBorder="1" applyAlignment="1" applyProtection="1">
      <alignment horizontal="center"/>
    </xf>
    <xf numFmtId="0" fontId="12" fillId="2" borderId="6" xfId="0" applyFont="1" applyFill="1" applyBorder="1" applyAlignment="1" applyProtection="1">
      <alignment horizontal="center"/>
    </xf>
    <xf numFmtId="0" fontId="32" fillId="6" borderId="0" xfId="0" applyFont="1" applyFill="1" applyBorder="1" applyAlignment="1" applyProtection="1">
      <alignment horizontal="center"/>
      <protection locked="0"/>
    </xf>
    <xf numFmtId="0" fontId="25" fillId="3" borderId="0" xfId="0" applyFont="1" applyFill="1" applyBorder="1" applyAlignment="1">
      <alignment horizontal="center"/>
    </xf>
    <xf numFmtId="0" fontId="68" fillId="3" borderId="0" xfId="0" applyFont="1" applyFill="1" applyAlignment="1" applyProtection="1">
      <alignment horizontal="center" vertical="center"/>
    </xf>
    <xf numFmtId="0" fontId="63" fillId="0" borderId="0" xfId="0" applyFont="1" applyAlignment="1">
      <alignment horizontal="center" vertical="center"/>
    </xf>
    <xf numFmtId="0" fontId="68" fillId="3" borderId="0" xfId="0" applyFont="1" applyFill="1" applyAlignment="1" applyProtection="1">
      <alignment horizontal="center" vertical="center" wrapText="1"/>
    </xf>
    <xf numFmtId="0" fontId="63" fillId="0" borderId="0" xfId="0" applyFont="1" applyAlignment="1">
      <alignment wrapText="1"/>
    </xf>
    <xf numFmtId="0" fontId="53" fillId="3" borderId="0" xfId="0" applyFont="1" applyFill="1" applyBorder="1" applyAlignment="1" applyProtection="1">
      <alignment horizontal="right"/>
      <protection hidden="1"/>
    </xf>
    <xf numFmtId="0" fontId="40" fillId="3" borderId="7" xfId="0" applyFont="1" applyFill="1" applyBorder="1" applyAlignment="1">
      <alignment horizontal="center" vertical="center"/>
    </xf>
    <xf numFmtId="0" fontId="40" fillId="3" borderId="31" xfId="0" applyFont="1" applyFill="1" applyBorder="1" applyAlignment="1">
      <alignment horizontal="center" vertical="center"/>
    </xf>
    <xf numFmtId="0" fontId="40" fillId="3" borderId="11" xfId="0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horizontal="center" vertical="top"/>
    </xf>
    <xf numFmtId="0" fontId="0" fillId="3" borderId="2" xfId="0" applyFill="1" applyBorder="1"/>
    <xf numFmtId="0" fontId="46" fillId="3" borderId="10" xfId="0" applyFont="1" applyFill="1" applyBorder="1" applyAlignment="1">
      <alignment horizontal="center" vertical="center"/>
    </xf>
    <xf numFmtId="0" fontId="46" fillId="3" borderId="9" xfId="0" quotePrefix="1" applyFont="1" applyFill="1" applyBorder="1" applyAlignment="1">
      <alignment horizontal="center" vertical="center"/>
    </xf>
    <xf numFmtId="0" fontId="40" fillId="3" borderId="4" xfId="0" quotePrefix="1" applyFont="1" applyFill="1" applyBorder="1" applyAlignment="1">
      <alignment horizontal="left" vertical="top"/>
    </xf>
    <xf numFmtId="0" fontId="40" fillId="3" borderId="0" xfId="0" quotePrefix="1" applyFont="1" applyFill="1" applyBorder="1" applyAlignment="1">
      <alignment horizontal="left" vertical="top"/>
    </xf>
    <xf numFmtId="0" fontId="40" fillId="3" borderId="5" xfId="0" quotePrefix="1" applyFont="1" applyFill="1" applyBorder="1" applyAlignment="1">
      <alignment horizontal="left" vertical="top"/>
    </xf>
    <xf numFmtId="0" fontId="76" fillId="3" borderId="4" xfId="0" applyFont="1" applyFill="1" applyBorder="1" applyAlignment="1">
      <alignment horizontal="center" vertical="center"/>
    </xf>
    <xf numFmtId="0" fontId="76" fillId="3" borderId="0" xfId="0" applyFont="1" applyFill="1" applyBorder="1" applyAlignment="1">
      <alignment horizontal="center" vertical="center"/>
    </xf>
    <xf numFmtId="0" fontId="76" fillId="3" borderId="5" xfId="0" applyFont="1" applyFill="1" applyBorder="1" applyAlignment="1">
      <alignment horizontal="center" vertical="center"/>
    </xf>
    <xf numFmtId="0" fontId="76" fillId="3" borderId="10" xfId="0" applyFont="1" applyFill="1" applyBorder="1" applyAlignment="1">
      <alignment horizontal="center" vertical="center"/>
    </xf>
    <xf numFmtId="0" fontId="76" fillId="3" borderId="8" xfId="0" applyFont="1" applyFill="1" applyBorder="1" applyAlignment="1">
      <alignment horizontal="center" vertical="center"/>
    </xf>
    <xf numFmtId="0" fontId="76" fillId="3" borderId="9" xfId="0" applyFont="1" applyFill="1" applyBorder="1" applyAlignment="1">
      <alignment horizontal="center" vertical="center"/>
    </xf>
    <xf numFmtId="0" fontId="40" fillId="3" borderId="2" xfId="0" applyFont="1" applyFill="1" applyBorder="1" applyAlignment="1">
      <alignment horizontal="center" vertical="top"/>
    </xf>
    <xf numFmtId="0" fontId="40" fillId="3" borderId="3" xfId="0" applyFont="1" applyFill="1" applyBorder="1" applyAlignment="1">
      <alignment horizontal="center" vertical="top"/>
    </xf>
    <xf numFmtId="0" fontId="54" fillId="3" borderId="10" xfId="0" applyFont="1" applyFill="1" applyBorder="1" applyAlignment="1">
      <alignment horizontal="center" vertical="center"/>
    </xf>
    <xf numFmtId="0" fontId="54" fillId="3" borderId="8" xfId="0" applyFont="1" applyFill="1" applyBorder="1" applyAlignment="1">
      <alignment horizontal="center" vertical="center"/>
    </xf>
    <xf numFmtId="0" fontId="54" fillId="3" borderId="9" xfId="0" applyFont="1" applyFill="1" applyBorder="1" applyAlignment="1">
      <alignment horizontal="center" vertical="center"/>
    </xf>
    <xf numFmtId="0" fontId="40" fillId="3" borderId="1" xfId="0" quotePrefix="1" applyFont="1" applyFill="1" applyBorder="1" applyAlignment="1">
      <alignment horizontal="left" vertical="top"/>
    </xf>
    <xf numFmtId="0" fontId="40" fillId="3" borderId="2" xfId="0" quotePrefix="1" applyFont="1" applyFill="1" applyBorder="1" applyAlignment="1">
      <alignment horizontal="left" vertical="top"/>
    </xf>
    <xf numFmtId="0" fontId="40" fillId="3" borderId="3" xfId="0" quotePrefix="1" applyFont="1" applyFill="1" applyBorder="1" applyAlignment="1">
      <alignment horizontal="left" vertical="top"/>
    </xf>
    <xf numFmtId="167" fontId="78" fillId="3" borderId="10" xfId="0" applyNumberFormat="1" applyFont="1" applyFill="1" applyBorder="1" applyAlignment="1">
      <alignment horizontal="center"/>
    </xf>
    <xf numFmtId="167" fontId="78" fillId="3" borderId="9" xfId="0" applyNumberFormat="1" applyFont="1" applyFill="1" applyBorder="1" applyAlignment="1">
      <alignment horizontal="center"/>
    </xf>
    <xf numFmtId="0" fontId="40" fillId="3" borderId="8" xfId="0" applyFont="1" applyFill="1" applyBorder="1" applyAlignment="1">
      <alignment horizontal="right" vertical="center"/>
    </xf>
    <xf numFmtId="0" fontId="45" fillId="3" borderId="4" xfId="3" applyFont="1" applyFill="1" applyBorder="1" applyAlignment="1">
      <alignment horizontal="center" vertical="center"/>
    </xf>
    <xf numFmtId="0" fontId="45" fillId="3" borderId="0" xfId="3" applyFont="1" applyFill="1" applyBorder="1" applyAlignment="1">
      <alignment horizontal="center" vertical="center"/>
    </xf>
    <xf numFmtId="0" fontId="45" fillId="3" borderId="5" xfId="3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40" fillId="3" borderId="4" xfId="0" applyFont="1" applyFill="1" applyBorder="1" applyAlignment="1">
      <alignment horizontal="left" vertical="top"/>
    </xf>
    <xf numFmtId="0" fontId="40" fillId="3" borderId="0" xfId="0" applyFont="1" applyFill="1" applyBorder="1" applyAlignment="1">
      <alignment horizontal="left" vertical="top"/>
    </xf>
    <xf numFmtId="0" fontId="40" fillId="3" borderId="5" xfId="0" applyFont="1" applyFill="1" applyBorder="1" applyAlignment="1">
      <alignment horizontal="left" vertical="top"/>
    </xf>
    <xf numFmtId="0" fontId="42" fillId="3" borderId="10" xfId="0" applyFont="1" applyFill="1" applyBorder="1" applyAlignment="1">
      <alignment horizontal="center" vertical="top"/>
    </xf>
    <xf numFmtId="0" fontId="42" fillId="3" borderId="8" xfId="0" applyFont="1" applyFill="1" applyBorder="1" applyAlignment="1">
      <alignment horizontal="center" vertical="top"/>
    </xf>
    <xf numFmtId="0" fontId="42" fillId="3" borderId="9" xfId="0" applyFont="1" applyFill="1" applyBorder="1" applyAlignment="1">
      <alignment horizontal="center" vertical="top"/>
    </xf>
    <xf numFmtId="0" fontId="40" fillId="3" borderId="4" xfId="0" quotePrefix="1" applyFont="1" applyFill="1" applyBorder="1" applyAlignment="1">
      <alignment horizontal="center" vertical="top"/>
    </xf>
    <xf numFmtId="0" fontId="40" fillId="3" borderId="0" xfId="0" quotePrefix="1" applyFont="1" applyFill="1" applyBorder="1" applyAlignment="1">
      <alignment horizontal="center" vertical="top"/>
    </xf>
    <xf numFmtId="0" fontId="40" fillId="3" borderId="5" xfId="0" quotePrefix="1" applyFont="1" applyFill="1" applyBorder="1" applyAlignment="1">
      <alignment horizontal="center" vertical="top"/>
    </xf>
    <xf numFmtId="0" fontId="40" fillId="3" borderId="10" xfId="0" quotePrefix="1" applyFont="1" applyFill="1" applyBorder="1" applyAlignment="1">
      <alignment horizontal="center" vertical="top"/>
    </xf>
    <xf numFmtId="0" fontId="40" fillId="3" borderId="8" xfId="0" quotePrefix="1" applyFont="1" applyFill="1" applyBorder="1" applyAlignment="1">
      <alignment horizontal="center" vertical="top"/>
    </xf>
    <xf numFmtId="0" fontId="40" fillId="3" borderId="9" xfId="0" quotePrefix="1" applyFont="1" applyFill="1" applyBorder="1" applyAlignment="1">
      <alignment horizontal="center" vertical="top"/>
    </xf>
    <xf numFmtId="0" fontId="40" fillId="3" borderId="7" xfId="0" applyFont="1" applyFill="1" applyBorder="1" applyAlignment="1">
      <alignment horizontal="center"/>
    </xf>
    <xf numFmtId="0" fontId="40" fillId="3" borderId="31" xfId="0" applyFont="1" applyFill="1" applyBorder="1" applyAlignment="1">
      <alignment horizontal="center"/>
    </xf>
    <xf numFmtId="0" fontId="40" fillId="3" borderId="11" xfId="0" applyFont="1" applyFill="1" applyBorder="1" applyAlignment="1">
      <alignment horizontal="center"/>
    </xf>
    <xf numFmtId="0" fontId="40" fillId="3" borderId="7" xfId="0" applyFont="1" applyFill="1" applyBorder="1" applyAlignment="1" applyProtection="1">
      <alignment horizontal="center"/>
      <protection locked="0"/>
    </xf>
    <xf numFmtId="0" fontId="40" fillId="3" borderId="31" xfId="0" applyFont="1" applyFill="1" applyBorder="1" applyAlignment="1" applyProtection="1">
      <alignment horizontal="center"/>
      <protection locked="0"/>
    </xf>
    <xf numFmtId="0" fontId="40" fillId="3" borderId="11" xfId="0" applyFont="1" applyFill="1" applyBorder="1" applyAlignment="1" applyProtection="1">
      <alignment horizontal="center"/>
      <protection locked="0"/>
    </xf>
    <xf numFmtId="0" fontId="66" fillId="3" borderId="2" xfId="0" applyFont="1" applyFill="1" applyBorder="1" applyAlignment="1">
      <alignment horizontal="right"/>
    </xf>
    <xf numFmtId="0" fontId="50" fillId="3" borderId="0" xfId="0" applyFont="1" applyFill="1" applyBorder="1" applyAlignment="1">
      <alignment horizontal="left"/>
    </xf>
    <xf numFmtId="0" fontId="50" fillId="3" borderId="5" xfId="0" applyFont="1" applyFill="1" applyBorder="1" applyAlignment="1">
      <alignment horizontal="left"/>
    </xf>
    <xf numFmtId="0" fontId="54" fillId="3" borderId="10" xfId="0" quotePrefix="1" applyFont="1" applyFill="1" applyBorder="1" applyAlignment="1" applyProtection="1">
      <alignment horizontal="center" vertical="top"/>
      <protection locked="0"/>
    </xf>
    <xf numFmtId="0" fontId="54" fillId="3" borderId="8" xfId="0" quotePrefix="1" applyFont="1" applyFill="1" applyBorder="1" applyAlignment="1" applyProtection="1">
      <alignment horizontal="center" vertical="top"/>
      <protection locked="0"/>
    </xf>
    <xf numFmtId="0" fontId="54" fillId="3" borderId="9" xfId="0" quotePrefix="1" applyFont="1" applyFill="1" applyBorder="1" applyAlignment="1" applyProtection="1">
      <alignment horizontal="center" vertical="top"/>
      <protection locked="0"/>
    </xf>
    <xf numFmtId="0" fontId="46" fillId="3" borderId="8" xfId="0" applyFont="1" applyFill="1" applyBorder="1" applyAlignment="1">
      <alignment horizontal="center" vertical="center"/>
    </xf>
    <xf numFmtId="0" fontId="46" fillId="3" borderId="9" xfId="0" applyFont="1" applyFill="1" applyBorder="1" applyAlignment="1">
      <alignment horizontal="center" vertical="center"/>
    </xf>
    <xf numFmtId="0" fontId="50" fillId="3" borderId="4" xfId="0" applyFont="1" applyFill="1" applyBorder="1" applyAlignment="1">
      <alignment horizontal="right"/>
    </xf>
    <xf numFmtId="0" fontId="50" fillId="3" borderId="0" xfId="0" applyFont="1" applyFill="1" applyBorder="1" applyAlignment="1">
      <alignment horizontal="right"/>
    </xf>
    <xf numFmtId="0" fontId="0" fillId="7" borderId="46" xfId="0" applyFill="1" applyBorder="1" applyAlignment="1" applyProtection="1">
      <alignment horizontal="center" vertical="center" wrapText="1"/>
      <protection hidden="1"/>
    </xf>
    <xf numFmtId="0" fontId="0" fillId="7" borderId="20" xfId="0" applyFill="1" applyBorder="1" applyAlignment="1" applyProtection="1">
      <alignment horizontal="center" vertical="center" wrapText="1"/>
      <protection hidden="1"/>
    </xf>
    <xf numFmtId="0" fontId="0" fillId="7" borderId="21" xfId="0" applyFill="1" applyBorder="1" applyAlignment="1" applyProtection="1">
      <alignment horizontal="center" vertical="center" wrapText="1"/>
      <protection hidden="1"/>
    </xf>
    <xf numFmtId="0" fontId="74" fillId="2" borderId="39" xfId="0" applyFont="1" applyFill="1" applyBorder="1" applyAlignment="1" applyProtection="1">
      <alignment horizontal="center" wrapText="1"/>
      <protection hidden="1"/>
    </xf>
    <xf numFmtId="0" fontId="74" fillId="2" borderId="11" xfId="0" applyFont="1" applyFill="1" applyBorder="1" applyAlignment="1" applyProtection="1">
      <alignment horizontal="center" wrapText="1"/>
      <protection hidden="1"/>
    </xf>
    <xf numFmtId="2" fontId="74" fillId="2" borderId="39" xfId="0" applyNumberFormat="1" applyFont="1" applyFill="1" applyBorder="1" applyAlignment="1" applyProtection="1">
      <alignment horizontal="center" wrapText="1"/>
      <protection hidden="1"/>
    </xf>
    <xf numFmtId="2" fontId="74" fillId="2" borderId="11" xfId="0" applyNumberFormat="1" applyFont="1" applyFill="1" applyBorder="1" applyAlignment="1" applyProtection="1">
      <alignment horizontal="center" wrapText="1"/>
      <protection hidden="1"/>
    </xf>
    <xf numFmtId="0" fontId="0" fillId="3" borderId="0" xfId="0" applyFill="1" applyBorder="1" applyAlignment="1" applyProtection="1">
      <alignment horizontal="center"/>
      <protection hidden="1"/>
    </xf>
    <xf numFmtId="2" fontId="0" fillId="2" borderId="27" xfId="0" applyNumberFormat="1" applyFill="1" applyBorder="1" applyAlignment="1" applyProtection="1">
      <alignment horizontal="center"/>
      <protection hidden="1"/>
    </xf>
    <xf numFmtId="2" fontId="0" fillId="2" borderId="17" xfId="0" applyNumberFormat="1" applyFill="1" applyBorder="1" applyAlignment="1" applyProtection="1">
      <alignment horizontal="center"/>
      <protection hidden="1"/>
    </xf>
    <xf numFmtId="0" fontId="0" fillId="2" borderId="26" xfId="0" applyFill="1" applyBorder="1" applyAlignment="1" applyProtection="1">
      <alignment horizontal="right"/>
      <protection hidden="1"/>
    </xf>
    <xf numFmtId="0" fontId="0" fillId="2" borderId="6" xfId="0" applyFill="1" applyBorder="1" applyAlignment="1" applyProtection="1">
      <alignment horizontal="right"/>
      <protection hidden="1"/>
    </xf>
    <xf numFmtId="2" fontId="70" fillId="9" borderId="26" xfId="0" applyNumberFormat="1" applyFont="1" applyFill="1" applyBorder="1" applyAlignment="1" applyProtection="1">
      <alignment horizontal="center"/>
      <protection hidden="1"/>
    </xf>
    <xf numFmtId="2" fontId="70" fillId="9" borderId="6" xfId="0" applyNumberFormat="1" applyFont="1" applyFill="1" applyBorder="1" applyAlignment="1" applyProtection="1">
      <alignment horizontal="center"/>
      <protection hidden="1"/>
    </xf>
    <xf numFmtId="2" fontId="0" fillId="2" borderId="26" xfId="0" applyNumberFormat="1" applyFill="1" applyBorder="1" applyAlignment="1" applyProtection="1">
      <alignment horizontal="center"/>
      <protection hidden="1"/>
    </xf>
    <xf numFmtId="2" fontId="0" fillId="2" borderId="6" xfId="0" applyNumberFormat="1" applyFill="1" applyBorder="1" applyAlignment="1" applyProtection="1">
      <alignment horizontal="center"/>
      <protection hidden="1"/>
    </xf>
    <xf numFmtId="0" fontId="67" fillId="3" borderId="2" xfId="0" applyFont="1" applyFill="1" applyBorder="1" applyAlignment="1">
      <alignment horizontal="right"/>
    </xf>
    <xf numFmtId="167" fontId="71" fillId="3" borderId="10" xfId="0" applyNumberFormat="1" applyFont="1" applyFill="1" applyBorder="1" applyAlignment="1">
      <alignment horizontal="center"/>
    </xf>
    <xf numFmtId="167" fontId="71" fillId="3" borderId="9" xfId="0" applyNumberFormat="1" applyFont="1" applyFill="1" applyBorder="1" applyAlignment="1">
      <alignment horizontal="center"/>
    </xf>
    <xf numFmtId="0" fontId="54" fillId="3" borderId="4" xfId="0" applyFont="1" applyFill="1" applyBorder="1" applyAlignment="1">
      <alignment horizontal="center" vertical="center"/>
    </xf>
    <xf numFmtId="0" fontId="54" fillId="3" borderId="0" xfId="0" applyFont="1" applyFill="1" applyBorder="1" applyAlignment="1">
      <alignment horizontal="center" vertical="center"/>
    </xf>
    <xf numFmtId="0" fontId="54" fillId="3" borderId="5" xfId="0" applyFont="1" applyFill="1" applyBorder="1" applyAlignment="1">
      <alignment horizontal="center" vertical="center"/>
    </xf>
    <xf numFmtId="167" fontId="66" fillId="3" borderId="10" xfId="0" applyNumberFormat="1" applyFont="1" applyFill="1" applyBorder="1" applyAlignment="1">
      <alignment horizontal="center"/>
    </xf>
    <xf numFmtId="167" fontId="66" fillId="3" borderId="9" xfId="0" applyNumberFormat="1" applyFont="1" applyFill="1" applyBorder="1" applyAlignment="1">
      <alignment horizontal="center"/>
    </xf>
    <xf numFmtId="0" fontId="0" fillId="2" borderId="39" xfId="0" applyFill="1" applyBorder="1" applyAlignment="1" applyProtection="1">
      <alignment horizontal="center"/>
      <protection hidden="1"/>
    </xf>
    <xf numFmtId="0" fontId="0" fillId="2" borderId="11" xfId="0" applyFill="1" applyBorder="1" applyAlignment="1" applyProtection="1">
      <alignment horizontal="center"/>
      <protection hidden="1"/>
    </xf>
    <xf numFmtId="0" fontId="0" fillId="2" borderId="26" xfId="0" applyFill="1" applyBorder="1" applyAlignment="1" applyProtection="1">
      <alignment horizontal="center"/>
      <protection hidden="1"/>
    </xf>
    <xf numFmtId="0" fontId="0" fillId="2" borderId="6" xfId="0" applyFill="1" applyBorder="1" applyAlignment="1" applyProtection="1">
      <alignment horizontal="center"/>
      <protection hidden="1"/>
    </xf>
    <xf numFmtId="0" fontId="1" fillId="2" borderId="27" xfId="0" applyFont="1" applyFill="1" applyBorder="1" applyAlignment="1" applyProtection="1">
      <alignment horizontal="center"/>
      <protection hidden="1"/>
    </xf>
    <xf numFmtId="0" fontId="0" fillId="2" borderId="17" xfId="0" applyFill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64" fillId="3" borderId="33" xfId="0" applyFont="1" applyFill="1" applyBorder="1" applyAlignment="1" applyProtection="1">
      <alignment horizontal="center" vertical="center"/>
      <protection hidden="1"/>
    </xf>
    <xf numFmtId="0" fontId="64" fillId="3" borderId="18" xfId="0" applyFont="1" applyFill="1" applyBorder="1" applyAlignment="1" applyProtection="1">
      <alignment horizontal="center" vertical="center"/>
      <protection hidden="1"/>
    </xf>
    <xf numFmtId="0" fontId="64" fillId="3" borderId="34" xfId="0" applyFont="1" applyFill="1" applyBorder="1" applyAlignment="1" applyProtection="1">
      <alignment horizontal="center" vertical="center"/>
      <protection hidden="1"/>
    </xf>
    <xf numFmtId="0" fontId="64" fillId="3" borderId="35" xfId="0" applyFont="1" applyFill="1" applyBorder="1" applyAlignment="1" applyProtection="1">
      <alignment horizontal="center" vertical="center"/>
      <protection hidden="1"/>
    </xf>
    <xf numFmtId="0" fontId="64" fillId="3" borderId="8" xfId="0" applyFont="1" applyFill="1" applyBorder="1" applyAlignment="1" applyProtection="1">
      <alignment horizontal="center" vertical="center"/>
      <protection hidden="1"/>
    </xf>
    <xf numFmtId="0" fontId="64" fillId="3" borderId="36" xfId="0" applyFont="1" applyFill="1" applyBorder="1" applyAlignment="1" applyProtection="1">
      <alignment horizontal="center" vertical="center"/>
      <protection hidden="1"/>
    </xf>
    <xf numFmtId="0" fontId="65" fillId="7" borderId="26" xfId="0" applyFont="1" applyFill="1" applyBorder="1" applyAlignment="1" applyProtection="1">
      <alignment horizontal="center"/>
      <protection hidden="1"/>
    </xf>
    <xf numFmtId="0" fontId="65" fillId="7" borderId="6" xfId="0" applyFont="1" applyFill="1" applyBorder="1" applyAlignment="1" applyProtection="1">
      <alignment horizontal="center"/>
      <protection hidden="1"/>
    </xf>
    <xf numFmtId="0" fontId="65" fillId="7" borderId="32" xfId="0" applyFont="1" applyFill="1" applyBorder="1" applyAlignment="1" applyProtection="1">
      <alignment horizontal="center" vertical="center"/>
      <protection hidden="1"/>
    </xf>
    <xf numFmtId="0" fontId="65" fillId="7" borderId="22" xfId="0" applyFont="1" applyFill="1" applyBorder="1" applyAlignment="1" applyProtection="1">
      <alignment horizontal="center" vertical="center"/>
      <protection hidden="1"/>
    </xf>
    <xf numFmtId="0" fontId="59" fillId="3" borderId="2" xfId="0" applyFont="1" applyFill="1" applyBorder="1" applyAlignment="1">
      <alignment horizontal="center"/>
    </xf>
    <xf numFmtId="0" fontId="57" fillId="3" borderId="2" xfId="0" applyFont="1" applyFill="1" applyBorder="1" applyAlignment="1">
      <alignment horizontal="center"/>
    </xf>
    <xf numFmtId="0" fontId="66" fillId="3" borderId="2" xfId="0" applyFont="1" applyFill="1" applyBorder="1" applyAlignment="1">
      <alignment horizontal="right" shrinkToFit="1"/>
    </xf>
    <xf numFmtId="0" fontId="0" fillId="2" borderId="6" xfId="0" applyFill="1" applyBorder="1" applyAlignment="1">
      <alignment horizontal="center"/>
    </xf>
    <xf numFmtId="0" fontId="0" fillId="2" borderId="27" xfId="0" applyFill="1" applyBorder="1" applyAlignment="1" applyProtection="1">
      <alignment horizontal="center"/>
      <protection hidden="1"/>
    </xf>
    <xf numFmtId="0" fontId="0" fillId="14" borderId="39" xfId="0" applyFill="1" applyBorder="1" applyAlignment="1" applyProtection="1">
      <alignment horizontal="center"/>
      <protection hidden="1"/>
    </xf>
    <xf numFmtId="0" fontId="0" fillId="14" borderId="11" xfId="0" applyFill="1" applyBorder="1" applyAlignment="1" applyProtection="1">
      <alignment horizontal="center"/>
      <protection hidden="1"/>
    </xf>
    <xf numFmtId="0" fontId="0" fillId="2" borderId="48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79" fillId="3" borderId="4" xfId="0" applyFont="1" applyFill="1" applyBorder="1" applyAlignment="1">
      <alignment horizontal="center" vertical="center"/>
    </xf>
    <xf numFmtId="0" fontId="79" fillId="3" borderId="0" xfId="0" applyFont="1" applyFill="1" applyBorder="1" applyAlignment="1">
      <alignment horizontal="center" vertical="center"/>
    </xf>
    <xf numFmtId="0" fontId="79" fillId="3" borderId="5" xfId="0" applyFont="1" applyFill="1" applyBorder="1" applyAlignment="1">
      <alignment horizontal="center" vertical="center"/>
    </xf>
    <xf numFmtId="0" fontId="79" fillId="3" borderId="10" xfId="0" applyFont="1" applyFill="1" applyBorder="1" applyAlignment="1">
      <alignment horizontal="center" vertical="center"/>
    </xf>
    <xf numFmtId="0" fontId="79" fillId="3" borderId="8" xfId="0" applyFont="1" applyFill="1" applyBorder="1" applyAlignment="1">
      <alignment horizontal="center" vertical="center"/>
    </xf>
    <xf numFmtId="0" fontId="79" fillId="3" borderId="9" xfId="0" applyFont="1" applyFill="1" applyBorder="1" applyAlignment="1">
      <alignment horizontal="center" vertical="center"/>
    </xf>
    <xf numFmtId="167" fontId="80" fillId="3" borderId="10" xfId="0" applyNumberFormat="1" applyFont="1" applyFill="1" applyBorder="1" applyAlignment="1">
      <alignment horizontal="center"/>
    </xf>
    <xf numFmtId="167" fontId="80" fillId="3" borderId="9" xfId="0" applyNumberFormat="1" applyFont="1" applyFill="1" applyBorder="1" applyAlignment="1">
      <alignment horizontal="center"/>
    </xf>
    <xf numFmtId="0" fontId="65" fillId="7" borderId="32" xfId="0" applyFont="1" applyFill="1" applyBorder="1" applyAlignment="1" applyProtection="1">
      <alignment horizontal="center"/>
      <protection hidden="1"/>
    </xf>
    <xf numFmtId="0" fontId="65" fillId="7" borderId="13" xfId="0" applyFont="1" applyFill="1" applyBorder="1" applyAlignment="1" applyProtection="1">
      <alignment horizontal="center"/>
      <protection hidden="1"/>
    </xf>
    <xf numFmtId="0" fontId="65" fillId="7" borderId="27" xfId="0" applyFont="1" applyFill="1" applyBorder="1" applyAlignment="1" applyProtection="1">
      <alignment horizontal="center"/>
      <protection hidden="1"/>
    </xf>
    <xf numFmtId="0" fontId="65" fillId="7" borderId="17" xfId="0" applyFont="1" applyFill="1" applyBorder="1" applyAlignment="1" applyProtection="1">
      <alignment horizontal="center"/>
      <protection hidden="1"/>
    </xf>
    <xf numFmtId="0" fontId="65" fillId="8" borderId="0" xfId="0" applyFont="1" applyFill="1" applyBorder="1" applyAlignment="1" applyProtection="1">
      <alignment horizontal="center"/>
      <protection hidden="1"/>
    </xf>
    <xf numFmtId="0" fontId="0" fillId="2" borderId="37" xfId="0" applyFill="1" applyBorder="1" applyAlignment="1" applyProtection="1">
      <alignment horizontal="center"/>
      <protection hidden="1"/>
    </xf>
    <xf numFmtId="0" fontId="0" fillId="2" borderId="38" xfId="0" applyFill="1" applyBorder="1" applyAlignment="1" applyProtection="1">
      <alignment horizontal="center"/>
      <protection hidden="1"/>
    </xf>
    <xf numFmtId="0" fontId="46" fillId="3" borderId="2" xfId="0" applyFont="1" applyFill="1" applyBorder="1" applyAlignment="1">
      <alignment horizontal="right"/>
    </xf>
    <xf numFmtId="2" fontId="70" fillId="12" borderId="26" xfId="0" applyNumberFormat="1" applyFont="1" applyFill="1" applyBorder="1" applyAlignment="1" applyProtection="1">
      <alignment horizontal="center"/>
      <protection hidden="1"/>
    </xf>
    <xf numFmtId="2" fontId="70" fillId="12" borderId="6" xfId="0" applyNumberFormat="1" applyFont="1" applyFill="1" applyBorder="1" applyAlignment="1" applyProtection="1">
      <alignment horizontal="center"/>
      <protection hidden="1"/>
    </xf>
    <xf numFmtId="0" fontId="0" fillId="7" borderId="6" xfId="0" applyFill="1" applyBorder="1" applyAlignment="1" applyProtection="1">
      <alignment horizontal="center" vertical="center" wrapText="1"/>
      <protection hidden="1"/>
    </xf>
    <xf numFmtId="0" fontId="74" fillId="2" borderId="7" xfId="0" applyFont="1" applyFill="1" applyBorder="1" applyAlignment="1" applyProtection="1">
      <alignment horizontal="center" wrapText="1"/>
      <protection hidden="1"/>
    </xf>
    <xf numFmtId="2" fontId="74" fillId="2" borderId="7" xfId="0" applyNumberFormat="1" applyFont="1" applyFill="1" applyBorder="1" applyAlignment="1" applyProtection="1">
      <alignment horizontal="center" wrapText="1"/>
      <protection hidden="1"/>
    </xf>
    <xf numFmtId="0" fontId="0" fillId="11" borderId="0" xfId="0" applyFill="1" applyBorder="1" applyAlignment="1" applyProtection="1">
      <alignment horizontal="center"/>
      <protection hidden="1"/>
    </xf>
    <xf numFmtId="0" fontId="85" fillId="3" borderId="4" xfId="0" applyFont="1" applyFill="1" applyBorder="1" applyAlignment="1">
      <alignment horizontal="center" vertical="center"/>
    </xf>
    <xf numFmtId="0" fontId="85" fillId="3" borderId="0" xfId="0" applyFont="1" applyFill="1" applyBorder="1" applyAlignment="1">
      <alignment horizontal="center" vertical="center"/>
    </xf>
    <xf numFmtId="0" fontId="85" fillId="3" borderId="5" xfId="0" applyFont="1" applyFill="1" applyBorder="1" applyAlignment="1">
      <alignment horizontal="center" vertical="center"/>
    </xf>
    <xf numFmtId="0" fontId="85" fillId="3" borderId="10" xfId="0" applyFont="1" applyFill="1" applyBorder="1" applyAlignment="1">
      <alignment horizontal="center" vertical="center"/>
    </xf>
    <xf numFmtId="0" fontId="85" fillId="3" borderId="8" xfId="0" applyFont="1" applyFill="1" applyBorder="1" applyAlignment="1">
      <alignment horizontal="center" vertical="center"/>
    </xf>
    <xf numFmtId="0" fontId="85" fillId="3" borderId="9" xfId="0" applyFont="1" applyFill="1" applyBorder="1" applyAlignment="1">
      <alignment horizontal="center" vertical="center"/>
    </xf>
    <xf numFmtId="167" fontId="87" fillId="3" borderId="10" xfId="0" applyNumberFormat="1" applyFont="1" applyFill="1" applyBorder="1" applyAlignment="1">
      <alignment horizontal="center"/>
    </xf>
    <xf numFmtId="167" fontId="87" fillId="3" borderId="9" xfId="0" applyNumberFormat="1" applyFont="1" applyFill="1" applyBorder="1" applyAlignment="1">
      <alignment horizontal="center"/>
    </xf>
    <xf numFmtId="2" fontId="74" fillId="2" borderId="26" xfId="0" applyNumberFormat="1" applyFont="1" applyFill="1" applyBorder="1" applyAlignment="1" applyProtection="1">
      <alignment horizontal="center" wrapText="1"/>
      <protection hidden="1"/>
    </xf>
    <xf numFmtId="2" fontId="74" fillId="2" borderId="6" xfId="0" applyNumberFormat="1" applyFont="1" applyFill="1" applyBorder="1" applyAlignment="1" applyProtection="1">
      <alignment horizontal="center" wrapText="1"/>
      <protection hidden="1"/>
    </xf>
    <xf numFmtId="0" fontId="74" fillId="2" borderId="26" xfId="0" applyFont="1" applyFill="1" applyBorder="1" applyAlignment="1" applyProtection="1">
      <alignment horizontal="center" wrapText="1"/>
      <protection hidden="1"/>
    </xf>
    <xf numFmtId="0" fontId="74" fillId="2" borderId="6" xfId="0" applyFont="1" applyFill="1" applyBorder="1" applyAlignment="1" applyProtection="1">
      <alignment horizontal="center" wrapText="1"/>
      <protection hidden="1"/>
    </xf>
    <xf numFmtId="0" fontId="0" fillId="12" borderId="37" xfId="0" applyFill="1" applyBorder="1" applyAlignment="1" applyProtection="1">
      <alignment horizontal="center"/>
      <protection hidden="1"/>
    </xf>
    <xf numFmtId="0" fontId="0" fillId="12" borderId="38" xfId="0" applyFill="1" applyBorder="1" applyAlignment="1" applyProtection="1">
      <alignment horizontal="center"/>
      <protection hidden="1"/>
    </xf>
    <xf numFmtId="0" fontId="0" fillId="12" borderId="26" xfId="0" applyFill="1" applyBorder="1" applyAlignment="1" applyProtection="1">
      <alignment horizontal="center"/>
      <protection hidden="1"/>
    </xf>
    <xf numFmtId="0" fontId="0" fillId="12" borderId="6" xfId="0" applyFill="1" applyBorder="1" applyAlignment="1" applyProtection="1">
      <alignment horizontal="center"/>
      <protection hidden="1"/>
    </xf>
    <xf numFmtId="0" fontId="59" fillId="3" borderId="2" xfId="0" applyFont="1" applyFill="1" applyBorder="1" applyAlignment="1">
      <alignment horizontal="right"/>
    </xf>
    <xf numFmtId="0" fontId="57" fillId="3" borderId="2" xfId="0" applyFont="1" applyFill="1" applyBorder="1" applyAlignment="1">
      <alignment horizontal="right"/>
    </xf>
    <xf numFmtId="0" fontId="65" fillId="7" borderId="37" xfId="0" applyFont="1" applyFill="1" applyBorder="1" applyAlignment="1" applyProtection="1">
      <alignment horizontal="center"/>
      <protection hidden="1"/>
    </xf>
    <xf numFmtId="0" fontId="65" fillId="7" borderId="38" xfId="0" applyFont="1" applyFill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0" fontId="0" fillId="2" borderId="16" xfId="0" applyFill="1" applyBorder="1" applyAlignment="1" applyProtection="1">
      <alignment horizontal="center" vertical="center"/>
      <protection hidden="1"/>
    </xf>
    <xf numFmtId="0" fontId="0" fillId="2" borderId="41" xfId="0" applyFill="1" applyBorder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horizontal="center" vertical="center"/>
      <protection hidden="1"/>
    </xf>
    <xf numFmtId="0" fontId="65" fillId="9" borderId="33" xfId="0" applyFont="1" applyFill="1" applyBorder="1" applyAlignment="1" applyProtection="1">
      <alignment horizontal="center" vertical="center" wrapText="1"/>
      <protection hidden="1"/>
    </xf>
    <xf numFmtId="0" fontId="65" fillId="9" borderId="42" xfId="0" applyFont="1" applyFill="1" applyBorder="1" applyAlignment="1" applyProtection="1">
      <alignment horizontal="center" vertical="center" wrapText="1"/>
      <protection hidden="1"/>
    </xf>
    <xf numFmtId="0" fontId="65" fillId="9" borderId="35" xfId="0" applyFont="1" applyFill="1" applyBorder="1" applyAlignment="1" applyProtection="1">
      <alignment horizontal="center" vertical="center" wrapText="1"/>
      <protection hidden="1"/>
    </xf>
    <xf numFmtId="0" fontId="65" fillId="9" borderId="9" xfId="0" applyFont="1" applyFill="1" applyBorder="1" applyAlignment="1" applyProtection="1">
      <alignment horizontal="center" vertical="center" wrapText="1"/>
      <protection hidden="1"/>
    </xf>
    <xf numFmtId="0" fontId="65" fillId="9" borderId="20" xfId="0" applyFont="1" applyFill="1" applyBorder="1" applyAlignment="1" applyProtection="1">
      <alignment horizontal="center" vertical="center" wrapText="1"/>
      <protection hidden="1"/>
    </xf>
    <xf numFmtId="0" fontId="65" fillId="9" borderId="21" xfId="0" applyFont="1" applyFill="1" applyBorder="1" applyAlignment="1" applyProtection="1">
      <alignment vertical="center" wrapText="1"/>
      <protection hidden="1"/>
    </xf>
    <xf numFmtId="0" fontId="65" fillId="9" borderId="6" xfId="0" applyFont="1" applyFill="1" applyBorder="1" applyAlignment="1" applyProtection="1">
      <alignment vertical="center" wrapText="1"/>
      <protection hidden="1"/>
    </xf>
    <xf numFmtId="0" fontId="65" fillId="9" borderId="15" xfId="0" applyFont="1" applyFill="1" applyBorder="1" applyAlignment="1" applyProtection="1">
      <alignment vertical="center" wrapText="1"/>
      <protection hidden="1"/>
    </xf>
    <xf numFmtId="0" fontId="65" fillId="9" borderId="43" xfId="0" applyFont="1" applyFill="1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32" xfId="0" applyNumberFormat="1" applyBorder="1" applyAlignment="1" applyProtection="1">
      <alignment horizontal="center" vertical="center"/>
      <protection hidden="1"/>
    </xf>
    <xf numFmtId="0" fontId="0" fillId="0" borderId="25" xfId="0" applyNumberFormat="1" applyBorder="1" applyAlignment="1" applyProtection="1">
      <alignment horizontal="center" vertical="center"/>
      <protection hidden="1"/>
    </xf>
    <xf numFmtId="0" fontId="0" fillId="0" borderId="22" xfId="0" applyNumberForma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vertical="center"/>
      <protection hidden="1"/>
    </xf>
    <xf numFmtId="0" fontId="0" fillId="0" borderId="45" xfId="0" applyBorder="1" applyAlignment="1" applyProtection="1">
      <alignment vertical="center"/>
      <protection hidden="1"/>
    </xf>
    <xf numFmtId="0" fontId="0" fillId="0" borderId="41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0" fillId="2" borderId="15" xfId="0" applyFill="1" applyBorder="1" applyAlignment="1" applyProtection="1">
      <alignment horizontal="center" vertical="center"/>
      <protection hidden="1"/>
    </xf>
    <xf numFmtId="0" fontId="0" fillId="2" borderId="14" xfId="0" applyFill="1" applyBorder="1" applyAlignment="1" applyProtection="1">
      <alignment horizontal="center" vertical="center"/>
      <protection hidden="1"/>
    </xf>
    <xf numFmtId="0" fontId="0" fillId="0" borderId="32" xfId="0" applyBorder="1" applyAlignment="1" applyProtection="1">
      <alignment horizontal="center" vertical="center"/>
      <protection hidden="1"/>
    </xf>
    <xf numFmtId="0" fontId="0" fillId="0" borderId="25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protection hidden="1"/>
    </xf>
    <xf numFmtId="0" fontId="0" fillId="0" borderId="45" xfId="0" applyBorder="1" applyAlignment="1" applyProtection="1">
      <protection hidden="1"/>
    </xf>
    <xf numFmtId="0" fontId="0" fillId="0" borderId="41" xfId="0" applyBorder="1" applyAlignment="1" applyProtection="1">
      <protection hidden="1"/>
    </xf>
    <xf numFmtId="0" fontId="0" fillId="0" borderId="19" xfId="0" applyBorder="1" applyAlignment="1" applyProtection="1">
      <protection hidden="1"/>
    </xf>
    <xf numFmtId="0" fontId="0" fillId="0" borderId="0" xfId="0" applyAlignment="1">
      <alignment horizontal="center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" vertical="center"/>
      <protection hidden="1"/>
    </xf>
    <xf numFmtId="0" fontId="0" fillId="0" borderId="27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0" fontId="20" fillId="0" borderId="0" xfId="0" applyFont="1" applyAlignment="1">
      <alignment horizontal="left" vertical="center" shrinkToFit="1"/>
    </xf>
  </cellXfs>
  <cellStyles count="4">
    <cellStyle name="Currency" xfId="1" builtinId="4"/>
    <cellStyle name="Hyperlink" xfId="2" builtinId="8"/>
    <cellStyle name="Normal" xfId="0" builtinId="0"/>
    <cellStyle name="Normal_LBP (40)" xfId="3"/>
  </cellStyles>
  <dxfs count="9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0000FF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0.png"/><Relationship Id="rId1" Type="http://schemas.openxmlformats.org/officeDocument/2006/relationships/image" Target="../media/image1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0.png"/><Relationship Id="rId1" Type="http://schemas.openxmlformats.org/officeDocument/2006/relationships/image" Target="../media/image14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0.png"/><Relationship Id="rId1" Type="http://schemas.openxmlformats.org/officeDocument/2006/relationships/image" Target="../media/image14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emf"/><Relationship Id="rId1" Type="http://schemas.openxmlformats.org/officeDocument/2006/relationships/image" Target="../media/image13.png"/><Relationship Id="rId4" Type="http://schemas.microsoft.com/office/2007/relationships/hdphoto" Target="../media/hdphoto1.wdp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24.png"/><Relationship Id="rId1" Type="http://schemas.openxmlformats.org/officeDocument/2006/relationships/image" Target="../media/image1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1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13.png"/><Relationship Id="rId1" Type="http://schemas.openxmlformats.org/officeDocument/2006/relationships/image" Target="../media/image14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2320290</xdr:colOff>
      <xdr:row>9</xdr:row>
      <xdr:rowOff>144780</xdr:rowOff>
    </xdr:from>
    <xdr:to>
      <xdr:col>7</xdr:col>
      <xdr:colOff>1062990</xdr:colOff>
      <xdr:row>18</xdr:row>
      <xdr:rowOff>3792</xdr:rowOff>
    </xdr:to>
    <xdr:sp macro="" textlink="">
      <xdr:nvSpPr>
        <xdr:cNvPr id="1040" name="WordArt 16"/>
        <xdr:cNvSpPr>
          <a:spLocks noChangeArrowheads="1" noChangeShapeType="1" noTextEdit="1"/>
        </xdr:cNvSpPr>
      </xdr:nvSpPr>
      <xdr:spPr bwMode="auto">
        <a:xfrm>
          <a:off x="2463165" y="2221230"/>
          <a:ext cx="5981700" cy="1973562"/>
        </a:xfrm>
        <a:prstGeom prst="rect">
          <a:avLst/>
        </a:prstGeom>
      </xdr:spPr>
      <xdr:txBody>
        <a:bodyPr vertOverflow="clip" wrap="none" lIns="18288" tIns="0" rIns="0" bIns="0" fromWordArt="1" anchor="t">
          <a:prstTxWarp prst="textSlantUp">
            <a:avLst>
              <a:gd name="adj" fmla="val 32056"/>
            </a:avLst>
          </a:prstTxWarp>
        </a:bodyPr>
        <a:lstStyle/>
        <a:p>
          <a:pPr algn="ctr" rtl="0">
            <a:buNone/>
          </a:pPr>
          <a:fld id="{3F70EE15-E86A-4832-B30E-A57812F5A622}" type="TxLink">
            <a:rPr lang="en-SG" sz="3600" kern="10" spc="0">
              <a:ln w="9525">
                <a:solidFill>
                  <a:srgbClr val="CC99FF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6600CC"/>
                  </a:gs>
                  <a:gs pos="100000">
                    <a:srgbClr val="CC00CC"/>
                  </a:gs>
                </a:gsLst>
                <a:lin ang="5400000" scaled="1"/>
              </a:gradFill>
              <a:effectLst>
                <a:outerShdw dist="53882" dir="2700000" algn="ctr" rotWithShape="0">
                  <a:srgbClr val="9999FF">
                    <a:alpha val="80000"/>
                  </a:srgbClr>
                </a:outerShdw>
              </a:effectLst>
              <a:latin typeface="Impact" panose="020B0806030902050204" pitchFamily="34" charset="0"/>
            </a:rPr>
            <a:pPr algn="ctr" rtl="0">
              <a:buNone/>
            </a:pPr>
            <a:t> </a:t>
          </a:fld>
          <a:endParaRPr lang="en-SG" sz="3600" kern="10" spc="0">
            <a:ln w="9525">
              <a:solidFill>
                <a:srgbClr val="CC99FF"/>
              </a:solidFill>
              <a:round/>
              <a:headEnd/>
              <a:tailEnd/>
            </a:ln>
            <a:gradFill rotWithShape="0">
              <a:gsLst>
                <a:gs pos="0">
                  <a:srgbClr val="6600CC"/>
                </a:gs>
                <a:gs pos="100000">
                  <a:srgbClr val="CC00CC"/>
                </a:gs>
              </a:gsLst>
              <a:lin ang="5400000" scaled="1"/>
            </a:gradFill>
            <a:effectLst>
              <a:outerShdw dist="53882" dir="2700000" algn="ctr" rotWithShape="0">
                <a:srgbClr val="9999FF">
                  <a:alpha val="80000"/>
                </a:srgbClr>
              </a:outerShdw>
            </a:effectLst>
            <a:latin typeface="Impact" panose="020B0806030902050204" pitchFamily="34" charset="0"/>
          </a:endParaRPr>
        </a:p>
      </xdr:txBody>
    </xdr:sp>
    <xdr:clientData/>
  </xdr:twoCellAnchor>
  <xdr:twoCellAnchor>
    <xdr:from>
      <xdr:col>1</xdr:col>
      <xdr:colOff>314325</xdr:colOff>
      <xdr:row>19</xdr:row>
      <xdr:rowOff>76200</xdr:rowOff>
    </xdr:from>
    <xdr:to>
      <xdr:col>1</xdr:col>
      <xdr:colOff>381000</xdr:colOff>
      <xdr:row>19</xdr:row>
      <xdr:rowOff>123825</xdr:rowOff>
    </xdr:to>
    <xdr:sp macro="" textlink="">
      <xdr:nvSpPr>
        <xdr:cNvPr id="1078" name="Line 1"/>
        <xdr:cNvSpPr>
          <a:spLocks noChangeShapeType="1"/>
        </xdr:cNvSpPr>
      </xdr:nvSpPr>
      <xdr:spPr bwMode="auto">
        <a:xfrm>
          <a:off x="457200" y="4495800"/>
          <a:ext cx="66675" cy="47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18</xdr:row>
      <xdr:rowOff>66675</xdr:rowOff>
    </xdr:from>
    <xdr:to>
      <xdr:col>1</xdr:col>
      <xdr:colOff>447675</xdr:colOff>
      <xdr:row>19</xdr:row>
      <xdr:rowOff>123825</xdr:rowOff>
    </xdr:to>
    <xdr:sp macro="" textlink="">
      <xdr:nvSpPr>
        <xdr:cNvPr id="1079" name="Line 2"/>
        <xdr:cNvSpPr>
          <a:spLocks noChangeShapeType="1"/>
        </xdr:cNvSpPr>
      </xdr:nvSpPr>
      <xdr:spPr bwMode="auto">
        <a:xfrm flipV="1">
          <a:off x="523875" y="4257675"/>
          <a:ext cx="66675" cy="285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438150</xdr:colOff>
      <xdr:row>18</xdr:row>
      <xdr:rowOff>66675</xdr:rowOff>
    </xdr:from>
    <xdr:to>
      <xdr:col>1</xdr:col>
      <xdr:colOff>2047875</xdr:colOff>
      <xdr:row>18</xdr:row>
      <xdr:rowOff>66675</xdr:rowOff>
    </xdr:to>
    <xdr:sp macro="" textlink="">
      <xdr:nvSpPr>
        <xdr:cNvPr id="1080" name="Line 3"/>
        <xdr:cNvSpPr>
          <a:spLocks noChangeShapeType="1"/>
        </xdr:cNvSpPr>
      </xdr:nvSpPr>
      <xdr:spPr bwMode="auto">
        <a:xfrm>
          <a:off x="581025" y="4257675"/>
          <a:ext cx="16097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0</xdr:row>
      <xdr:rowOff>400050</xdr:rowOff>
    </xdr:from>
    <xdr:to>
      <xdr:col>2</xdr:col>
      <xdr:colOff>400050</xdr:colOff>
      <xdr:row>0</xdr:row>
      <xdr:rowOff>400050</xdr:rowOff>
    </xdr:to>
    <xdr:sp macro="" textlink="">
      <xdr:nvSpPr>
        <xdr:cNvPr id="1081" name="Line 4"/>
        <xdr:cNvSpPr>
          <a:spLocks noChangeShapeType="1"/>
        </xdr:cNvSpPr>
      </xdr:nvSpPr>
      <xdr:spPr bwMode="auto">
        <a:xfrm>
          <a:off x="180975" y="400050"/>
          <a:ext cx="3362325" cy="0"/>
        </a:xfrm>
        <a:prstGeom prst="line">
          <a:avLst/>
        </a:prstGeom>
        <a:noFill/>
        <a:ln w="38100" cmpd="dbl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2</xdr:row>
          <xdr:rowOff>180975</xdr:rowOff>
        </xdr:from>
        <xdr:to>
          <xdr:col>6</xdr:col>
          <xdr:colOff>38100</xdr:colOff>
          <xdr:row>4</xdr:row>
          <xdr:rowOff>9525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7</xdr:row>
          <xdr:rowOff>123825</xdr:rowOff>
        </xdr:from>
        <xdr:to>
          <xdr:col>6</xdr:col>
          <xdr:colOff>38100</xdr:colOff>
          <xdr:row>8</xdr:row>
          <xdr:rowOff>228600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12</xdr:row>
          <xdr:rowOff>114300</xdr:rowOff>
        </xdr:from>
        <xdr:to>
          <xdr:col>6</xdr:col>
          <xdr:colOff>28575</xdr:colOff>
          <xdr:row>13</xdr:row>
          <xdr:rowOff>228600</xdr:rowOff>
        </xdr:to>
        <xdr:sp macro="" textlink="">
          <xdr:nvSpPr>
            <xdr:cNvPr id="1033" name="CommandButton3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18</xdr:row>
          <xdr:rowOff>104775</xdr:rowOff>
        </xdr:from>
        <xdr:to>
          <xdr:col>6</xdr:col>
          <xdr:colOff>19050</xdr:colOff>
          <xdr:row>20</xdr:row>
          <xdr:rowOff>9525</xdr:rowOff>
        </xdr:to>
        <xdr:sp macro="" textlink="">
          <xdr:nvSpPr>
            <xdr:cNvPr id="1034" name="CommandButton4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25</xdr:row>
          <xdr:rowOff>190500</xdr:rowOff>
        </xdr:from>
        <xdr:to>
          <xdr:col>6</xdr:col>
          <xdr:colOff>28575</xdr:colOff>
          <xdr:row>27</xdr:row>
          <xdr:rowOff>9525</xdr:rowOff>
        </xdr:to>
        <xdr:sp macro="" textlink="">
          <xdr:nvSpPr>
            <xdr:cNvPr id="1035" name="CommandButton5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</xdr:row>
          <xdr:rowOff>123825</xdr:rowOff>
        </xdr:from>
        <xdr:to>
          <xdr:col>12</xdr:col>
          <xdr:colOff>9525</xdr:colOff>
          <xdr:row>4</xdr:row>
          <xdr:rowOff>9525</xdr:rowOff>
        </xdr:to>
        <xdr:sp macro="" textlink="">
          <xdr:nvSpPr>
            <xdr:cNvPr id="1036" name="CommandButton6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</xdr:row>
          <xdr:rowOff>114300</xdr:rowOff>
        </xdr:from>
        <xdr:to>
          <xdr:col>12</xdr:col>
          <xdr:colOff>19050</xdr:colOff>
          <xdr:row>10</xdr:row>
          <xdr:rowOff>0</xdr:rowOff>
        </xdr:to>
        <xdr:sp macro="" textlink="">
          <xdr:nvSpPr>
            <xdr:cNvPr id="1037" name="CommandButton7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1</xdr:col>
          <xdr:colOff>504825</xdr:colOff>
          <xdr:row>28</xdr:row>
          <xdr:rowOff>9525</xdr:rowOff>
        </xdr:to>
        <xdr:sp macro="" textlink="">
          <xdr:nvSpPr>
            <xdr:cNvPr id="1044" name="CommandButton9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15</xdr:row>
          <xdr:rowOff>0</xdr:rowOff>
        </xdr:from>
        <xdr:to>
          <xdr:col>12</xdr:col>
          <xdr:colOff>28575</xdr:colOff>
          <xdr:row>16</xdr:row>
          <xdr:rowOff>47625</xdr:rowOff>
        </xdr:to>
        <xdr:sp macro="" textlink="">
          <xdr:nvSpPr>
            <xdr:cNvPr id="1046" name="CommandButton10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1600200</xdr:colOff>
          <xdr:row>15</xdr:row>
          <xdr:rowOff>0</xdr:rowOff>
        </xdr:from>
        <xdr:to>
          <xdr:col>1</xdr:col>
          <xdr:colOff>2686050</xdr:colOff>
          <xdr:row>16</xdr:row>
          <xdr:rowOff>9525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10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Open File Ledger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41990</xdr:colOff>
      <xdr:row>56</xdr:row>
      <xdr:rowOff>1832</xdr:rowOff>
    </xdr:from>
    <xdr:to>
      <xdr:col>13</xdr:col>
      <xdr:colOff>219075</xdr:colOff>
      <xdr:row>58</xdr:row>
      <xdr:rowOff>28575</xdr:rowOff>
    </xdr:to>
    <xdr:sp macro="" textlink="$R$13">
      <xdr:nvSpPr>
        <xdr:cNvPr id="28679" name="Text Box 7"/>
        <xdr:cNvSpPr txBox="1">
          <a:spLocks noChangeArrowheads="1" noTextEdit="1"/>
        </xdr:cNvSpPr>
      </xdr:nvSpPr>
      <xdr:spPr bwMode="auto">
        <a:xfrm>
          <a:off x="4575890" y="9393482"/>
          <a:ext cx="1548685" cy="3886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ctr" upright="1"/>
        <a:lstStyle/>
        <a:p>
          <a:pPr algn="ctr" rtl="0">
            <a:defRPr sz="1000"/>
          </a:pPr>
          <a:fld id="{75573511-5A20-41E2-8E81-C329ED801D5C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ctr" rtl="0">
              <a:defRPr sz="1000"/>
            </a:pPr>
            <a:t>R-FDB 8776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3</xdr:col>
      <xdr:colOff>693420</xdr:colOff>
      <xdr:row>55</xdr:row>
      <xdr:rowOff>55245</xdr:rowOff>
    </xdr:from>
    <xdr:to>
      <xdr:col>6</xdr:col>
      <xdr:colOff>169545</xdr:colOff>
      <xdr:row>57</xdr:row>
      <xdr:rowOff>19050</xdr:rowOff>
    </xdr:to>
    <xdr:sp macro="" textlink="$R$12">
      <xdr:nvSpPr>
        <xdr:cNvPr id="28681" name="Text Box 9"/>
        <xdr:cNvSpPr txBox="1">
          <a:spLocks noChangeArrowheads="1" noTextEdit="1"/>
        </xdr:cNvSpPr>
      </xdr:nvSpPr>
      <xdr:spPr bwMode="auto">
        <a:xfrm>
          <a:off x="2303145" y="9256395"/>
          <a:ext cx="1438275" cy="3924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ctr" rtl="0">
            <a:defRPr sz="1000"/>
          </a:pPr>
          <a:fld id="{9F347735-468F-43BD-8EE4-83F3C4F41847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ctr" rtl="0">
              <a:defRPr sz="1000"/>
            </a:pPr>
            <a:t>NAH 0609 A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7</xdr:col>
      <xdr:colOff>171450</xdr:colOff>
      <xdr:row>47</xdr:row>
      <xdr:rowOff>104775</xdr:rowOff>
    </xdr:from>
    <xdr:to>
      <xdr:col>13</xdr:col>
      <xdr:colOff>295275</xdr:colOff>
      <xdr:row>52</xdr:row>
      <xdr:rowOff>19050</xdr:rowOff>
    </xdr:to>
    <xdr:pic>
      <xdr:nvPicPr>
        <xdr:cNvPr id="28806" name="Picture 19" descr="NCH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0975" y="7658100"/>
          <a:ext cx="22098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323850</xdr:colOff>
      <xdr:row>21</xdr:row>
      <xdr:rowOff>9525</xdr:rowOff>
    </xdr:from>
    <xdr:to>
      <xdr:col>4</xdr:col>
      <xdr:colOff>228600</xdr:colOff>
      <xdr:row>21</xdr:row>
      <xdr:rowOff>9525</xdr:rowOff>
    </xdr:to>
    <xdr:sp macro="" textlink="">
      <xdr:nvSpPr>
        <xdr:cNvPr id="28807" name="Line 21"/>
        <xdr:cNvSpPr>
          <a:spLocks noChangeShapeType="1"/>
        </xdr:cNvSpPr>
      </xdr:nvSpPr>
      <xdr:spPr bwMode="auto">
        <a:xfrm>
          <a:off x="1933575" y="3400425"/>
          <a:ext cx="895350" cy="0"/>
        </a:xfrm>
        <a:prstGeom prst="line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161925</xdr:colOff>
      <xdr:row>1</xdr:row>
      <xdr:rowOff>0</xdr:rowOff>
    </xdr:from>
    <xdr:to>
      <xdr:col>13</xdr:col>
      <xdr:colOff>210416</xdr:colOff>
      <xdr:row>6</xdr:row>
      <xdr:rowOff>39832</xdr:rowOff>
    </xdr:to>
    <xdr:sp macro="" textlink="$P$2">
      <xdr:nvSpPr>
        <xdr:cNvPr id="24" name="WordArt 14"/>
        <xdr:cNvSpPr>
          <a:spLocks noChangeArrowheads="1" noChangeShapeType="1" noTextEdit="1"/>
        </xdr:cNvSpPr>
      </xdr:nvSpPr>
      <xdr:spPr bwMode="auto">
        <a:xfrm>
          <a:off x="161925" y="161925"/>
          <a:ext cx="5953991" cy="839932"/>
        </a:xfrm>
        <a:prstGeom prst="rect">
          <a:avLst/>
        </a:prstGeom>
        <a:noFill/>
      </xdr:spPr>
      <xdr:txBody>
        <a:bodyPr vertOverflow="clip" wrap="none" lIns="18288" tIns="0" rIns="0" bIns="0" fromWordArt="1" anchor="t">
          <a:prstTxWarp prst="textSlantUp">
            <a:avLst>
              <a:gd name="adj" fmla="val 32056"/>
            </a:avLst>
          </a:prstTxWarp>
        </a:bodyPr>
        <a:lstStyle/>
        <a:p>
          <a:pPr algn="ctr" rtl="0">
            <a:buNone/>
          </a:pPr>
          <a:fld id="{04AD1EA1-5183-4911-B5CF-B77DB0D8B355}" type="TxLink">
            <a:rPr lang="en-US" sz="1000" b="0" i="0" u="none" strike="noStrike" kern="1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/>
              <a:cs typeface="Arial"/>
            </a:rPr>
            <a:pPr algn="ctr" rtl="0">
              <a:buNone/>
            </a:pPr>
            <a:t> </a:t>
          </a:fld>
          <a:endParaRPr lang="en-US" sz="3600" b="0" kern="1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85725</xdr:colOff>
      <xdr:row>7</xdr:row>
      <xdr:rowOff>142875</xdr:rowOff>
    </xdr:from>
    <xdr:to>
      <xdr:col>10</xdr:col>
      <xdr:colOff>104775</xdr:colOff>
      <xdr:row>39</xdr:row>
      <xdr:rowOff>152400</xdr:rowOff>
    </xdr:to>
    <xdr:grpSp>
      <xdr:nvGrpSpPr>
        <xdr:cNvPr id="6" name="Group 5"/>
        <xdr:cNvGrpSpPr/>
      </xdr:nvGrpSpPr>
      <xdr:grpSpPr>
        <a:xfrm>
          <a:off x="952500" y="1266825"/>
          <a:ext cx="3686175" cy="5305425"/>
          <a:chOff x="952500" y="1266825"/>
          <a:chExt cx="3686175" cy="5305425"/>
        </a:xfrm>
      </xdr:grpSpPr>
      <xdr:grpSp>
        <xdr:nvGrpSpPr>
          <xdr:cNvPr id="4" name="Group 3"/>
          <xdr:cNvGrpSpPr/>
        </xdr:nvGrpSpPr>
        <xdr:grpSpPr>
          <a:xfrm>
            <a:off x="952500" y="1266825"/>
            <a:ext cx="3686175" cy="5305425"/>
            <a:chOff x="952500" y="1266825"/>
            <a:chExt cx="3686175" cy="5305425"/>
          </a:xfrm>
        </xdr:grpSpPr>
        <xdr:pic>
          <xdr:nvPicPr>
            <xdr:cNvPr id="28813" name="Picture 18" descr="1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52500" y="1266825"/>
              <a:ext cx="3686175" cy="5305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28812" name="Text Box 27"/>
            <xdr:cNvSpPr txBox="1">
              <a:spLocks noChangeArrowheads="1"/>
            </xdr:cNvSpPr>
          </xdr:nvSpPr>
          <xdr:spPr bwMode="auto">
            <a:xfrm>
              <a:off x="1800225" y="3371850"/>
              <a:ext cx="781050" cy="17145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12" name="Text Box 27"/>
            <xdr:cNvSpPr txBox="1">
              <a:spLocks noChangeArrowheads="1"/>
            </xdr:cNvSpPr>
          </xdr:nvSpPr>
          <xdr:spPr bwMode="auto">
            <a:xfrm>
              <a:off x="3143250" y="6048375"/>
              <a:ext cx="933450" cy="22860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  <xdr:sp macro="" textlink="$R$13">
        <xdr:nvSpPr>
          <xdr:cNvPr id="28686" name="Text Box 14"/>
          <xdr:cNvSpPr txBox="1">
            <a:spLocks noChangeArrowheads="1" noTextEdit="1"/>
          </xdr:cNvSpPr>
        </xdr:nvSpPr>
        <xdr:spPr bwMode="auto">
          <a:xfrm>
            <a:off x="1809750" y="3311116"/>
            <a:ext cx="1028700" cy="34648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0" anchor="t" upright="1"/>
          <a:lstStyle/>
          <a:p>
            <a:pPr algn="l" rtl="0">
              <a:defRPr sz="1000"/>
            </a:pPr>
            <a:fld id="{68DB0C1B-6892-438A-9366-8B4F2B96E160}" type="TxLink">
              <a:rPr lang="en-US" sz="1050" b="1" i="0" u="sng" strike="noStrike" baseline="0">
                <a:solidFill>
                  <a:srgbClr val="0033CC"/>
                </a:solidFill>
                <a:latin typeface="Times New Roman"/>
                <a:cs typeface="Times New Roman"/>
              </a:rPr>
              <a:pPr algn="l" rtl="0">
                <a:defRPr sz="1000"/>
              </a:pPr>
              <a:t>R-FDB 8776</a:t>
            </a:fld>
            <a:endParaRPr lang="en-SG" sz="1000" b="0" i="0" u="sng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">
        <xdr:nvSpPr>
          <xdr:cNvPr id="5" name="TextBox 4"/>
          <xdr:cNvSpPr txBox="1"/>
        </xdr:nvSpPr>
        <xdr:spPr>
          <a:xfrm>
            <a:off x="3124200" y="6019800"/>
            <a:ext cx="1276350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>
                <a:solidFill>
                  <a:srgbClr val="0000FF"/>
                </a:solidFill>
                <a:latin typeface="Txt" panose="00000400000000000000" pitchFamily="2" charset="0"/>
                <a:cs typeface="Txt" panose="00000400000000000000" pitchFamily="2" charset="0"/>
              </a:rPr>
              <a:t>*</a:t>
            </a:r>
            <a:r>
              <a:rPr lang="en-US" sz="1400" b="1" baseline="0">
                <a:solidFill>
                  <a:srgbClr val="0000FF"/>
                </a:solidFill>
              </a:rPr>
              <a:t> Ø24±0.01</a:t>
            </a:r>
            <a:endParaRPr lang="en-US" sz="1400" b="1">
              <a:solidFill>
                <a:srgbClr val="0000FF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7</xdr:row>
      <xdr:rowOff>142875</xdr:rowOff>
    </xdr:from>
    <xdr:to>
      <xdr:col>11</xdr:col>
      <xdr:colOff>219075</xdr:colOff>
      <xdr:row>42</xdr:row>
      <xdr:rowOff>66675</xdr:rowOff>
    </xdr:to>
    <xdr:grpSp>
      <xdr:nvGrpSpPr>
        <xdr:cNvPr id="2" name="Group 1"/>
        <xdr:cNvGrpSpPr/>
      </xdr:nvGrpSpPr>
      <xdr:grpSpPr>
        <a:xfrm>
          <a:off x="628650" y="1266825"/>
          <a:ext cx="4581525" cy="5705475"/>
          <a:chOff x="628650" y="1266825"/>
          <a:chExt cx="4581525" cy="5705475"/>
        </a:xfrm>
      </xdr:grpSpPr>
      <xdr:pic>
        <xdr:nvPicPr>
          <xdr:cNvPr id="3285" name="Picture 50" descr="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28650" y="1266825"/>
            <a:ext cx="4581525" cy="57054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3286" name="Rectangle 51"/>
          <xdr:cNvSpPr>
            <a:spLocks noChangeArrowheads="1"/>
          </xdr:cNvSpPr>
        </xdr:nvSpPr>
        <xdr:spPr bwMode="auto">
          <a:xfrm>
            <a:off x="1590675" y="3006655"/>
            <a:ext cx="971550" cy="19439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47626</xdr:colOff>
      <xdr:row>56</xdr:row>
      <xdr:rowOff>11357</xdr:rowOff>
    </xdr:from>
    <xdr:to>
      <xdr:col>13</xdr:col>
      <xdr:colOff>390526</xdr:colOff>
      <xdr:row>58</xdr:row>
      <xdr:rowOff>0</xdr:rowOff>
    </xdr:to>
    <xdr:sp macro="" textlink="$R$13">
      <xdr:nvSpPr>
        <xdr:cNvPr id="3079" name="Text Box 7"/>
        <xdr:cNvSpPr txBox="1">
          <a:spLocks noChangeArrowheads="1" noTextEdit="1"/>
        </xdr:cNvSpPr>
      </xdr:nvSpPr>
      <xdr:spPr bwMode="auto">
        <a:xfrm>
          <a:off x="4429126" y="9403007"/>
          <a:ext cx="1866900" cy="3505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ctr" rtl="0">
            <a:defRPr sz="1000"/>
          </a:pPr>
          <a:fld id="{473A7ADC-25F4-467B-831C-411AB2A49063}" type="TxLink">
            <a:rPr lang="en-US" sz="1600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pPr algn="ctr" rtl="0">
              <a:defRPr sz="1000"/>
            </a:pPr>
            <a:t>R-FDB 8776- 02 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3</xdr:col>
      <xdr:colOff>855345</xdr:colOff>
      <xdr:row>55</xdr:row>
      <xdr:rowOff>83820</xdr:rowOff>
    </xdr:from>
    <xdr:to>
      <xdr:col>7</xdr:col>
      <xdr:colOff>83820</xdr:colOff>
      <xdr:row>57</xdr:row>
      <xdr:rowOff>28575</xdr:rowOff>
    </xdr:to>
    <xdr:sp macro="" textlink="$R$12">
      <xdr:nvSpPr>
        <xdr:cNvPr id="3097" name="Text Box 25"/>
        <xdr:cNvSpPr txBox="1">
          <a:spLocks noChangeArrowheads="1" noTextEdit="1"/>
        </xdr:cNvSpPr>
      </xdr:nvSpPr>
      <xdr:spPr bwMode="auto">
        <a:xfrm>
          <a:off x="2465070" y="9284970"/>
          <a:ext cx="1438275" cy="3733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18DEBE81-4142-4AA4-81F1-9D798D48290C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NAH 0609 A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6</xdr:col>
      <xdr:colOff>228600</xdr:colOff>
      <xdr:row>48</xdr:row>
      <xdr:rowOff>9525</xdr:rowOff>
    </xdr:from>
    <xdr:to>
      <xdr:col>13</xdr:col>
      <xdr:colOff>333375</xdr:colOff>
      <xdr:row>52</xdr:row>
      <xdr:rowOff>76200</xdr:rowOff>
    </xdr:to>
    <xdr:pic>
      <xdr:nvPicPr>
        <xdr:cNvPr id="3277" name="Picture 49" descr="IP H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7791450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334658</xdr:colOff>
      <xdr:row>39</xdr:row>
      <xdr:rowOff>137407</xdr:rowOff>
    </xdr:from>
    <xdr:to>
      <xdr:col>8</xdr:col>
      <xdr:colOff>262</xdr:colOff>
      <xdr:row>41</xdr:row>
      <xdr:rowOff>38905</xdr:rowOff>
    </xdr:to>
    <xdr:sp macro="" textlink="Sheet1!$F$6">
      <xdr:nvSpPr>
        <xdr:cNvPr id="3085" name="Text Box 13"/>
        <xdr:cNvSpPr txBox="1">
          <a:spLocks noChangeArrowheads="1" noTextEdit="1"/>
        </xdr:cNvSpPr>
      </xdr:nvSpPr>
      <xdr:spPr bwMode="auto">
        <a:xfrm>
          <a:off x="3506483" y="6644887"/>
          <a:ext cx="665744" cy="2367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fld id="{F88689BC-E609-4E5A-BB9C-15F60631C404}" type="TxLink">
            <a: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l" rtl="0">
              <a:defRPr sz="1000"/>
            </a:pPr>
            <a:t>41.05</a:t>
          </a:fld>
          <a:endParaRPr lang="en-SG" sz="1400" b="1" i="0" u="none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117563</xdr:colOff>
      <xdr:row>37</xdr:row>
      <xdr:rowOff>48459</xdr:rowOff>
    </xdr:from>
    <xdr:to>
      <xdr:col>8</xdr:col>
      <xdr:colOff>211855</xdr:colOff>
      <xdr:row>38</xdr:row>
      <xdr:rowOff>97866</xdr:rowOff>
    </xdr:to>
    <xdr:sp macro="" textlink="$R$17">
      <xdr:nvSpPr>
        <xdr:cNvPr id="3092" name="Text Box 20"/>
        <xdr:cNvSpPr txBox="1">
          <a:spLocks noChangeArrowheads="1" noTextEdit="1"/>
        </xdr:cNvSpPr>
      </xdr:nvSpPr>
      <xdr:spPr bwMode="auto">
        <a:xfrm>
          <a:off x="3790403" y="6220659"/>
          <a:ext cx="597212" cy="2170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fld id="{EC99E89E-823E-4152-B121-2D4AD54BFE22}" type="TxLink">
            <a: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l" rtl="0">
              <a:defRPr sz="1000"/>
            </a:pPr>
            <a:t>33</a:t>
          </a:fld>
          <a:endParaRPr lang="en-SG" sz="1400" b="1" i="0" u="none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666750</xdr:colOff>
      <xdr:row>16</xdr:row>
      <xdr:rowOff>0</xdr:rowOff>
    </xdr:from>
    <xdr:to>
      <xdr:col>4</xdr:col>
      <xdr:colOff>266700</xdr:colOff>
      <xdr:row>16</xdr:row>
      <xdr:rowOff>104775</xdr:rowOff>
    </xdr:to>
    <xdr:sp macro="" textlink="">
      <xdr:nvSpPr>
        <xdr:cNvPr id="3280" name="Text Box 76"/>
        <xdr:cNvSpPr txBox="1">
          <a:spLocks noChangeArrowheads="1"/>
        </xdr:cNvSpPr>
      </xdr:nvSpPr>
      <xdr:spPr bwMode="auto">
        <a:xfrm>
          <a:off x="1533525" y="2657475"/>
          <a:ext cx="13335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352425</xdr:colOff>
      <xdr:row>37</xdr:row>
      <xdr:rowOff>38100</xdr:rowOff>
    </xdr:from>
    <xdr:to>
      <xdr:col>5</xdr:col>
      <xdr:colOff>361950</xdr:colOff>
      <xdr:row>38</xdr:row>
      <xdr:rowOff>104775</xdr:rowOff>
    </xdr:to>
    <xdr:sp macro="" textlink="">
      <xdr:nvSpPr>
        <xdr:cNvPr id="3281" name="Rectangle 80"/>
        <xdr:cNvSpPr>
          <a:spLocks noChangeArrowheads="1"/>
        </xdr:cNvSpPr>
      </xdr:nvSpPr>
      <xdr:spPr bwMode="auto">
        <a:xfrm>
          <a:off x="2952750" y="6096000"/>
          <a:ext cx="48577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161925</xdr:colOff>
      <xdr:row>1</xdr:row>
      <xdr:rowOff>161925</xdr:rowOff>
    </xdr:from>
    <xdr:to>
      <xdr:col>13</xdr:col>
      <xdr:colOff>210416</xdr:colOff>
      <xdr:row>7</xdr:row>
      <xdr:rowOff>39832</xdr:rowOff>
    </xdr:to>
    <xdr:sp macro="" textlink="$P$2">
      <xdr:nvSpPr>
        <xdr:cNvPr id="21" name="WordArt 14"/>
        <xdr:cNvSpPr>
          <a:spLocks noChangeArrowheads="1" noChangeShapeType="1" noTextEdit="1"/>
        </xdr:cNvSpPr>
      </xdr:nvSpPr>
      <xdr:spPr bwMode="auto">
        <a:xfrm>
          <a:off x="161925" y="323850"/>
          <a:ext cx="5953991" cy="839932"/>
        </a:xfrm>
        <a:prstGeom prst="rect">
          <a:avLst/>
        </a:prstGeom>
        <a:noFill/>
      </xdr:spPr>
      <xdr:txBody>
        <a:bodyPr vertOverflow="clip" wrap="none" lIns="18288" tIns="0" rIns="0" bIns="0" fromWordArt="1" anchor="t">
          <a:prstTxWarp prst="textSlantUp">
            <a:avLst>
              <a:gd name="adj" fmla="val 32056"/>
            </a:avLst>
          </a:prstTxWarp>
        </a:bodyPr>
        <a:lstStyle/>
        <a:p>
          <a:pPr algn="ctr" rtl="0">
            <a:buNone/>
          </a:pPr>
          <a:fld id="{04AD1EA1-5183-4911-B5CF-B77DB0D8B355}" type="TxLink">
            <a:rPr lang="en-US" sz="1000" b="0" i="0" u="none" strike="noStrike" kern="1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/>
              <a:cs typeface="Arial"/>
            </a:rPr>
            <a:pPr algn="ctr" rtl="0">
              <a:buNone/>
            </a:pPr>
            <a:t> </a:t>
          </a:fld>
          <a:endParaRPr lang="en-US" sz="3600" b="0" kern="1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152400</xdr:colOff>
      <xdr:row>14</xdr:row>
      <xdr:rowOff>151264</xdr:rowOff>
    </xdr:from>
    <xdr:to>
      <xdr:col>5</xdr:col>
      <xdr:colOff>85725</xdr:colOff>
      <xdr:row>16</xdr:row>
      <xdr:rowOff>67140</xdr:rowOff>
    </xdr:to>
    <xdr:sp macro="" textlink="$R$13">
      <xdr:nvSpPr>
        <xdr:cNvPr id="3136" name="Text Box 64"/>
        <xdr:cNvSpPr txBox="1">
          <a:spLocks noChangeArrowheads="1" noTextEdit="1"/>
        </xdr:cNvSpPr>
      </xdr:nvSpPr>
      <xdr:spPr bwMode="auto">
        <a:xfrm>
          <a:off x="1762125" y="2503939"/>
          <a:ext cx="1400175" cy="2397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fld id="{904958FB-202C-4754-8B79-C32FC9AF2C70}" type="TxLink">
            <a:rPr lang="en-US" sz="1200" b="1" i="0" u="sng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l" rtl="0">
              <a:defRPr sz="1000"/>
            </a:pPr>
            <a:t>R-FDB 8776- 02 </a:t>
          </a:fld>
          <a:endParaRPr lang="en-SG" sz="1100" b="0" i="0" u="sng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1447800</xdr:colOff>
      <xdr:row>82</xdr:row>
      <xdr:rowOff>38100</xdr:rowOff>
    </xdr:from>
    <xdr:to>
      <xdr:col>11</xdr:col>
      <xdr:colOff>9525</xdr:colOff>
      <xdr:row>84</xdr:row>
      <xdr:rowOff>85725</xdr:rowOff>
    </xdr:to>
    <xdr:grpSp>
      <xdr:nvGrpSpPr>
        <xdr:cNvPr id="5267" name="Group 1"/>
        <xdr:cNvGrpSpPr>
          <a:grpSpLocks/>
        </xdr:cNvGrpSpPr>
      </xdr:nvGrpSpPr>
      <xdr:grpSpPr bwMode="auto">
        <a:xfrm>
          <a:off x="2600325" y="13554075"/>
          <a:ext cx="2400300" cy="371475"/>
          <a:chOff x="919" y="1110"/>
          <a:chExt cx="293" cy="40"/>
        </a:xfrm>
      </xdr:grpSpPr>
      <xdr:pic>
        <xdr:nvPicPr>
          <xdr:cNvPr id="5286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9" y="1110"/>
            <a:ext cx="88" cy="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5123" name="Text Box 3"/>
          <xdr:cNvSpPr txBox="1">
            <a:spLocks noChangeArrowheads="1"/>
          </xdr:cNvSpPr>
        </xdr:nvSpPr>
        <xdr:spPr bwMode="auto">
          <a:xfrm>
            <a:off x="993" y="1116"/>
            <a:ext cx="219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SG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NOK ASIA CO. PTE. LTD.</a:t>
            </a:r>
          </a:p>
        </xdr:txBody>
      </xdr:sp>
    </xdr:grpSp>
    <xdr:clientData/>
  </xdr:twoCellAnchor>
  <xdr:twoCellAnchor>
    <xdr:from>
      <xdr:col>9</xdr:col>
      <xdr:colOff>123825</xdr:colOff>
      <xdr:row>56</xdr:row>
      <xdr:rowOff>57150</xdr:rowOff>
    </xdr:from>
    <xdr:to>
      <xdr:col>14</xdr:col>
      <xdr:colOff>161925</xdr:colOff>
      <xdr:row>57</xdr:row>
      <xdr:rowOff>114300</xdr:rowOff>
    </xdr:to>
    <xdr:grpSp>
      <xdr:nvGrpSpPr>
        <xdr:cNvPr id="5268" name="Group 4"/>
        <xdr:cNvGrpSpPr>
          <a:grpSpLocks/>
        </xdr:cNvGrpSpPr>
      </xdr:nvGrpSpPr>
      <xdr:grpSpPr bwMode="auto">
        <a:xfrm>
          <a:off x="4505325" y="9334500"/>
          <a:ext cx="2019300" cy="295275"/>
          <a:chOff x="1030" y="391"/>
          <a:chExt cx="191" cy="26"/>
        </a:xfrm>
      </xdr:grpSpPr>
      <xdr:sp macro="" textlink="Sheet1!$D$16">
        <xdr:nvSpPr>
          <xdr:cNvPr id="5125" name="Text Box 5"/>
          <xdr:cNvSpPr txBox="1">
            <a:spLocks noChangeArrowheads="1" noTextEdit="1"/>
          </xdr:cNvSpPr>
        </xdr:nvSpPr>
        <xdr:spPr bwMode="auto">
          <a:xfrm>
            <a:off x="1103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D1DA6672-0B10-4D2D-9097-BD7EA9E80098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8776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O$1">
        <xdr:nvSpPr>
          <xdr:cNvPr id="5126" name="Text Box 6"/>
          <xdr:cNvSpPr txBox="1">
            <a:spLocks noChangeArrowheads="1" noTextEdit="1"/>
          </xdr:cNvSpPr>
        </xdr:nvSpPr>
        <xdr:spPr bwMode="auto">
          <a:xfrm>
            <a:off x="1030" y="391"/>
            <a:ext cx="33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4DFF34D0-1EF6-4931-A7B4-37932ED56DC9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C$16">
        <xdr:nvSpPr>
          <xdr:cNvPr id="5127" name="Text Box 7"/>
          <xdr:cNvSpPr txBox="1">
            <a:spLocks noChangeArrowheads="1" noTextEdit="1"/>
          </xdr:cNvSpPr>
        </xdr:nvSpPr>
        <xdr:spPr bwMode="auto">
          <a:xfrm>
            <a:off x="1061" y="392"/>
            <a:ext cx="43" cy="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029B3654-793D-4A1F-ACFB-02181A225BB0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R-FDB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">
        <xdr:nvSpPr>
          <xdr:cNvPr id="5128" name="Text Box 8"/>
          <xdr:cNvSpPr txBox="1">
            <a:spLocks noChangeArrowheads="1"/>
          </xdr:cNvSpPr>
        </xdr:nvSpPr>
        <xdr:spPr bwMode="auto">
          <a:xfrm>
            <a:off x="1154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r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t>-02</a:t>
            </a:r>
          </a:p>
        </xdr:txBody>
      </xdr:sp>
    </xdr:grpSp>
    <xdr:clientData/>
  </xdr:twoCellAnchor>
  <xdr:twoCellAnchor>
    <xdr:from>
      <xdr:col>3</xdr:col>
      <xdr:colOff>855345</xdr:colOff>
      <xdr:row>55</xdr:row>
      <xdr:rowOff>83820</xdr:rowOff>
    </xdr:from>
    <xdr:to>
      <xdr:col>7</xdr:col>
      <xdr:colOff>83820</xdr:colOff>
      <xdr:row>56</xdr:row>
      <xdr:rowOff>182880</xdr:rowOff>
    </xdr:to>
    <xdr:sp macro="" textlink="Sheet1!$F$3">
      <xdr:nvSpPr>
        <xdr:cNvPr id="5130" name="Text Box 10"/>
        <xdr:cNvSpPr txBox="1">
          <a:spLocks noChangeArrowheads="1" noTextEdit="1"/>
        </xdr:cNvSpPr>
      </xdr:nvSpPr>
      <xdr:spPr bwMode="auto">
        <a:xfrm>
          <a:off x="2537460" y="9403080"/>
          <a:ext cx="1470660" cy="297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FBA00E0D-8CC4-4E9A-BE26-112A7144B634}" type="TxLink">
            <a:rPr lang="en-SG" sz="1400" b="0" i="0" u="none" strike="noStrike" baseline="0">
              <a:solidFill>
                <a:srgbClr val="0000FF"/>
              </a:solidFill>
              <a:latin typeface="Comic Sans MS"/>
            </a:rPr>
            <a:pPr algn="l" rtl="0">
              <a:defRPr sz="1000"/>
            </a:pPr>
            <a:t>NAH 0609 A</a:t>
          </a:fld>
          <a:endParaRPr lang="en-SG" sz="14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6</xdr:col>
      <xdr:colOff>228600</xdr:colOff>
      <xdr:row>48</xdr:row>
      <xdr:rowOff>9525</xdr:rowOff>
    </xdr:from>
    <xdr:to>
      <xdr:col>13</xdr:col>
      <xdr:colOff>333375</xdr:colOff>
      <xdr:row>52</xdr:row>
      <xdr:rowOff>76200</xdr:rowOff>
    </xdr:to>
    <xdr:pic>
      <xdr:nvPicPr>
        <xdr:cNvPr id="5270" name="Picture 12" descr="IP H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7715250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196215</xdr:colOff>
      <xdr:row>34</xdr:row>
      <xdr:rowOff>99060</xdr:rowOff>
    </xdr:from>
    <xdr:to>
      <xdr:col>15</xdr:col>
      <xdr:colOff>508635</xdr:colOff>
      <xdr:row>35</xdr:row>
      <xdr:rowOff>144780</xdr:rowOff>
    </xdr:to>
    <xdr:sp macro="" textlink="$R$17">
      <xdr:nvSpPr>
        <xdr:cNvPr id="5138" name="Text Box 18"/>
        <xdr:cNvSpPr txBox="1">
          <a:spLocks noChangeArrowheads="1" noTextEdit="1"/>
        </xdr:cNvSpPr>
      </xdr:nvSpPr>
      <xdr:spPr bwMode="auto">
        <a:xfrm>
          <a:off x="7376160" y="5768340"/>
          <a:ext cx="31242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fld id="{2B5CD41A-2349-4ED8-8E28-EF3A9615353E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1</xdr:col>
      <xdr:colOff>0</xdr:colOff>
      <xdr:row>6</xdr:row>
      <xdr:rowOff>9525</xdr:rowOff>
    </xdr:from>
    <xdr:to>
      <xdr:col>11</xdr:col>
      <xdr:colOff>171450</xdr:colOff>
      <xdr:row>41</xdr:row>
      <xdr:rowOff>19050</xdr:rowOff>
    </xdr:to>
    <xdr:grpSp>
      <xdr:nvGrpSpPr>
        <xdr:cNvPr id="5272" name="Group 41"/>
        <xdr:cNvGrpSpPr>
          <a:grpSpLocks/>
        </xdr:cNvGrpSpPr>
      </xdr:nvGrpSpPr>
      <xdr:grpSpPr bwMode="auto">
        <a:xfrm>
          <a:off x="419100" y="971550"/>
          <a:ext cx="4743450" cy="5676900"/>
          <a:chOff x="44" y="102"/>
          <a:chExt cx="498" cy="596"/>
        </a:xfrm>
      </xdr:grpSpPr>
      <xdr:grpSp>
        <xdr:nvGrpSpPr>
          <xdr:cNvPr id="5273" name="Group 39"/>
          <xdr:cNvGrpSpPr>
            <a:grpSpLocks/>
          </xdr:cNvGrpSpPr>
        </xdr:nvGrpSpPr>
        <xdr:grpSpPr bwMode="auto">
          <a:xfrm>
            <a:off x="44" y="102"/>
            <a:ext cx="498" cy="596"/>
            <a:chOff x="44" y="102"/>
            <a:chExt cx="498" cy="596"/>
          </a:xfrm>
        </xdr:grpSpPr>
        <xdr:grpSp>
          <xdr:nvGrpSpPr>
            <xdr:cNvPr id="5275" name="Group 37"/>
            <xdr:cNvGrpSpPr>
              <a:grpSpLocks/>
            </xdr:cNvGrpSpPr>
          </xdr:nvGrpSpPr>
          <xdr:grpSpPr bwMode="auto">
            <a:xfrm>
              <a:off x="44" y="102"/>
              <a:ext cx="498" cy="596"/>
              <a:chOff x="62" y="90"/>
              <a:chExt cx="498" cy="596"/>
            </a:xfrm>
          </xdr:grpSpPr>
          <xdr:pic>
            <xdr:nvPicPr>
              <xdr:cNvPr id="5277" name="Picture 32" descr="4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62" y="90"/>
                <a:ext cx="498" cy="59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Sheet1!$F$6">
            <xdr:nvSpPr>
              <xdr:cNvPr id="5137" name="Text Box 17"/>
              <xdr:cNvSpPr txBox="1">
                <a:spLocks noChangeArrowheads="1" noTextEdit="1"/>
              </xdr:cNvSpPr>
            </xdr:nvSpPr>
            <xdr:spPr bwMode="auto">
              <a:xfrm>
                <a:off x="387" y="633"/>
                <a:ext cx="61" cy="2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fld id="{5CF9409A-9AD2-44E1-BEDC-952A7057E162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41.05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$D$16">
            <xdr:nvSpPr>
              <xdr:cNvPr id="5139" name="Text Box 19"/>
              <xdr:cNvSpPr txBox="1">
                <a:spLocks noChangeArrowheads="1" noTextEdit="1"/>
              </xdr:cNvSpPr>
            </xdr:nvSpPr>
            <xdr:spPr bwMode="auto">
              <a:xfrm>
                <a:off x="228" y="356"/>
                <a:ext cx="63" cy="3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36576" bIns="0" anchor="t" upright="1"/>
              <a:lstStyle/>
              <a:p>
                <a:pPr algn="ctr" rtl="0">
                  <a:defRPr sz="1000"/>
                </a:pPr>
                <a:fld id="{5D4BB31F-6799-4FFF-B9EA-847290FE577B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ctr" rtl="0">
                    <a:defRPr sz="1000"/>
                  </a:pPr>
                  <a:t>8776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$O$1">
            <xdr:nvSpPr>
              <xdr:cNvPr id="5140" name="Text Box 20"/>
              <xdr:cNvSpPr txBox="1">
                <a:spLocks noChangeArrowheads="1" noTextEdit="1"/>
              </xdr:cNvSpPr>
            </xdr:nvSpPr>
            <xdr:spPr bwMode="auto">
              <a:xfrm>
                <a:off x="176" y="356"/>
                <a:ext cx="26" cy="2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0" bIns="0" anchor="t" upright="1"/>
              <a:lstStyle/>
              <a:p>
                <a:pPr algn="l" rtl="0">
                  <a:defRPr sz="1000"/>
                </a:pPr>
                <a:fld id="{D0415C87-CD44-4ACA-A1CD-C7A571D5E3B6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R-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">
            <xdr:nvSpPr>
              <xdr:cNvPr id="5281" name="Line 35"/>
              <xdr:cNvSpPr>
                <a:spLocks noChangeShapeType="1"/>
              </xdr:cNvSpPr>
            </xdr:nvSpPr>
            <xdr:spPr bwMode="auto">
              <a:xfrm>
                <a:off x="177" y="379"/>
                <a:ext cx="34" cy="0"/>
              </a:xfrm>
              <a:prstGeom prst="line">
                <a:avLst/>
              </a:prstGeom>
              <a:noFill/>
              <a:ln w="12700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</xdr:grpSp>
        <xdr:sp macro="" textlink="">
          <xdr:nvSpPr>
            <xdr:cNvPr id="5276" name="Text Box 38"/>
            <xdr:cNvSpPr txBox="1">
              <a:spLocks noChangeArrowheads="1"/>
            </xdr:cNvSpPr>
          </xdr:nvSpPr>
          <xdr:spPr bwMode="auto">
            <a:xfrm>
              <a:off x="155" y="389"/>
              <a:ext cx="146" cy="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  <xdr:sp macro="" textlink="">
        <xdr:nvSpPr>
          <xdr:cNvPr id="5274" name="Line 40"/>
          <xdr:cNvSpPr>
            <a:spLocks noChangeShapeType="1"/>
          </xdr:cNvSpPr>
        </xdr:nvSpPr>
        <xdr:spPr bwMode="auto">
          <a:xfrm>
            <a:off x="158" y="392"/>
            <a:ext cx="143" cy="0"/>
          </a:xfrm>
          <a:prstGeom prst="line">
            <a:avLst/>
          </a:prstGeom>
          <a:noFill/>
          <a:ln w="9525">
            <a:solidFill>
              <a:srgbClr val="333333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55</xdr:row>
      <xdr:rowOff>161926</xdr:rowOff>
    </xdr:from>
    <xdr:to>
      <xdr:col>13</xdr:col>
      <xdr:colOff>419100</xdr:colOff>
      <xdr:row>58</xdr:row>
      <xdr:rowOff>19050</xdr:rowOff>
    </xdr:to>
    <xdr:sp macro="" textlink="$R$13">
      <xdr:nvSpPr>
        <xdr:cNvPr id="8197" name="Text Box 5"/>
        <xdr:cNvSpPr txBox="1">
          <a:spLocks noChangeArrowheads="1" noTextEdit="1"/>
        </xdr:cNvSpPr>
      </xdr:nvSpPr>
      <xdr:spPr bwMode="auto">
        <a:xfrm>
          <a:off x="4438650" y="9324976"/>
          <a:ext cx="1885950" cy="409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ctr" rtl="0">
            <a:defRPr sz="1000"/>
          </a:pPr>
          <a:fld id="{55F4EF17-F092-45F0-A648-0A345F512210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ctr" rtl="0">
              <a:defRPr sz="1000"/>
            </a:pPr>
            <a:t>R-FDB 8776 - 04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3</xdr:col>
      <xdr:colOff>855345</xdr:colOff>
      <xdr:row>55</xdr:row>
      <xdr:rowOff>83819</xdr:rowOff>
    </xdr:from>
    <xdr:to>
      <xdr:col>7</xdr:col>
      <xdr:colOff>83820</xdr:colOff>
      <xdr:row>57</xdr:row>
      <xdr:rowOff>76199</xdr:rowOff>
    </xdr:to>
    <xdr:sp macro="" textlink="$R$12">
      <xdr:nvSpPr>
        <xdr:cNvPr id="8201" name="Text Box 9"/>
        <xdr:cNvSpPr txBox="1">
          <a:spLocks noChangeArrowheads="1" noTextEdit="1"/>
        </xdr:cNvSpPr>
      </xdr:nvSpPr>
      <xdr:spPr bwMode="auto">
        <a:xfrm>
          <a:off x="2465070" y="9246869"/>
          <a:ext cx="1438275" cy="4210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9A4BCF69-D260-4CA9-92C8-4D2F44868417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NAH 0609 A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7</xdr:col>
      <xdr:colOff>123825</xdr:colOff>
      <xdr:row>47</xdr:row>
      <xdr:rowOff>133350</xdr:rowOff>
    </xdr:from>
    <xdr:to>
      <xdr:col>13</xdr:col>
      <xdr:colOff>247650</xdr:colOff>
      <xdr:row>52</xdr:row>
      <xdr:rowOff>47625</xdr:rowOff>
    </xdr:to>
    <xdr:pic>
      <xdr:nvPicPr>
        <xdr:cNvPr id="8342" name="Picture 30" descr="NCH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" y="7762875"/>
          <a:ext cx="22098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200025</xdr:colOff>
      <xdr:row>11</xdr:row>
      <xdr:rowOff>81066</xdr:rowOff>
    </xdr:from>
    <xdr:to>
      <xdr:col>12</xdr:col>
      <xdr:colOff>19050</xdr:colOff>
      <xdr:row>39</xdr:row>
      <xdr:rowOff>95250</xdr:rowOff>
    </xdr:to>
    <xdr:grpSp>
      <xdr:nvGrpSpPr>
        <xdr:cNvPr id="4" name="Group 3"/>
        <xdr:cNvGrpSpPr/>
      </xdr:nvGrpSpPr>
      <xdr:grpSpPr>
        <a:xfrm>
          <a:off x="619125" y="1871766"/>
          <a:ext cx="4848225" cy="4643334"/>
          <a:chOff x="619125" y="1852716"/>
          <a:chExt cx="4848225" cy="4624284"/>
        </a:xfrm>
      </xdr:grpSpPr>
      <xdr:grpSp>
        <xdr:nvGrpSpPr>
          <xdr:cNvPr id="2" name="Group 1"/>
          <xdr:cNvGrpSpPr/>
        </xdr:nvGrpSpPr>
        <xdr:grpSpPr>
          <a:xfrm>
            <a:off x="733425" y="1852716"/>
            <a:ext cx="4733925" cy="4624284"/>
            <a:chOff x="7029450" y="4052991"/>
            <a:chExt cx="4733925" cy="4624284"/>
          </a:xfrm>
        </xdr:grpSpPr>
        <xdr:pic>
          <xdr:nvPicPr>
            <xdr:cNvPr id="8348" name="Picture 33" descr="6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051708" y="4052991"/>
              <a:ext cx="4711667" cy="462428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8350" name="Rectangle 1"/>
            <xdr:cNvSpPr>
              <a:spLocks noChangeArrowheads="1"/>
            </xdr:cNvSpPr>
          </xdr:nvSpPr>
          <xdr:spPr bwMode="auto">
            <a:xfrm>
              <a:off x="7029450" y="4457700"/>
              <a:ext cx="1473633" cy="222216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round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  <xdr:sp macro="" textlink="$R$13">
        <xdr:nvSpPr>
          <xdr:cNvPr id="8209" name="Text Box 17"/>
          <xdr:cNvSpPr txBox="1">
            <a:spLocks noChangeArrowheads="1" noTextEdit="1"/>
          </xdr:cNvSpPr>
        </xdr:nvSpPr>
        <xdr:spPr bwMode="auto">
          <a:xfrm>
            <a:off x="619125" y="2171700"/>
            <a:ext cx="1619250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36576" bIns="0" anchor="ctr" upright="1"/>
          <a:lstStyle/>
          <a:p>
            <a:pPr algn="r" rtl="0">
              <a:defRPr sz="1000"/>
            </a:pPr>
            <a:fld id="{56EE2404-B7BF-43A9-85BE-21E028CBD1B7}" type="TxLink">
              <a:rPr lang="en-US" sz="1400" b="1" i="0" u="sng" strike="noStrike" baseline="0">
                <a:solidFill>
                  <a:srgbClr val="0000FF"/>
                </a:solidFill>
                <a:latin typeface="Times New Roman"/>
                <a:cs typeface="Times New Roman"/>
              </a:rPr>
              <a:pPr algn="r" rtl="0">
                <a:defRPr sz="1000"/>
              </a:pPr>
              <a:t>R-FDB 8776 - 04</a:t>
            </a:fld>
            <a:endParaRPr lang="en-SG" sz="1200" b="0" i="0" u="sng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F11">
        <xdr:nvSpPr>
          <xdr:cNvPr id="8208" name="Text Box 16"/>
          <xdr:cNvSpPr txBox="1">
            <a:spLocks noChangeArrowheads="1" noTextEdit="1"/>
          </xdr:cNvSpPr>
        </xdr:nvSpPr>
        <xdr:spPr bwMode="auto">
          <a:xfrm>
            <a:off x="4130059" y="5664864"/>
            <a:ext cx="613813" cy="2537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E8D65E96-7E39-4442-9385-2A32D14EC9D6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41.05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17">
        <xdr:nvSpPr>
          <xdr:cNvPr id="8218" name="Text Box 26"/>
          <xdr:cNvSpPr txBox="1">
            <a:spLocks noChangeArrowheads="1" noTextEdit="1"/>
          </xdr:cNvSpPr>
        </xdr:nvSpPr>
        <xdr:spPr bwMode="auto">
          <a:xfrm>
            <a:off x="980189" y="3641491"/>
            <a:ext cx="323514" cy="6158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vert270" wrap="square" lIns="36576" tIns="36576" rIns="36576" bIns="36576" anchor="ctr" upright="1"/>
          <a:lstStyle/>
          <a:p>
            <a:pPr algn="ctr" rtl="0">
              <a:defRPr sz="1000"/>
            </a:pPr>
            <a:fld id="{897CC644-5D22-469F-AB73-B6BA562FE660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ctr" rtl="0">
                <a:defRPr sz="1000"/>
              </a:pPr>
              <a:t>48.2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Sheet1!F12">
        <xdr:nvSpPr>
          <xdr:cNvPr id="8221" name="Text Box 29"/>
          <xdr:cNvSpPr txBox="1">
            <a:spLocks noChangeArrowheads="1" noTextEdit="1"/>
          </xdr:cNvSpPr>
        </xdr:nvSpPr>
        <xdr:spPr bwMode="auto">
          <a:xfrm>
            <a:off x="3896630" y="6001802"/>
            <a:ext cx="599938" cy="3041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DD26A407-F491-43B9-A7FF-3BE3113DA220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48.39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190500</xdr:colOff>
      <xdr:row>1</xdr:row>
      <xdr:rowOff>76200</xdr:rowOff>
    </xdr:from>
    <xdr:to>
      <xdr:col>13</xdr:col>
      <xdr:colOff>238991</xdr:colOff>
      <xdr:row>6</xdr:row>
      <xdr:rowOff>116032</xdr:rowOff>
    </xdr:to>
    <xdr:sp macro="" textlink="$P$2">
      <xdr:nvSpPr>
        <xdr:cNvPr id="14" name="WordArt 14"/>
        <xdr:cNvSpPr>
          <a:spLocks noChangeArrowheads="1" noChangeShapeType="1" noTextEdit="1"/>
        </xdr:cNvSpPr>
      </xdr:nvSpPr>
      <xdr:spPr bwMode="auto">
        <a:xfrm>
          <a:off x="190500" y="238125"/>
          <a:ext cx="5953991" cy="839932"/>
        </a:xfrm>
        <a:prstGeom prst="rect">
          <a:avLst/>
        </a:prstGeom>
        <a:noFill/>
      </xdr:spPr>
      <xdr:txBody>
        <a:bodyPr vertOverflow="clip" wrap="none" lIns="18288" tIns="0" rIns="0" bIns="0" fromWordArt="1" anchor="t">
          <a:prstTxWarp prst="textSlantUp">
            <a:avLst>
              <a:gd name="adj" fmla="val 32056"/>
            </a:avLst>
          </a:prstTxWarp>
        </a:bodyPr>
        <a:lstStyle/>
        <a:p>
          <a:pPr algn="ctr" rtl="0">
            <a:buNone/>
          </a:pPr>
          <a:fld id="{04AD1EA1-5183-4911-B5CF-B77DB0D8B355}" type="TxLink">
            <a:rPr lang="en-US" sz="1000" b="0" i="0" u="none" strike="noStrike" kern="1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/>
              <a:cs typeface="Arial"/>
            </a:rPr>
            <a:pPr algn="ctr" rtl="0">
              <a:buNone/>
            </a:pPr>
            <a:t> </a:t>
          </a:fld>
          <a:endParaRPr lang="en-US" sz="3600" b="0" kern="1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1447800</xdr:colOff>
      <xdr:row>82</xdr:row>
      <xdr:rowOff>38100</xdr:rowOff>
    </xdr:from>
    <xdr:to>
      <xdr:col>11</xdr:col>
      <xdr:colOff>9525</xdr:colOff>
      <xdr:row>84</xdr:row>
      <xdr:rowOff>85725</xdr:rowOff>
    </xdr:to>
    <xdr:grpSp>
      <xdr:nvGrpSpPr>
        <xdr:cNvPr id="9440" name="Group 1"/>
        <xdr:cNvGrpSpPr>
          <a:grpSpLocks/>
        </xdr:cNvGrpSpPr>
      </xdr:nvGrpSpPr>
      <xdr:grpSpPr bwMode="auto">
        <a:xfrm>
          <a:off x="2600325" y="13620750"/>
          <a:ext cx="2400300" cy="371475"/>
          <a:chOff x="919" y="1110"/>
          <a:chExt cx="293" cy="40"/>
        </a:xfrm>
      </xdr:grpSpPr>
      <xdr:pic>
        <xdr:nvPicPr>
          <xdr:cNvPr id="9472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9" y="1110"/>
            <a:ext cx="88" cy="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9219" name="Text Box 3"/>
          <xdr:cNvSpPr txBox="1">
            <a:spLocks noChangeArrowheads="1"/>
          </xdr:cNvSpPr>
        </xdr:nvSpPr>
        <xdr:spPr bwMode="auto">
          <a:xfrm>
            <a:off x="993" y="1116"/>
            <a:ext cx="219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SG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NOK ASIA CO. PTE. LTD.</a:t>
            </a:r>
          </a:p>
        </xdr:txBody>
      </xdr:sp>
    </xdr:grpSp>
    <xdr:clientData/>
  </xdr:twoCellAnchor>
  <xdr:twoCellAnchor>
    <xdr:from>
      <xdr:col>9</xdr:col>
      <xdr:colOff>123825</xdr:colOff>
      <xdr:row>56</xdr:row>
      <xdr:rowOff>57150</xdr:rowOff>
    </xdr:from>
    <xdr:to>
      <xdr:col>14</xdr:col>
      <xdr:colOff>161925</xdr:colOff>
      <xdr:row>57</xdr:row>
      <xdr:rowOff>114300</xdr:rowOff>
    </xdr:to>
    <xdr:grpSp>
      <xdr:nvGrpSpPr>
        <xdr:cNvPr id="9441" name="Group 4"/>
        <xdr:cNvGrpSpPr>
          <a:grpSpLocks/>
        </xdr:cNvGrpSpPr>
      </xdr:nvGrpSpPr>
      <xdr:grpSpPr bwMode="auto">
        <a:xfrm>
          <a:off x="4505325" y="9401175"/>
          <a:ext cx="2019300" cy="295275"/>
          <a:chOff x="1030" y="391"/>
          <a:chExt cx="191" cy="26"/>
        </a:xfrm>
      </xdr:grpSpPr>
      <xdr:sp macro="" textlink="Sheet1!$D$16">
        <xdr:nvSpPr>
          <xdr:cNvPr id="9221" name="Text Box 5"/>
          <xdr:cNvSpPr txBox="1">
            <a:spLocks noChangeArrowheads="1" noTextEdit="1"/>
          </xdr:cNvSpPr>
        </xdr:nvSpPr>
        <xdr:spPr bwMode="auto">
          <a:xfrm>
            <a:off x="1103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6A8B471E-B1F3-4E40-9878-B4ECC5818262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8776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O$1">
        <xdr:nvSpPr>
          <xdr:cNvPr id="9222" name="Text Box 6"/>
          <xdr:cNvSpPr txBox="1">
            <a:spLocks noChangeArrowheads="1" noTextEdit="1"/>
          </xdr:cNvSpPr>
        </xdr:nvSpPr>
        <xdr:spPr bwMode="auto">
          <a:xfrm>
            <a:off x="1030" y="391"/>
            <a:ext cx="33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1D1766DF-CB4E-4912-B240-22404235D71E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C$16">
        <xdr:nvSpPr>
          <xdr:cNvPr id="9223" name="Text Box 7"/>
          <xdr:cNvSpPr txBox="1">
            <a:spLocks noChangeArrowheads="1" noTextEdit="1"/>
          </xdr:cNvSpPr>
        </xdr:nvSpPr>
        <xdr:spPr bwMode="auto">
          <a:xfrm>
            <a:off x="1061" y="392"/>
            <a:ext cx="43" cy="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6A7B5102-AEE2-4F09-93C1-94990179B975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R-FDB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">
        <xdr:nvSpPr>
          <xdr:cNvPr id="9224" name="Text Box 8"/>
          <xdr:cNvSpPr txBox="1">
            <a:spLocks noChangeArrowheads="1"/>
          </xdr:cNvSpPr>
        </xdr:nvSpPr>
        <xdr:spPr bwMode="auto">
          <a:xfrm>
            <a:off x="1154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r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t>-04</a:t>
            </a:r>
          </a:p>
        </xdr:txBody>
      </xdr:sp>
    </xdr:grpSp>
    <xdr:clientData/>
  </xdr:twoCellAnchor>
  <xdr:twoCellAnchor>
    <xdr:from>
      <xdr:col>3</xdr:col>
      <xdr:colOff>855345</xdr:colOff>
      <xdr:row>55</xdr:row>
      <xdr:rowOff>83820</xdr:rowOff>
    </xdr:from>
    <xdr:to>
      <xdr:col>7</xdr:col>
      <xdr:colOff>83820</xdr:colOff>
      <xdr:row>56</xdr:row>
      <xdr:rowOff>182880</xdr:rowOff>
    </xdr:to>
    <xdr:sp macro="" textlink="Sheet1!$F$3">
      <xdr:nvSpPr>
        <xdr:cNvPr id="9225" name="Text Box 9"/>
        <xdr:cNvSpPr txBox="1">
          <a:spLocks noChangeArrowheads="1" noTextEdit="1"/>
        </xdr:cNvSpPr>
      </xdr:nvSpPr>
      <xdr:spPr bwMode="auto">
        <a:xfrm>
          <a:off x="2537460" y="9144000"/>
          <a:ext cx="1470660" cy="297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FEEFC54D-99D0-4905-B7E5-0E3B9069883C}" type="TxLink">
            <a:rPr lang="en-SG" sz="1400" b="0" i="0" u="none" strike="noStrike" baseline="0">
              <a:solidFill>
                <a:srgbClr val="0000FF"/>
              </a:solidFill>
              <a:latin typeface="Comic Sans MS"/>
            </a:rPr>
            <a:pPr algn="l" rtl="0">
              <a:defRPr sz="1000"/>
            </a:pPr>
            <a:t>NAH 0609 A</a:t>
          </a:fld>
          <a:endParaRPr lang="en-SG" sz="14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7</xdr:col>
      <xdr:colOff>123825</xdr:colOff>
      <xdr:row>47</xdr:row>
      <xdr:rowOff>133350</xdr:rowOff>
    </xdr:from>
    <xdr:to>
      <xdr:col>13</xdr:col>
      <xdr:colOff>247650</xdr:colOff>
      <xdr:row>52</xdr:row>
      <xdr:rowOff>38100</xdr:rowOff>
    </xdr:to>
    <xdr:pic>
      <xdr:nvPicPr>
        <xdr:cNvPr id="9443" name="Picture 21" descr="NCH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" y="7743825"/>
          <a:ext cx="22098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38100</xdr:colOff>
      <xdr:row>10</xdr:row>
      <xdr:rowOff>95250</xdr:rowOff>
    </xdr:from>
    <xdr:to>
      <xdr:col>11</xdr:col>
      <xdr:colOff>428625</xdr:colOff>
      <xdr:row>40</xdr:row>
      <xdr:rowOff>104775</xdr:rowOff>
    </xdr:to>
    <xdr:grpSp>
      <xdr:nvGrpSpPr>
        <xdr:cNvPr id="9444" name="Group 53"/>
        <xdr:cNvGrpSpPr>
          <a:grpSpLocks/>
        </xdr:cNvGrpSpPr>
      </xdr:nvGrpSpPr>
      <xdr:grpSpPr bwMode="auto">
        <a:xfrm>
          <a:off x="904875" y="1714500"/>
          <a:ext cx="4514850" cy="4867275"/>
          <a:chOff x="95" y="180"/>
          <a:chExt cx="474" cy="511"/>
        </a:xfrm>
      </xdr:grpSpPr>
      <xdr:grpSp>
        <xdr:nvGrpSpPr>
          <xdr:cNvPr id="9445" name="Group 51"/>
          <xdr:cNvGrpSpPr>
            <a:grpSpLocks/>
          </xdr:cNvGrpSpPr>
        </xdr:nvGrpSpPr>
        <xdr:grpSpPr bwMode="auto">
          <a:xfrm>
            <a:off x="95" y="180"/>
            <a:ext cx="474" cy="511"/>
            <a:chOff x="95" y="180"/>
            <a:chExt cx="474" cy="511"/>
          </a:xfrm>
        </xdr:grpSpPr>
        <xdr:grpSp>
          <xdr:nvGrpSpPr>
            <xdr:cNvPr id="9447" name="Group 49"/>
            <xdr:cNvGrpSpPr>
              <a:grpSpLocks/>
            </xdr:cNvGrpSpPr>
          </xdr:nvGrpSpPr>
          <xdr:grpSpPr bwMode="auto">
            <a:xfrm>
              <a:off x="96" y="180"/>
              <a:ext cx="473" cy="511"/>
              <a:chOff x="96" y="180"/>
              <a:chExt cx="473" cy="511"/>
            </a:xfrm>
          </xdr:grpSpPr>
          <xdr:grpSp>
            <xdr:nvGrpSpPr>
              <xdr:cNvPr id="9449" name="Group 43"/>
              <xdr:cNvGrpSpPr>
                <a:grpSpLocks/>
              </xdr:cNvGrpSpPr>
            </xdr:nvGrpSpPr>
            <xdr:grpSpPr bwMode="auto">
              <a:xfrm>
                <a:off x="96" y="180"/>
                <a:ext cx="473" cy="511"/>
                <a:chOff x="96" y="180"/>
                <a:chExt cx="473" cy="511"/>
              </a:xfrm>
            </xdr:grpSpPr>
            <xdr:pic>
              <xdr:nvPicPr>
                <xdr:cNvPr id="9455" name="Picture 25" descr="7"/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06" y="180"/>
                  <a:ext cx="463" cy="51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pic>
            <xdr:sp macro="" textlink="Sheet1!F11">
              <xdr:nvSpPr>
                <xdr:cNvPr id="9231" name="Text Box 15"/>
                <xdr:cNvSpPr txBox="1">
                  <a:spLocks noChangeArrowheads="1" noTextEdit="1"/>
                </xdr:cNvSpPr>
              </xdr:nvSpPr>
              <xdr:spPr bwMode="auto">
                <a:xfrm>
                  <a:off x="450" y="553"/>
                  <a:ext cx="63" cy="36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36576" anchor="ctr" upright="1"/>
                <a:lstStyle/>
                <a:p>
                  <a:pPr algn="l" rtl="0">
                    <a:defRPr sz="1000"/>
                  </a:pPr>
                  <a:fld id="{860958C5-CED9-47EC-99C6-6B68C46C15B6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l" rtl="0">
                      <a:defRPr sz="1000"/>
                    </a:pPr>
                    <a:t>41.05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Sheet1!$D$16">
              <xdr:nvSpPr>
                <xdr:cNvPr id="9232" name="Text Box 16"/>
                <xdr:cNvSpPr txBox="1">
                  <a:spLocks noChangeArrowheads="1" noTextEdit="1"/>
                </xdr:cNvSpPr>
              </xdr:nvSpPr>
              <xdr:spPr bwMode="auto">
                <a:xfrm>
                  <a:off x="149" y="214"/>
                  <a:ext cx="66" cy="2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36576" bIns="0" anchor="t" upright="1"/>
                <a:lstStyle/>
                <a:p>
                  <a:pPr algn="ctr" rtl="0">
                    <a:defRPr sz="1000"/>
                  </a:pPr>
                  <a:fld id="{8AE3B298-DDD6-41D3-A7B5-E722490779CB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ctr" rtl="0">
                      <a:defRPr sz="1000"/>
                    </a:pPr>
                    <a:t>8776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Sheet1!$O$1">
              <xdr:nvSpPr>
                <xdr:cNvPr id="9233" name="Text Box 17"/>
                <xdr:cNvSpPr txBox="1">
                  <a:spLocks noChangeArrowheads="1" noTextEdit="1"/>
                </xdr:cNvSpPr>
              </xdr:nvSpPr>
              <xdr:spPr bwMode="auto">
                <a:xfrm>
                  <a:off x="96" y="214"/>
                  <a:ext cx="37" cy="3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0" anchor="t" upright="1"/>
                <a:lstStyle/>
                <a:p>
                  <a:pPr algn="l" rtl="0">
                    <a:defRPr sz="1000"/>
                  </a:pPr>
                  <a:fld id="{57F8FD68-8933-4D80-9E7B-7E5CEA3599BA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l" rtl="0">
                      <a:defRPr sz="1000"/>
                    </a:pPr>
                    <a:t>R-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$R$17">
              <xdr:nvSpPr>
                <xdr:cNvPr id="9235" name="Text Box 19"/>
                <xdr:cNvSpPr txBox="1">
                  <a:spLocks noChangeArrowheads="1" noTextEdit="1"/>
                </xdr:cNvSpPr>
              </xdr:nvSpPr>
              <xdr:spPr bwMode="auto">
                <a:xfrm>
                  <a:off x="119" y="351"/>
                  <a:ext cx="30" cy="64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vert="vert270" wrap="square" lIns="36576" tIns="36576" rIns="0" bIns="36576" anchor="t" upright="1"/>
                <a:lstStyle/>
                <a:p>
                  <a:pPr algn="ctr" rtl="0">
                    <a:defRPr sz="1000"/>
                  </a:pPr>
                  <a:fld id="{860E55AC-F713-4CA1-933B-2BE5EAD420B7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ctr" rtl="0">
                      <a:defRPr sz="1000"/>
                    </a:pPr>
                    <a:t>48.2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Sheet1!F12">
              <xdr:nvSpPr>
                <xdr:cNvPr id="9236" name="Text Box 20"/>
                <xdr:cNvSpPr txBox="1">
                  <a:spLocks noChangeArrowheads="1" noTextEdit="1"/>
                </xdr:cNvSpPr>
              </xdr:nvSpPr>
              <xdr:spPr bwMode="auto">
                <a:xfrm>
                  <a:off x="431" y="639"/>
                  <a:ext cx="65" cy="3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36576" anchor="ctr" upright="1"/>
                <a:lstStyle/>
                <a:p>
                  <a:pPr algn="l" rtl="0">
                    <a:defRPr sz="1000"/>
                  </a:pPr>
                  <a:fld id="{684E2AD0-86C4-4E66-94F4-2CE2FFB33E62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l" rtl="0">
                      <a:defRPr sz="1000"/>
                    </a:pPr>
                    <a:t>48.39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Sheet1!C14" fLocksText="0">
              <xdr:nvSpPr>
                <xdr:cNvPr id="9239" name="Text Box 23"/>
                <xdr:cNvSpPr txBox="1">
                  <a:spLocks noChangeArrowheads="1" noTextEdit="1"/>
                </xdr:cNvSpPr>
              </xdr:nvSpPr>
              <xdr:spPr bwMode="auto">
                <a:xfrm>
                  <a:off x="180" y="538"/>
                  <a:ext cx="28" cy="5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vert="vert270" wrap="square" lIns="36576" tIns="36576" rIns="0" bIns="36576" anchor="t" upright="1"/>
                <a:lstStyle/>
                <a:p>
                  <a:pPr algn="ctr" rtl="0">
                    <a:defRPr sz="1000"/>
                  </a:pPr>
                  <a:fld id="{F542D177-D9B3-473A-A71B-BCBE6440722C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ctr" rtl="0">
                      <a:defRPr sz="1000"/>
                    </a:pPr>
                    <a:t>0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$R$29" fLocksText="0">
              <xdr:nvSpPr>
                <xdr:cNvPr id="9243" name="Text Box 27"/>
                <xdr:cNvSpPr txBox="1">
                  <a:spLocks noChangeArrowheads="1" noTextEdit="1"/>
                </xdr:cNvSpPr>
              </xdr:nvSpPr>
              <xdr:spPr bwMode="auto">
                <a:xfrm>
                  <a:off x="448" y="581"/>
                  <a:ext cx="62" cy="3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36576" anchor="ctr" upright="1"/>
                <a:lstStyle/>
                <a:p>
                  <a:pPr algn="l" rtl="0">
                    <a:defRPr sz="1000"/>
                  </a:pPr>
                  <a:fld id="{D9BBC635-1044-4D78-BEC4-7E142259978C}" type="TxLink">
                    <a:rPr lang="en-SG" sz="1400" b="1" i="0" u="none" strike="noStrike" baseline="0">
                      <a:solidFill>
                        <a:srgbClr val="0000FF"/>
                      </a:solidFill>
                      <a:latin typeface="Times New Roman" panose="02020603050405020304" pitchFamily="18" charset="0"/>
                      <a:cs typeface="Times New Roman" panose="02020603050405020304" pitchFamily="18" charset="0"/>
                    </a:rPr>
                    <a:pPr algn="l" rtl="0">
                      <a:defRPr sz="1000"/>
                    </a:pPr>
                    <a:t>36</a:t>
                  </a:fld>
                  <a:endParaRPr lang="en-SG" sz="1400" b="1" i="0" u="none" strike="noStrike" baseline="0">
                    <a:solidFill>
                      <a:srgbClr val="0000FF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endParaRPr>
                </a:p>
              </xdr:txBody>
            </xdr:sp>
            <xdr:sp macro="" textlink="$R$30" fLocksText="0">
              <xdr:nvSpPr>
                <xdr:cNvPr id="9244" name="Text Box 28"/>
                <xdr:cNvSpPr txBox="1">
                  <a:spLocks noChangeArrowheads="1" noTextEdit="1"/>
                </xdr:cNvSpPr>
              </xdr:nvSpPr>
              <xdr:spPr bwMode="auto">
                <a:xfrm>
                  <a:off x="442" y="612"/>
                  <a:ext cx="61" cy="3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36576" anchor="ctr" upright="1"/>
                <a:lstStyle/>
                <a:p>
                  <a:pPr algn="l" rtl="0">
                    <a:defRPr sz="1000"/>
                  </a:pPr>
                  <a:fld id="{CE4962BC-2348-4023-B28E-DF9E6B800512}" type="TxLink">
                    <a:rPr lang="en-SG" sz="1400" b="1" i="0" u="none" strike="noStrike" baseline="0">
                      <a:solidFill>
                        <a:srgbClr val="0000FF"/>
                      </a:solidFill>
                      <a:latin typeface="Times New Roman" panose="02020603050405020304" pitchFamily="18" charset="0"/>
                      <a:cs typeface="Times New Roman" panose="02020603050405020304" pitchFamily="18" charset="0"/>
                    </a:rPr>
                    <a:pPr algn="l" rtl="0">
                      <a:defRPr sz="1000"/>
                    </a:pPr>
                    <a:t>37</a:t>
                  </a:fld>
                  <a:endParaRPr lang="en-SG" sz="1400" b="1" i="0" u="none" strike="noStrike" baseline="0">
                    <a:solidFill>
                      <a:srgbClr val="0000FF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endParaRPr>
                </a:p>
              </xdr:txBody>
            </xdr:sp>
            <xdr:sp macro="" textlink="">
              <xdr:nvSpPr>
                <xdr:cNvPr id="9464" name="Line 32"/>
                <xdr:cNvSpPr>
                  <a:spLocks noChangeShapeType="1"/>
                </xdr:cNvSpPr>
              </xdr:nvSpPr>
              <xdr:spPr bwMode="auto">
                <a:xfrm>
                  <a:off x="97" y="235"/>
                  <a:ext cx="26" cy="0"/>
                </a:xfrm>
                <a:prstGeom prst="line">
                  <a:avLst/>
                </a:prstGeom>
                <a:noFill/>
                <a:ln w="12700">
                  <a:solidFill>
                    <a:srgbClr xmlns:mc="http://schemas.openxmlformats.org/markup-compatibility/2006" xmlns:a14="http://schemas.microsoft.com/office/drawing/2010/main" val="000000" mc:Ignorable="a14" a14:legacySpreadsheetColorIndex="64"/>
                  </a:solidFill>
                  <a:round/>
                  <a:headEnd/>
                  <a:tailEnd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  <a:ext uri="{AF507438-7753-43E0-B8FC-AC1667EBCBE1}">
                    <a14:hiddenEffects xmlns:a14="http://schemas.microsoft.com/office/drawing/2010/main">
                      <a:effectLst>
                        <a:outerShdw dist="35921" dir="2700000" algn="ctr" rotWithShape="0">
                          <a:srgbClr val="808080"/>
                        </a:outerShdw>
                      </a:effectLst>
                    </a14:hiddenEffects>
                  </a:ext>
                </a:extLst>
              </xdr:spPr>
            </xdr:sp>
            <xdr:sp macro="" textlink="" fLocksText="0">
              <xdr:nvSpPr>
                <xdr:cNvPr id="9254" name="Text Box 38"/>
                <xdr:cNvSpPr txBox="1">
                  <a:spLocks noChangeArrowheads="1"/>
                </xdr:cNvSpPr>
              </xdr:nvSpPr>
              <xdr:spPr bwMode="auto">
                <a:xfrm>
                  <a:off x="395" y="586"/>
                  <a:ext cx="25" cy="24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en-SG" sz="1000" b="0" i="0" u="none" strike="noStrike" baseline="0">
                      <a:solidFill>
                        <a:srgbClr val="FF0000"/>
                      </a:solidFill>
                      <a:latin typeface="Arial"/>
                      <a:cs typeface="Arial"/>
                    </a:rPr>
                    <a:t>X</a:t>
                  </a:r>
                </a:p>
              </xdr:txBody>
            </xdr:sp>
            <xdr:sp macro="" textlink="" fLocksText="0">
              <xdr:nvSpPr>
                <xdr:cNvPr id="9255" name="Text Box 39"/>
                <xdr:cNvSpPr txBox="1">
                  <a:spLocks noChangeArrowheads="1"/>
                </xdr:cNvSpPr>
              </xdr:nvSpPr>
              <xdr:spPr bwMode="auto">
                <a:xfrm>
                  <a:off x="387" y="618"/>
                  <a:ext cx="25" cy="2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en-SG" sz="1000" b="0" i="0" u="none" strike="noStrike" baseline="0">
                      <a:solidFill>
                        <a:srgbClr val="FF0000"/>
                      </a:solidFill>
                      <a:latin typeface="Arial"/>
                      <a:cs typeface="Arial"/>
                    </a:rPr>
                    <a:t>Y</a:t>
                  </a:r>
                </a:p>
              </xdr:txBody>
            </xdr:sp>
            <xdr:sp macro="" textlink="" fLocksText="0">
              <xdr:nvSpPr>
                <xdr:cNvPr id="9256" name="Text Box 40"/>
                <xdr:cNvSpPr txBox="1">
                  <a:spLocks noChangeArrowheads="1"/>
                </xdr:cNvSpPr>
              </xdr:nvSpPr>
              <xdr:spPr bwMode="auto">
                <a:xfrm>
                  <a:off x="297" y="456"/>
                  <a:ext cx="26" cy="2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41148" rIns="0" bIns="41148" anchor="ctr" upright="1"/>
                <a:lstStyle/>
                <a:p>
                  <a:pPr algn="l" rtl="0">
                    <a:defRPr sz="1000"/>
                  </a:pPr>
                  <a:r>
                    <a:rPr lang="en-SG" sz="1000" b="0" i="0" u="none" strike="noStrike" baseline="0">
                      <a:solidFill>
                        <a:srgbClr val="FF0000"/>
                      </a:solidFill>
                      <a:latin typeface="Comic Sans MS"/>
                    </a:rPr>
                    <a:t>θ</a:t>
                  </a:r>
                  <a:r>
                    <a:rPr lang="en-SG" sz="1000" b="0" i="0" u="none" strike="noStrike" baseline="0">
                      <a:solidFill>
                        <a:srgbClr val="FF0000"/>
                      </a:solidFill>
                      <a:latin typeface="Arial"/>
                      <a:cs typeface="Arial"/>
                    </a:rPr>
                    <a:t>°</a:t>
                  </a:r>
                </a:p>
              </xdr:txBody>
            </xdr:sp>
          </xdr:grpSp>
          <xdr:grpSp>
            <xdr:nvGrpSpPr>
              <xdr:cNvPr id="9450" name="Group 48"/>
              <xdr:cNvGrpSpPr>
                <a:grpSpLocks/>
              </xdr:cNvGrpSpPr>
            </xdr:nvGrpSpPr>
            <xdr:grpSpPr bwMode="auto">
              <a:xfrm>
                <a:off x="283" y="423"/>
                <a:ext cx="69" cy="32"/>
                <a:chOff x="737" y="653"/>
                <a:chExt cx="69" cy="32"/>
              </a:xfrm>
            </xdr:grpSpPr>
            <xdr:sp macro="" textlink="$R$31">
              <xdr:nvSpPr>
                <xdr:cNvPr id="9260" name="Text Box 44"/>
                <xdr:cNvSpPr txBox="1">
                  <a:spLocks noChangeArrowheads="1" noTextEdit="1"/>
                </xdr:cNvSpPr>
              </xdr:nvSpPr>
              <xdr:spPr bwMode="auto">
                <a:xfrm>
                  <a:off x="737" y="658"/>
                  <a:ext cx="32" cy="28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 algn="ctr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  <a:ext uri="{AF507438-7753-43E0-B8FC-AC1667EBCBE1}">
                    <a14:hiddenEffects xmlns:a14="http://schemas.microsoft.com/office/drawing/2010/main">
                      <a:effectLst>
                        <a:outerShdw dist="35921" dir="2700000" algn="ctr" rotWithShape="0">
                          <a:srgbClr val="808080"/>
                        </a:outerShdw>
                      </a:effectLst>
                    </a14:hiddenEffects>
                  </a:ext>
                </a:extLst>
              </xdr:spPr>
              <xdr:txBody>
                <a:bodyPr vertOverflow="clip" wrap="square" lIns="0" tIns="36576" rIns="36576" bIns="0" anchor="t" upright="1"/>
                <a:lstStyle/>
                <a:p>
                  <a:pPr algn="r" rtl="0">
                    <a:defRPr sz="1000"/>
                  </a:pPr>
                  <a:fld id="{9645D330-D0E7-4ABD-9991-CBE9728FFC19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r" rtl="0">
                      <a:defRPr sz="1000"/>
                    </a:pPr>
                    <a:t>45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$R$32">
              <xdr:nvSpPr>
                <xdr:cNvPr id="9261" name="Text Box 45"/>
                <xdr:cNvSpPr txBox="1">
                  <a:spLocks noChangeArrowheads="1" noTextEdit="1"/>
                </xdr:cNvSpPr>
              </xdr:nvSpPr>
              <xdr:spPr bwMode="auto">
                <a:xfrm>
                  <a:off x="765" y="658"/>
                  <a:ext cx="32" cy="28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 algn="ctr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  <a:ext uri="{AF507438-7753-43E0-B8FC-AC1667EBCBE1}">
                    <a14:hiddenEffects xmlns:a14="http://schemas.microsoft.com/office/drawing/2010/main">
                      <a:effectLst>
                        <a:outerShdw dist="35921" dir="2700000" algn="ctr" rotWithShape="0">
                          <a:srgbClr val="808080"/>
                        </a:outerShdw>
                      </a:effectLst>
                    </a14:hiddenEffects>
                  </a:ext>
                </a:extLst>
              </xdr:spPr>
              <xdr:txBody>
                <a:bodyPr vertOverflow="clip" wrap="square" lIns="0" tIns="36576" rIns="36576" bIns="0" anchor="t" upright="1"/>
                <a:lstStyle/>
                <a:p>
                  <a:pPr algn="r" rtl="0">
                    <a:defRPr sz="1000"/>
                  </a:pPr>
                  <a:fld id="{2FA13C1A-D975-4402-A57B-ABC9F4FA12E2}" type="TxLink"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pPr algn="r" rtl="0">
                      <a:defRPr sz="1000"/>
                    </a:pPr>
                    <a:t>0</a:t>
                  </a:fld>
                  <a:endParaRPr lang="en-SG" sz="1100" b="0" i="0" u="none" strike="noStrike" baseline="0">
                    <a:solidFill>
                      <a:srgbClr val="339966"/>
                    </a:solidFill>
                    <a:latin typeface="Comic Sans MS"/>
                  </a:endParaRPr>
                </a:p>
              </xdr:txBody>
            </xdr:sp>
            <xdr:sp macro="" textlink="">
              <xdr:nvSpPr>
                <xdr:cNvPr id="9262" name="Text Box 46"/>
                <xdr:cNvSpPr txBox="1">
                  <a:spLocks noChangeArrowheads="1"/>
                </xdr:cNvSpPr>
              </xdr:nvSpPr>
              <xdr:spPr bwMode="auto">
                <a:xfrm>
                  <a:off x="764" y="653"/>
                  <a:ext cx="15" cy="32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 algn="ctr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  <a:ext uri="{AF507438-7753-43E0-B8FC-AC1667EBCBE1}">
                    <a14:hiddenEffects xmlns:a14="http://schemas.microsoft.com/office/drawing/2010/main">
                      <a:effectLst>
                        <a:outerShdw dist="35921" dir="2700000" algn="ctr" rotWithShape="0">
                          <a:srgbClr val="808080"/>
                        </a:outerShdw>
                      </a:effectLst>
                    </a14:hiddenEffects>
                  </a:ext>
                </a:extLst>
              </xdr:spPr>
              <xdr:txBody>
                <a:bodyPr vertOverflow="clip" wrap="square" lIns="36576" tIns="36576" rIns="0" bIns="0" anchor="t" upright="1"/>
                <a:lstStyle/>
                <a:p>
                  <a:pPr algn="l" rtl="0">
                    <a:defRPr sz="1000"/>
                  </a:pPr>
                  <a:r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t>°</a:t>
                  </a:r>
                </a:p>
              </xdr:txBody>
            </xdr:sp>
            <xdr:sp macro="" textlink="">
              <xdr:nvSpPr>
                <xdr:cNvPr id="9263" name="Text Box 47"/>
                <xdr:cNvSpPr txBox="1">
                  <a:spLocks noChangeArrowheads="1"/>
                </xdr:cNvSpPr>
              </xdr:nvSpPr>
              <xdr:spPr bwMode="auto">
                <a:xfrm>
                  <a:off x="791" y="653"/>
                  <a:ext cx="15" cy="32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 algn="ctr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  <a:ext uri="{AF507438-7753-43E0-B8FC-AC1667EBCBE1}">
                    <a14:hiddenEffects xmlns:a14="http://schemas.microsoft.com/office/drawing/2010/main">
                      <a:effectLst>
                        <a:outerShdw dist="35921" dir="2700000" algn="ctr" rotWithShape="0">
                          <a:srgbClr val="808080"/>
                        </a:outerShdw>
                      </a:effectLst>
                    </a14:hiddenEffects>
                  </a:ext>
                </a:extLst>
              </xdr:spPr>
              <xdr:txBody>
                <a:bodyPr vertOverflow="clip" wrap="square" lIns="36576" tIns="36576" rIns="0" bIns="0" anchor="t" upright="1"/>
                <a:lstStyle/>
                <a:p>
                  <a:pPr algn="l" rtl="0">
                    <a:defRPr sz="1000"/>
                  </a:pPr>
                  <a:r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t>'</a:t>
                  </a:r>
                </a:p>
              </xdr:txBody>
            </xdr:sp>
          </xdr:grpSp>
        </xdr:grpSp>
        <xdr:sp macro="" textlink="">
          <xdr:nvSpPr>
            <xdr:cNvPr id="9448" name="Text Box 50"/>
            <xdr:cNvSpPr txBox="1">
              <a:spLocks noChangeArrowheads="1"/>
            </xdr:cNvSpPr>
          </xdr:nvSpPr>
          <xdr:spPr bwMode="auto">
            <a:xfrm>
              <a:off x="95" y="234"/>
              <a:ext cx="148" cy="5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  <xdr:sp macro="" textlink="">
        <xdr:nvSpPr>
          <xdr:cNvPr id="9446" name="Line 52"/>
          <xdr:cNvSpPr>
            <a:spLocks noChangeShapeType="1"/>
          </xdr:cNvSpPr>
        </xdr:nvSpPr>
        <xdr:spPr bwMode="auto">
          <a:xfrm>
            <a:off x="97" y="237"/>
            <a:ext cx="146" cy="0"/>
          </a:xfrm>
          <a:prstGeom prst="line">
            <a:avLst/>
          </a:prstGeom>
          <a:noFill/>
          <a:ln w="9525">
            <a:solidFill>
              <a:srgbClr val="333333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1447800</xdr:colOff>
      <xdr:row>82</xdr:row>
      <xdr:rowOff>38100</xdr:rowOff>
    </xdr:from>
    <xdr:to>
      <xdr:col>11</xdr:col>
      <xdr:colOff>9525</xdr:colOff>
      <xdr:row>84</xdr:row>
      <xdr:rowOff>85725</xdr:rowOff>
    </xdr:to>
    <xdr:grpSp>
      <xdr:nvGrpSpPr>
        <xdr:cNvPr id="10516" name="Group 1"/>
        <xdr:cNvGrpSpPr>
          <a:grpSpLocks/>
        </xdr:cNvGrpSpPr>
      </xdr:nvGrpSpPr>
      <xdr:grpSpPr bwMode="auto">
        <a:xfrm>
          <a:off x="2600325" y="13620750"/>
          <a:ext cx="2400300" cy="371475"/>
          <a:chOff x="919" y="1110"/>
          <a:chExt cx="293" cy="40"/>
        </a:xfrm>
      </xdr:grpSpPr>
      <xdr:pic>
        <xdr:nvPicPr>
          <xdr:cNvPr id="10557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9" y="1110"/>
            <a:ext cx="88" cy="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43" name="Text Box 3"/>
          <xdr:cNvSpPr txBox="1">
            <a:spLocks noChangeArrowheads="1"/>
          </xdr:cNvSpPr>
        </xdr:nvSpPr>
        <xdr:spPr bwMode="auto">
          <a:xfrm>
            <a:off x="993" y="1116"/>
            <a:ext cx="219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SG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NOK ASIA CO. PTE. LTD.</a:t>
            </a:r>
          </a:p>
        </xdr:txBody>
      </xdr:sp>
    </xdr:grpSp>
    <xdr:clientData/>
  </xdr:twoCellAnchor>
  <xdr:twoCellAnchor>
    <xdr:from>
      <xdr:col>9</xdr:col>
      <xdr:colOff>123825</xdr:colOff>
      <xdr:row>56</xdr:row>
      <xdr:rowOff>57150</xdr:rowOff>
    </xdr:from>
    <xdr:to>
      <xdr:col>14</xdr:col>
      <xdr:colOff>161925</xdr:colOff>
      <xdr:row>57</xdr:row>
      <xdr:rowOff>114300</xdr:rowOff>
    </xdr:to>
    <xdr:grpSp>
      <xdr:nvGrpSpPr>
        <xdr:cNvPr id="10517" name="Group 4"/>
        <xdr:cNvGrpSpPr>
          <a:grpSpLocks/>
        </xdr:cNvGrpSpPr>
      </xdr:nvGrpSpPr>
      <xdr:grpSpPr bwMode="auto">
        <a:xfrm>
          <a:off x="4505325" y="9401175"/>
          <a:ext cx="2019300" cy="295275"/>
          <a:chOff x="1030" y="391"/>
          <a:chExt cx="191" cy="26"/>
        </a:xfrm>
      </xdr:grpSpPr>
      <xdr:sp macro="" textlink="Sheet1!$D$16">
        <xdr:nvSpPr>
          <xdr:cNvPr id="10245" name="Text Box 5"/>
          <xdr:cNvSpPr txBox="1">
            <a:spLocks noChangeArrowheads="1" noTextEdit="1"/>
          </xdr:cNvSpPr>
        </xdr:nvSpPr>
        <xdr:spPr bwMode="auto">
          <a:xfrm>
            <a:off x="1103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F4884C5B-801F-4FC9-8A6D-7D0C7CACD5D3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8776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O$1">
        <xdr:nvSpPr>
          <xdr:cNvPr id="10246" name="Text Box 6"/>
          <xdr:cNvSpPr txBox="1">
            <a:spLocks noChangeArrowheads="1" noTextEdit="1"/>
          </xdr:cNvSpPr>
        </xdr:nvSpPr>
        <xdr:spPr bwMode="auto">
          <a:xfrm>
            <a:off x="1030" y="391"/>
            <a:ext cx="33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C60A1B90-0BF3-4011-B140-AF14ED3E1320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C$16">
        <xdr:nvSpPr>
          <xdr:cNvPr id="10247" name="Text Box 7"/>
          <xdr:cNvSpPr txBox="1">
            <a:spLocks noChangeArrowheads="1" noTextEdit="1"/>
          </xdr:cNvSpPr>
        </xdr:nvSpPr>
        <xdr:spPr bwMode="auto">
          <a:xfrm>
            <a:off x="1061" y="392"/>
            <a:ext cx="43" cy="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B5C8EF2E-1C94-43A7-8173-DCAD4437BB38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R-FDB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">
        <xdr:nvSpPr>
          <xdr:cNvPr id="10248" name="Text Box 8"/>
          <xdr:cNvSpPr txBox="1">
            <a:spLocks noChangeArrowheads="1"/>
          </xdr:cNvSpPr>
        </xdr:nvSpPr>
        <xdr:spPr bwMode="auto">
          <a:xfrm>
            <a:off x="1154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r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t>-04</a:t>
            </a:r>
          </a:p>
        </xdr:txBody>
      </xdr:sp>
    </xdr:grpSp>
    <xdr:clientData/>
  </xdr:twoCellAnchor>
  <xdr:twoCellAnchor>
    <xdr:from>
      <xdr:col>3</xdr:col>
      <xdr:colOff>855345</xdr:colOff>
      <xdr:row>55</xdr:row>
      <xdr:rowOff>83820</xdr:rowOff>
    </xdr:from>
    <xdr:to>
      <xdr:col>7</xdr:col>
      <xdr:colOff>83820</xdr:colOff>
      <xdr:row>56</xdr:row>
      <xdr:rowOff>182880</xdr:rowOff>
    </xdr:to>
    <xdr:sp macro="" textlink="Sheet1!$F$3">
      <xdr:nvSpPr>
        <xdr:cNvPr id="10249" name="Text Box 9"/>
        <xdr:cNvSpPr txBox="1">
          <a:spLocks noChangeArrowheads="1" noTextEdit="1"/>
        </xdr:cNvSpPr>
      </xdr:nvSpPr>
      <xdr:spPr bwMode="auto">
        <a:xfrm>
          <a:off x="2537460" y="9144000"/>
          <a:ext cx="1470660" cy="297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2E3DE1F1-A315-4CB0-AD40-D5B0D4953CC1}" type="TxLink">
            <a:rPr lang="en-SG" sz="1400" b="0" i="0" u="none" strike="noStrike" baseline="0">
              <a:solidFill>
                <a:srgbClr val="0000FF"/>
              </a:solidFill>
              <a:latin typeface="Comic Sans MS"/>
            </a:rPr>
            <a:pPr algn="l" rtl="0">
              <a:defRPr sz="1000"/>
            </a:pPr>
            <a:t>NAH 0609 A</a:t>
          </a:fld>
          <a:endParaRPr lang="en-SG" sz="14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16</xdr:col>
      <xdr:colOff>114300</xdr:colOff>
      <xdr:row>28</xdr:row>
      <xdr:rowOff>30480</xdr:rowOff>
    </xdr:from>
    <xdr:to>
      <xdr:col>17</xdr:col>
      <xdr:colOff>60960</xdr:colOff>
      <xdr:row>30</xdr:row>
      <xdr:rowOff>15240</xdr:rowOff>
    </xdr:to>
    <xdr:sp macro="" textlink="$R$18">
      <xdr:nvSpPr>
        <xdr:cNvPr id="10253" name="Text Box 13"/>
        <xdr:cNvSpPr txBox="1">
          <a:spLocks noChangeArrowheads="1" noTextEdit="1"/>
        </xdr:cNvSpPr>
      </xdr:nvSpPr>
      <xdr:spPr bwMode="auto">
        <a:xfrm>
          <a:off x="7909560" y="4511040"/>
          <a:ext cx="571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fld id="{8C5DF173-C19F-4A8C-8527-D9ABECCD658E}" type="TxLink">
            <a:rPr lang="en-US"/>
            <a:pPr/>
            <a:t> </a:t>
          </a:fld>
          <a:endParaRPr lang="en-US"/>
        </a:p>
      </xdr:txBody>
    </xdr:sp>
    <xdr:clientData/>
  </xdr:twoCellAnchor>
  <xdr:twoCellAnchor editAs="oneCell">
    <xdr:from>
      <xdr:col>7</xdr:col>
      <xdr:colOff>123825</xdr:colOff>
      <xdr:row>47</xdr:row>
      <xdr:rowOff>133350</xdr:rowOff>
    </xdr:from>
    <xdr:to>
      <xdr:col>13</xdr:col>
      <xdr:colOff>247650</xdr:colOff>
      <xdr:row>52</xdr:row>
      <xdr:rowOff>38100</xdr:rowOff>
    </xdr:to>
    <xdr:pic>
      <xdr:nvPicPr>
        <xdr:cNvPr id="10520" name="Picture 14" descr="NCH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" y="7743825"/>
          <a:ext cx="22098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491490</xdr:colOff>
      <xdr:row>25</xdr:row>
      <xdr:rowOff>38100</xdr:rowOff>
    </xdr:from>
    <xdr:to>
      <xdr:col>3</xdr:col>
      <xdr:colOff>893401</xdr:colOff>
      <xdr:row>29</xdr:row>
      <xdr:rowOff>7620</xdr:rowOff>
    </xdr:to>
    <xdr:sp macro="" textlink="$R$13">
      <xdr:nvSpPr>
        <xdr:cNvPr id="10262" name="Text Box 22"/>
        <xdr:cNvSpPr txBox="1">
          <a:spLocks noChangeArrowheads="1" noTextEdit="1"/>
        </xdr:cNvSpPr>
      </xdr:nvSpPr>
      <xdr:spPr bwMode="auto">
        <a:xfrm>
          <a:off x="2164080" y="4038600"/>
          <a:ext cx="41148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18288" tIns="0" rIns="0" bIns="0" anchor="ctr" upright="1"/>
        <a:lstStyle/>
        <a:p>
          <a:fld id="{F92C30A9-C99D-4CD4-B478-FFF30D627BC8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0</xdr:col>
      <xdr:colOff>257175</xdr:colOff>
      <xdr:row>3</xdr:row>
      <xdr:rowOff>57150</xdr:rowOff>
    </xdr:from>
    <xdr:to>
      <xdr:col>13</xdr:col>
      <xdr:colOff>238125</xdr:colOff>
      <xdr:row>43</xdr:row>
      <xdr:rowOff>152400</xdr:rowOff>
    </xdr:to>
    <xdr:grpSp>
      <xdr:nvGrpSpPr>
        <xdr:cNvPr id="10522" name="Group 60"/>
        <xdr:cNvGrpSpPr>
          <a:grpSpLocks/>
        </xdr:cNvGrpSpPr>
      </xdr:nvGrpSpPr>
      <xdr:grpSpPr bwMode="auto">
        <a:xfrm>
          <a:off x="257175" y="542925"/>
          <a:ext cx="5886450" cy="6572250"/>
          <a:chOff x="27" y="57"/>
          <a:chExt cx="618" cy="690"/>
        </a:xfrm>
      </xdr:grpSpPr>
      <xdr:grpSp>
        <xdr:nvGrpSpPr>
          <xdr:cNvPr id="10523" name="Group 58"/>
          <xdr:cNvGrpSpPr>
            <a:grpSpLocks/>
          </xdr:cNvGrpSpPr>
        </xdr:nvGrpSpPr>
        <xdr:grpSpPr bwMode="auto">
          <a:xfrm>
            <a:off x="27" y="57"/>
            <a:ext cx="618" cy="690"/>
            <a:chOff x="27" y="57"/>
            <a:chExt cx="618" cy="690"/>
          </a:xfrm>
        </xdr:grpSpPr>
        <xdr:grpSp>
          <xdr:nvGrpSpPr>
            <xdr:cNvPr id="10525" name="Group 56"/>
            <xdr:cNvGrpSpPr>
              <a:grpSpLocks/>
            </xdr:cNvGrpSpPr>
          </xdr:nvGrpSpPr>
          <xdr:grpSpPr bwMode="auto">
            <a:xfrm>
              <a:off x="27" y="57"/>
              <a:ext cx="618" cy="690"/>
              <a:chOff x="27" y="57"/>
              <a:chExt cx="618" cy="690"/>
            </a:xfrm>
          </xdr:grpSpPr>
          <xdr:grpSp>
            <xdr:nvGrpSpPr>
              <xdr:cNvPr id="10527" name="Group 50"/>
              <xdr:cNvGrpSpPr>
                <a:grpSpLocks/>
              </xdr:cNvGrpSpPr>
            </xdr:nvGrpSpPr>
            <xdr:grpSpPr bwMode="auto">
              <a:xfrm>
                <a:off x="27" y="57"/>
                <a:ext cx="618" cy="690"/>
                <a:chOff x="27" y="57"/>
                <a:chExt cx="618" cy="690"/>
              </a:xfrm>
            </xdr:grpSpPr>
            <xdr:pic>
              <xdr:nvPicPr>
                <xdr:cNvPr id="10533" name="Picture 25" descr="8"/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" y="57"/>
                  <a:ext cx="618" cy="69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pic>
            <xdr:sp macro="" textlink="Sheet1!F11">
              <xdr:nvSpPr>
                <xdr:cNvPr id="10257" name="Text Box 17"/>
                <xdr:cNvSpPr txBox="1">
                  <a:spLocks noChangeArrowheads="1" noTextEdit="1"/>
                </xdr:cNvSpPr>
              </xdr:nvSpPr>
              <xdr:spPr bwMode="auto">
                <a:xfrm>
                  <a:off x="480" y="474"/>
                  <a:ext cx="64" cy="2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36576" anchor="ctr" upright="1"/>
                <a:lstStyle/>
                <a:p>
                  <a:pPr algn="l" rtl="0">
                    <a:defRPr sz="1000"/>
                  </a:pPr>
                  <a:fld id="{0C6D36BD-FA1F-4776-99D7-71D69F6668E3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l" rtl="0">
                      <a:defRPr sz="1000"/>
                    </a:pPr>
                    <a:t>41.05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Sheet1!$D$16">
              <xdr:nvSpPr>
                <xdr:cNvPr id="10258" name="Text Box 18"/>
                <xdr:cNvSpPr txBox="1">
                  <a:spLocks noChangeArrowheads="1" noTextEdit="1"/>
                </xdr:cNvSpPr>
              </xdr:nvSpPr>
              <xdr:spPr bwMode="auto">
                <a:xfrm>
                  <a:off x="139" y="122"/>
                  <a:ext cx="64" cy="2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36576" bIns="0" anchor="t" upright="1"/>
                <a:lstStyle/>
                <a:p>
                  <a:pPr algn="ctr" rtl="0">
                    <a:defRPr sz="1000"/>
                  </a:pPr>
                  <a:fld id="{75795795-1643-41F3-BEB0-E12C48607230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ctr" rtl="0">
                      <a:defRPr sz="1000"/>
                    </a:pPr>
                    <a:t>8776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Sheet1!$O$1">
              <xdr:nvSpPr>
                <xdr:cNvPr id="10259" name="Text Box 19"/>
                <xdr:cNvSpPr txBox="1">
                  <a:spLocks noChangeArrowheads="1" noTextEdit="1"/>
                </xdr:cNvSpPr>
              </xdr:nvSpPr>
              <xdr:spPr bwMode="auto">
                <a:xfrm>
                  <a:off x="87" y="122"/>
                  <a:ext cx="37" cy="3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0" anchor="t" upright="1"/>
                <a:lstStyle/>
                <a:p>
                  <a:pPr algn="l" rtl="0">
                    <a:defRPr sz="1000"/>
                  </a:pPr>
                  <a:fld id="{448A006B-1A12-4856-A48A-20A66DC5D247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l" rtl="0">
                      <a:defRPr sz="1000"/>
                    </a:pPr>
                    <a:t>R-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Sheet1!F12">
              <xdr:nvSpPr>
                <xdr:cNvPr id="10261" name="Text Box 21"/>
                <xdr:cNvSpPr txBox="1">
                  <a:spLocks noChangeArrowheads="1" noTextEdit="1"/>
                </xdr:cNvSpPr>
              </xdr:nvSpPr>
              <xdr:spPr bwMode="auto">
                <a:xfrm>
                  <a:off x="478" y="511"/>
                  <a:ext cx="61" cy="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36576" anchor="ctr" upright="1"/>
                <a:lstStyle/>
                <a:p>
                  <a:pPr algn="l" rtl="0">
                    <a:defRPr sz="1000"/>
                  </a:pPr>
                  <a:fld id="{5C828E95-E611-4BD1-8A37-435CC080EC98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l" rtl="0">
                      <a:defRPr sz="1000"/>
                    </a:pPr>
                    <a:t>48.39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$R$29" fLocksText="0">
              <xdr:nvSpPr>
                <xdr:cNvPr id="10266" name="Text Box 26"/>
                <xdr:cNvSpPr txBox="1">
                  <a:spLocks noChangeArrowheads="1" noTextEdit="1"/>
                </xdr:cNvSpPr>
              </xdr:nvSpPr>
              <xdr:spPr bwMode="auto">
                <a:xfrm>
                  <a:off x="124" y="292"/>
                  <a:ext cx="28" cy="6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vert="vert270" wrap="square" lIns="36576" tIns="36576" rIns="0" bIns="36576" anchor="t" upright="1"/>
                <a:lstStyle/>
                <a:p>
                  <a:pPr algn="ctr" rtl="0">
                    <a:defRPr sz="1000"/>
                  </a:pPr>
                  <a:fld id="{97F027AD-CB3D-4368-8657-ABC641289344}" type="TxLink"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pPr algn="ctr" rtl="0">
                      <a:defRPr sz="1000"/>
                    </a:pPr>
                    <a:t>??</a:t>
                  </a:fld>
                  <a:endParaRPr lang="en-SG" sz="1100" b="0" i="0" u="none" strike="noStrike" baseline="0">
                    <a:solidFill>
                      <a:srgbClr val="339966"/>
                    </a:solidFill>
                    <a:latin typeface="Comic Sans MS"/>
                  </a:endParaRPr>
                </a:p>
              </xdr:txBody>
            </xdr:sp>
            <xdr:sp macro="" textlink="$R$29" fLocksText="0">
              <xdr:nvSpPr>
                <xdr:cNvPr id="10267" name="Text Box 27"/>
                <xdr:cNvSpPr txBox="1">
                  <a:spLocks noChangeArrowheads="1" noTextEdit="1"/>
                </xdr:cNvSpPr>
              </xdr:nvSpPr>
              <xdr:spPr bwMode="auto">
                <a:xfrm>
                  <a:off x="32" y="520"/>
                  <a:ext cx="31" cy="67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vert="vert270" wrap="square" lIns="36576" tIns="36576" rIns="0" bIns="36576" anchor="t" upright="1"/>
                <a:lstStyle/>
                <a:p>
                  <a:pPr algn="ctr" rtl="0">
                    <a:defRPr sz="1000"/>
                  </a:pPr>
                  <a:fld id="{519D91DA-71D2-455A-834C-2C28579F5683}" type="TxLink"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pPr algn="ctr" rtl="0">
                      <a:defRPr sz="1000"/>
                    </a:pPr>
                    <a:t>??</a:t>
                  </a:fld>
                  <a:endParaRPr lang="en-SG" sz="1100" b="0" i="0" u="none" strike="noStrike" baseline="0">
                    <a:solidFill>
                      <a:srgbClr val="339966"/>
                    </a:solidFill>
                    <a:latin typeface="Comic Sans MS"/>
                  </a:endParaRPr>
                </a:p>
              </xdr:txBody>
            </xdr:sp>
            <xdr:sp macro="" textlink="Sheet1!F12">
              <xdr:nvSpPr>
                <xdr:cNvPr id="10268" name="Text Box 28"/>
                <xdr:cNvSpPr txBox="1">
                  <a:spLocks noChangeArrowheads="1" noTextEdit="1"/>
                </xdr:cNvSpPr>
              </xdr:nvSpPr>
              <xdr:spPr bwMode="auto">
                <a:xfrm>
                  <a:off x="273" y="713"/>
                  <a:ext cx="60" cy="2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36576" anchor="ctr" upright="1"/>
                <a:lstStyle/>
                <a:p>
                  <a:pPr algn="l" rtl="0">
                    <a:defRPr sz="1000"/>
                  </a:pPr>
                  <a:fld id="{8E29FEE8-8ED0-46F2-B681-5FB4B4F335AC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l" rtl="0">
                      <a:defRPr sz="1000"/>
                    </a:pPr>
                    <a:t>48.39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Sheet1!F11">
              <xdr:nvSpPr>
                <xdr:cNvPr id="10269" name="Text Box 29"/>
                <xdr:cNvSpPr txBox="1">
                  <a:spLocks noChangeArrowheads="1" noTextEdit="1"/>
                </xdr:cNvSpPr>
              </xdr:nvSpPr>
              <xdr:spPr bwMode="auto">
                <a:xfrm>
                  <a:off x="285" y="619"/>
                  <a:ext cx="65" cy="2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36576" anchor="ctr" upright="1"/>
                <a:lstStyle/>
                <a:p>
                  <a:pPr algn="l" rtl="0">
                    <a:defRPr sz="1000"/>
                  </a:pPr>
                  <a:fld id="{30B6494D-52BE-471A-86CD-25A2A918ACCC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l" rtl="0">
                      <a:defRPr sz="1000"/>
                    </a:pPr>
                    <a:t>41.05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$R$31" fLocksText="0">
              <xdr:nvSpPr>
                <xdr:cNvPr id="10270" name="Text Box 30"/>
                <xdr:cNvSpPr txBox="1">
                  <a:spLocks noChangeArrowheads="1" noTextEdit="1"/>
                </xdr:cNvSpPr>
              </xdr:nvSpPr>
              <xdr:spPr bwMode="auto">
                <a:xfrm>
                  <a:off x="281" y="648"/>
                  <a:ext cx="65" cy="2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36576" anchor="ctr" upright="1"/>
                <a:lstStyle/>
                <a:p>
                  <a:pPr algn="l" rtl="0">
                    <a:defRPr sz="1000"/>
                  </a:pPr>
                  <a:fld id="{62E86193-930D-49DD-B9C8-F73156D182DA}" type="TxLink"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pPr algn="l" rtl="0">
                      <a:defRPr sz="1000"/>
                    </a:pPr>
                    <a:t>??</a:t>
                  </a:fld>
                  <a:endParaRPr lang="en-SG" sz="1100" b="0" i="0" u="none" strike="noStrike" baseline="0">
                    <a:solidFill>
                      <a:srgbClr val="339966"/>
                    </a:solidFill>
                    <a:latin typeface="Comic Sans MS"/>
                  </a:endParaRPr>
                </a:p>
              </xdr:txBody>
            </xdr:sp>
            <xdr:sp macro="" textlink="$R$32" fLocksText="0">
              <xdr:nvSpPr>
                <xdr:cNvPr id="10271" name="Text Box 31"/>
                <xdr:cNvSpPr txBox="1">
                  <a:spLocks noChangeArrowheads="1" noTextEdit="1"/>
                </xdr:cNvSpPr>
              </xdr:nvSpPr>
              <xdr:spPr bwMode="auto">
                <a:xfrm>
                  <a:off x="282" y="680"/>
                  <a:ext cx="64" cy="3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6576" rIns="0" bIns="36576" anchor="ctr" upright="1"/>
                <a:lstStyle/>
                <a:p>
                  <a:pPr algn="l" rtl="0">
                    <a:defRPr sz="1000"/>
                  </a:pPr>
                  <a:fld id="{7FD0FC5B-C60E-42FA-A1A8-CC2792F961BE}" type="TxLink"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pPr algn="l" rtl="0">
                      <a:defRPr sz="1000"/>
                    </a:pPr>
                    <a:t>??</a:t>
                  </a:fld>
                  <a:endParaRPr lang="en-SG" sz="1100" b="0" i="0" u="none" strike="noStrike" baseline="0">
                    <a:solidFill>
                      <a:srgbClr val="339966"/>
                    </a:solidFill>
                    <a:latin typeface="Comic Sans MS"/>
                  </a:endParaRPr>
                </a:p>
              </xdr:txBody>
            </xdr:sp>
            <xdr:sp macro="" textlink="$R$30" fLocksText="0">
              <xdr:nvSpPr>
                <xdr:cNvPr id="10273" name="Text Box 33"/>
                <xdr:cNvSpPr txBox="1">
                  <a:spLocks noChangeArrowheads="1" noTextEdit="1"/>
                </xdr:cNvSpPr>
              </xdr:nvSpPr>
              <xdr:spPr bwMode="auto">
                <a:xfrm>
                  <a:off x="176" y="304"/>
                  <a:ext cx="30" cy="67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vert="vert270" wrap="square" lIns="36576" tIns="36576" rIns="0" bIns="36576" anchor="t" upright="1"/>
                <a:lstStyle/>
                <a:p>
                  <a:pPr algn="ctr" rtl="0">
                    <a:defRPr sz="1000"/>
                  </a:pPr>
                  <a:fld id="{EA56D8BD-C455-44BA-B5D3-5C1A5F259CC9}" type="TxLink"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pPr algn="ctr" rtl="0">
                      <a:defRPr sz="1000"/>
                    </a:pPr>
                    <a:t>??</a:t>
                  </a:fld>
                  <a:endParaRPr lang="en-SG" sz="1100" b="0" i="0" u="none" strike="noStrike" baseline="0">
                    <a:solidFill>
                      <a:srgbClr val="339966"/>
                    </a:solidFill>
                    <a:latin typeface="Comic Sans MS"/>
                  </a:endParaRPr>
                </a:p>
              </xdr:txBody>
            </xdr:sp>
            <xdr:sp macro="" textlink="Sheet1!C14" fLocksText="0">
              <xdr:nvSpPr>
                <xdr:cNvPr id="10274" name="Text Box 34"/>
                <xdr:cNvSpPr txBox="1">
                  <a:spLocks noChangeArrowheads="1" noTextEdit="1"/>
                </xdr:cNvSpPr>
              </xdr:nvSpPr>
              <xdr:spPr bwMode="auto">
                <a:xfrm>
                  <a:off x="280" y="516"/>
                  <a:ext cx="30" cy="6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vert="vert270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fld id="{410CC776-4CD7-469D-874A-92D299FEEFC1}" type="TxLink">
                    <a:rPr lang="en-SG" sz="1100" b="0" i="0" u="none" strike="noStrike" baseline="0">
                      <a:solidFill>
                        <a:srgbClr val="0000FF"/>
                      </a:solidFill>
                      <a:latin typeface="Comic Sans MS"/>
                    </a:rPr>
                    <a:pPr algn="ctr" rtl="0">
                      <a:defRPr sz="1000"/>
                    </a:pPr>
                    <a:t>0</a:t>
                  </a:fld>
                  <a:endParaRPr lang="en-SG" sz="1100" b="0" i="0" u="none" strike="noStrike" baseline="0">
                    <a:solidFill>
                      <a:srgbClr val="0000FF"/>
                    </a:solidFill>
                    <a:latin typeface="Comic Sans MS"/>
                  </a:endParaRPr>
                </a:p>
              </xdr:txBody>
            </xdr:sp>
            <xdr:sp macro="" textlink="">
              <xdr:nvSpPr>
                <xdr:cNvPr id="10546" name="Line 38"/>
                <xdr:cNvSpPr>
                  <a:spLocks noChangeShapeType="1"/>
                </xdr:cNvSpPr>
              </xdr:nvSpPr>
              <xdr:spPr bwMode="auto">
                <a:xfrm>
                  <a:off x="87" y="146"/>
                  <a:ext cx="26" cy="0"/>
                </a:xfrm>
                <a:prstGeom prst="line">
                  <a:avLst/>
                </a:prstGeom>
                <a:noFill/>
                <a:ln w="12700">
                  <a:solidFill>
                    <a:srgbClr xmlns:mc="http://schemas.openxmlformats.org/markup-compatibility/2006" xmlns:a14="http://schemas.microsoft.com/office/drawing/2010/main" val="000000" mc:Ignorable="a14" a14:legacySpreadsheetColorIndex="64"/>
                  </a:solidFill>
                  <a:round/>
                  <a:headEnd/>
                  <a:tailEnd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  <a:ext uri="{AF507438-7753-43E0-B8FC-AC1667EBCBE1}">
                    <a14:hiddenEffects xmlns:a14="http://schemas.microsoft.com/office/drawing/2010/main">
                      <a:effectLst>
                        <a:outerShdw dist="35921" dir="2700000" algn="ctr" rotWithShape="0">
                          <a:srgbClr val="808080"/>
                        </a:outerShdw>
                      </a:effectLst>
                    </a14:hiddenEffects>
                  </a:ext>
                </a:extLst>
              </xdr:spPr>
            </xdr:sp>
            <xdr:sp macro="" textlink="" fLocksText="0">
              <xdr:nvSpPr>
                <xdr:cNvPr id="10282" name="Text Box 42"/>
                <xdr:cNvSpPr txBox="1">
                  <a:spLocks noChangeArrowheads="1"/>
                </xdr:cNvSpPr>
              </xdr:nvSpPr>
              <xdr:spPr bwMode="auto">
                <a:xfrm>
                  <a:off x="57" y="544"/>
                  <a:ext cx="32" cy="3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vert="vert270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SG" sz="1000" b="0" i="0" u="none" strike="noStrike" baseline="0">
                      <a:solidFill>
                        <a:srgbClr val="FF0000"/>
                      </a:solidFill>
                      <a:latin typeface="Arial"/>
                      <a:cs typeface="Arial"/>
                    </a:rPr>
                    <a:t>W</a:t>
                  </a:r>
                </a:p>
              </xdr:txBody>
            </xdr:sp>
            <xdr:sp macro="" textlink="" fLocksText="0">
              <xdr:nvSpPr>
                <xdr:cNvPr id="10283" name="Text Box 43"/>
                <xdr:cNvSpPr txBox="1">
                  <a:spLocks noChangeArrowheads="1"/>
                </xdr:cNvSpPr>
              </xdr:nvSpPr>
              <xdr:spPr bwMode="auto">
                <a:xfrm>
                  <a:off x="150" y="398"/>
                  <a:ext cx="32" cy="3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vert="vert270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SG" sz="1000" b="0" i="0" u="none" strike="noStrike" baseline="0">
                      <a:solidFill>
                        <a:srgbClr val="FF0000"/>
                      </a:solidFill>
                      <a:latin typeface="Arial"/>
                      <a:cs typeface="Arial"/>
                    </a:rPr>
                    <a:t>W</a:t>
                  </a:r>
                </a:p>
              </xdr:txBody>
            </xdr:sp>
            <xdr:sp macro="" textlink="" fLocksText="0">
              <xdr:nvSpPr>
                <xdr:cNvPr id="10284" name="Text Box 44"/>
                <xdr:cNvSpPr txBox="1">
                  <a:spLocks noChangeArrowheads="1"/>
                </xdr:cNvSpPr>
              </xdr:nvSpPr>
              <xdr:spPr bwMode="auto">
                <a:xfrm>
                  <a:off x="200" y="399"/>
                  <a:ext cx="31" cy="3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vert="vert270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SG" sz="1000" b="0" i="0" u="none" strike="noStrike" baseline="0">
                      <a:solidFill>
                        <a:srgbClr val="FF0000"/>
                      </a:solidFill>
                      <a:latin typeface="Arial"/>
                      <a:cs typeface="Arial"/>
                    </a:rPr>
                    <a:t>X</a:t>
                  </a:r>
                </a:p>
              </xdr:txBody>
            </xdr:sp>
            <xdr:sp macro="" textlink="" fLocksText="0">
              <xdr:nvSpPr>
                <xdr:cNvPr id="10285" name="Text Box 45"/>
                <xdr:cNvSpPr txBox="1">
                  <a:spLocks noChangeArrowheads="1"/>
                </xdr:cNvSpPr>
              </xdr:nvSpPr>
              <xdr:spPr bwMode="auto">
                <a:xfrm>
                  <a:off x="187" y="647"/>
                  <a:ext cx="30" cy="3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SG" sz="1000" b="0" i="0" u="none" strike="noStrike" baseline="0">
                      <a:solidFill>
                        <a:srgbClr val="FF0000"/>
                      </a:solidFill>
                      <a:latin typeface="Arial"/>
                      <a:cs typeface="Arial"/>
                    </a:rPr>
                    <a:t>Y</a:t>
                  </a:r>
                </a:p>
              </xdr:txBody>
            </xdr:sp>
            <xdr:sp macro="" textlink="" fLocksText="0">
              <xdr:nvSpPr>
                <xdr:cNvPr id="10286" name="Text Box 46"/>
                <xdr:cNvSpPr txBox="1">
                  <a:spLocks noChangeArrowheads="1"/>
                </xdr:cNvSpPr>
              </xdr:nvSpPr>
              <xdr:spPr bwMode="auto">
                <a:xfrm>
                  <a:off x="172" y="680"/>
                  <a:ext cx="31" cy="3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SG" sz="1000" b="0" i="0" u="none" strike="noStrike" baseline="0">
                      <a:solidFill>
                        <a:srgbClr val="FF0000"/>
                      </a:solidFill>
                      <a:latin typeface="Arial"/>
                      <a:cs typeface="Arial"/>
                    </a:rPr>
                    <a:t>Z</a:t>
                  </a:r>
                </a:p>
              </xdr:txBody>
            </xdr:sp>
            <xdr:sp macro="" textlink="" fLocksText="0">
              <xdr:nvSpPr>
                <xdr:cNvPr id="10287" name="Text Box 47"/>
                <xdr:cNvSpPr txBox="1">
                  <a:spLocks noChangeArrowheads="1"/>
                </xdr:cNvSpPr>
              </xdr:nvSpPr>
              <xdr:spPr bwMode="auto">
                <a:xfrm>
                  <a:off x="89" y="607"/>
                  <a:ext cx="30" cy="3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41148" rIns="36576" bIns="41148" anchor="ctr" upright="1"/>
                <a:lstStyle/>
                <a:p>
                  <a:pPr algn="ctr" rtl="0">
                    <a:defRPr sz="1000"/>
                  </a:pPr>
                  <a:r>
                    <a:rPr lang="en-SG" sz="1000" b="0" i="0" u="none" strike="noStrike" baseline="0">
                      <a:solidFill>
                        <a:srgbClr val="FF0000"/>
                      </a:solidFill>
                      <a:latin typeface="Comic Sans MS"/>
                    </a:rPr>
                    <a:t>θ</a:t>
                  </a:r>
                  <a:r>
                    <a:rPr lang="en-SG" sz="1000" b="0" i="0" u="none" strike="noStrike" baseline="0">
                      <a:solidFill>
                        <a:srgbClr val="FF0000"/>
                      </a:solidFill>
                      <a:latin typeface="Arial"/>
                      <a:cs typeface="Arial"/>
                    </a:rPr>
                    <a:t>°</a:t>
                  </a:r>
                </a:p>
              </xdr:txBody>
            </xdr:sp>
          </xdr:grpSp>
          <xdr:grpSp>
            <xdr:nvGrpSpPr>
              <xdr:cNvPr id="10528" name="Group 55"/>
              <xdr:cNvGrpSpPr>
                <a:grpSpLocks/>
              </xdr:cNvGrpSpPr>
            </xdr:nvGrpSpPr>
            <xdr:grpSpPr bwMode="auto">
              <a:xfrm>
                <a:off x="74" y="634"/>
                <a:ext cx="85" cy="34"/>
                <a:chOff x="748" y="686"/>
                <a:chExt cx="85" cy="34"/>
              </a:xfrm>
            </xdr:grpSpPr>
            <xdr:sp macro="" textlink="$R$33">
              <xdr:nvSpPr>
                <xdr:cNvPr id="10291" name="Text Box 51"/>
                <xdr:cNvSpPr txBox="1">
                  <a:spLocks noChangeArrowheads="1" noTextEdit="1"/>
                </xdr:cNvSpPr>
              </xdr:nvSpPr>
              <xdr:spPr bwMode="auto">
                <a:xfrm>
                  <a:off x="748" y="691"/>
                  <a:ext cx="41" cy="28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 algn="ctr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  <a:ext uri="{AF507438-7753-43E0-B8FC-AC1667EBCBE1}">
                    <a14:hiddenEffects xmlns:a14="http://schemas.microsoft.com/office/drawing/2010/main">
                      <a:effectLst>
                        <a:outerShdw dist="35921" dir="2700000" algn="ctr" rotWithShape="0">
                          <a:srgbClr val="808080"/>
                        </a:outerShdw>
                      </a:effectLst>
                    </a14:hiddenEffects>
                  </a:ext>
                </a:extLst>
              </xdr:spPr>
              <xdr:txBody>
                <a:bodyPr vertOverflow="clip" wrap="square" lIns="0" tIns="36576" rIns="36576" bIns="0" anchor="t" upright="1"/>
                <a:lstStyle/>
                <a:p>
                  <a:pPr algn="r" rtl="0">
                    <a:defRPr sz="1000"/>
                  </a:pPr>
                  <a:fld id="{49A747F3-B64C-40EE-AC2A-24986A377997}" type="TxLink"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pPr algn="r" rtl="0">
                      <a:defRPr sz="1000"/>
                    </a:pPr>
                    <a:t>??</a:t>
                  </a:fld>
                  <a:endParaRPr lang="en-SG" sz="1100" b="0" i="0" u="none" strike="noStrike" baseline="0">
                    <a:solidFill>
                      <a:srgbClr val="339966"/>
                    </a:solidFill>
                    <a:latin typeface="Comic Sans MS"/>
                  </a:endParaRPr>
                </a:p>
              </xdr:txBody>
            </xdr:sp>
            <xdr:sp macro="" textlink="$R$34">
              <xdr:nvSpPr>
                <xdr:cNvPr id="10292" name="Text Box 52"/>
                <xdr:cNvSpPr txBox="1">
                  <a:spLocks noChangeArrowheads="1" noTextEdit="1"/>
                </xdr:cNvSpPr>
              </xdr:nvSpPr>
              <xdr:spPr bwMode="auto">
                <a:xfrm>
                  <a:off x="780" y="691"/>
                  <a:ext cx="41" cy="28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 algn="ctr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  <a:ext uri="{AF507438-7753-43E0-B8FC-AC1667EBCBE1}">
                    <a14:hiddenEffects xmlns:a14="http://schemas.microsoft.com/office/drawing/2010/main">
                      <a:effectLst>
                        <a:outerShdw dist="35921" dir="2700000" algn="ctr" rotWithShape="0">
                          <a:srgbClr val="808080"/>
                        </a:outerShdw>
                      </a:effectLst>
                    </a14:hiddenEffects>
                  </a:ext>
                </a:extLst>
              </xdr:spPr>
              <xdr:txBody>
                <a:bodyPr vertOverflow="clip" wrap="square" lIns="0" tIns="36576" rIns="36576" bIns="0" anchor="t" upright="1"/>
                <a:lstStyle/>
                <a:p>
                  <a:pPr algn="r" rtl="0">
                    <a:defRPr sz="1000"/>
                  </a:pPr>
                  <a:fld id="{378A1874-E8E5-4A24-B76E-AB124CD7A740}" type="TxLink"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pPr algn="r" rtl="0">
                      <a:defRPr sz="1000"/>
                    </a:pPr>
                    <a:t>??</a:t>
                  </a:fld>
                  <a:endParaRPr lang="en-SG" sz="1100" b="0" i="0" u="none" strike="noStrike" baseline="0">
                    <a:solidFill>
                      <a:srgbClr val="339966"/>
                    </a:solidFill>
                    <a:latin typeface="Comic Sans MS"/>
                  </a:endParaRPr>
                </a:p>
              </xdr:txBody>
            </xdr:sp>
            <xdr:sp macro="" textlink="">
              <xdr:nvSpPr>
                <xdr:cNvPr id="10293" name="Text Box 53"/>
                <xdr:cNvSpPr txBox="1">
                  <a:spLocks noChangeArrowheads="1"/>
                </xdr:cNvSpPr>
              </xdr:nvSpPr>
              <xdr:spPr bwMode="auto">
                <a:xfrm>
                  <a:off x="783" y="686"/>
                  <a:ext cx="19" cy="34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 algn="ctr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  <a:ext uri="{AF507438-7753-43E0-B8FC-AC1667EBCBE1}">
                    <a14:hiddenEffects xmlns:a14="http://schemas.microsoft.com/office/drawing/2010/main">
                      <a:effectLst>
                        <a:outerShdw dist="35921" dir="2700000" algn="ctr" rotWithShape="0">
                          <a:srgbClr val="808080"/>
                        </a:outerShdw>
                      </a:effectLst>
                    </a14:hiddenEffects>
                  </a:ext>
                </a:extLst>
              </xdr:spPr>
              <xdr:txBody>
                <a:bodyPr vertOverflow="clip" wrap="square" lIns="36576" tIns="36576" rIns="0" bIns="0" anchor="t" upright="1"/>
                <a:lstStyle/>
                <a:p>
                  <a:pPr algn="l" rtl="0">
                    <a:defRPr sz="1000"/>
                  </a:pPr>
                  <a:r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t>°</a:t>
                  </a:r>
                </a:p>
              </xdr:txBody>
            </xdr:sp>
            <xdr:sp macro="" textlink="">
              <xdr:nvSpPr>
                <xdr:cNvPr id="10294" name="Text Box 54"/>
                <xdr:cNvSpPr txBox="1">
                  <a:spLocks noChangeArrowheads="1"/>
                </xdr:cNvSpPr>
              </xdr:nvSpPr>
              <xdr:spPr bwMode="auto">
                <a:xfrm>
                  <a:off x="815" y="686"/>
                  <a:ext cx="18" cy="34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xmlns:mc="http://schemas.openxmlformats.org/markup-compatibility/2006"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 algn="ctr">
                      <a:solidFill>
                        <a:srgbClr xmlns:mc="http://schemas.openxmlformats.org/markup-compatibility/2006"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  <a:ext uri="{AF507438-7753-43E0-B8FC-AC1667EBCBE1}">
                    <a14:hiddenEffects xmlns:a14="http://schemas.microsoft.com/office/drawing/2010/main">
                      <a:effectLst>
                        <a:outerShdw dist="35921" dir="2700000" algn="ctr" rotWithShape="0">
                          <a:srgbClr val="808080"/>
                        </a:outerShdw>
                      </a:effectLst>
                    </a14:hiddenEffects>
                  </a:ext>
                </a:extLst>
              </xdr:spPr>
              <xdr:txBody>
                <a:bodyPr vertOverflow="clip" wrap="square" lIns="36576" tIns="36576" rIns="0" bIns="0" anchor="t" upright="1"/>
                <a:lstStyle/>
                <a:p>
                  <a:pPr algn="l" rtl="0">
                    <a:defRPr sz="1000"/>
                  </a:pPr>
                  <a:r>
                    <a:rPr lang="en-SG" sz="1100" b="0" i="0" u="none" strike="noStrike" baseline="0">
                      <a:solidFill>
                        <a:srgbClr val="339966"/>
                      </a:solidFill>
                      <a:latin typeface="Comic Sans MS"/>
                    </a:rPr>
                    <a:t>'</a:t>
                  </a:r>
                </a:p>
              </xdr:txBody>
            </xdr:sp>
          </xdr:grpSp>
        </xdr:grpSp>
        <xdr:sp macro="" textlink="">
          <xdr:nvSpPr>
            <xdr:cNvPr id="10526" name="Text Box 57"/>
            <xdr:cNvSpPr txBox="1">
              <a:spLocks noChangeArrowheads="1"/>
            </xdr:cNvSpPr>
          </xdr:nvSpPr>
          <xdr:spPr bwMode="auto">
            <a:xfrm>
              <a:off x="85" y="144"/>
              <a:ext cx="141" cy="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  <xdr:sp macro="" textlink="">
        <xdr:nvSpPr>
          <xdr:cNvPr id="10524" name="Line 59"/>
          <xdr:cNvSpPr>
            <a:spLocks noChangeShapeType="1"/>
          </xdr:cNvSpPr>
        </xdr:nvSpPr>
        <xdr:spPr bwMode="auto">
          <a:xfrm>
            <a:off x="87" y="147"/>
            <a:ext cx="138" cy="0"/>
          </a:xfrm>
          <a:prstGeom prst="line">
            <a:avLst/>
          </a:prstGeom>
          <a:noFill/>
          <a:ln w="9525">
            <a:solidFill>
              <a:srgbClr val="333333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1447800</xdr:colOff>
      <xdr:row>82</xdr:row>
      <xdr:rowOff>38100</xdr:rowOff>
    </xdr:from>
    <xdr:to>
      <xdr:col>11</xdr:col>
      <xdr:colOff>9525</xdr:colOff>
      <xdr:row>84</xdr:row>
      <xdr:rowOff>85725</xdr:rowOff>
    </xdr:to>
    <xdr:grpSp>
      <xdr:nvGrpSpPr>
        <xdr:cNvPr id="11454" name="Group 1"/>
        <xdr:cNvGrpSpPr>
          <a:grpSpLocks/>
        </xdr:cNvGrpSpPr>
      </xdr:nvGrpSpPr>
      <xdr:grpSpPr bwMode="auto">
        <a:xfrm>
          <a:off x="2600325" y="13554075"/>
          <a:ext cx="2400300" cy="371475"/>
          <a:chOff x="919" y="1110"/>
          <a:chExt cx="293" cy="40"/>
        </a:xfrm>
      </xdr:grpSpPr>
      <xdr:pic>
        <xdr:nvPicPr>
          <xdr:cNvPr id="11482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9" y="1110"/>
            <a:ext cx="88" cy="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1267" name="Text Box 3"/>
          <xdr:cNvSpPr txBox="1">
            <a:spLocks noChangeArrowheads="1"/>
          </xdr:cNvSpPr>
        </xdr:nvSpPr>
        <xdr:spPr bwMode="auto">
          <a:xfrm>
            <a:off x="993" y="1116"/>
            <a:ext cx="219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SG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NOK ASIA CO. PTE. LTD.</a:t>
            </a:r>
          </a:p>
        </xdr:txBody>
      </xdr:sp>
    </xdr:grpSp>
    <xdr:clientData/>
  </xdr:twoCellAnchor>
  <xdr:twoCellAnchor>
    <xdr:from>
      <xdr:col>10</xdr:col>
      <xdr:colOff>0</xdr:colOff>
      <xdr:row>56</xdr:row>
      <xdr:rowOff>38100</xdr:rowOff>
    </xdr:from>
    <xdr:to>
      <xdr:col>14</xdr:col>
      <xdr:colOff>190500</xdr:colOff>
      <xdr:row>57</xdr:row>
      <xdr:rowOff>95250</xdr:rowOff>
    </xdr:to>
    <xdr:grpSp>
      <xdr:nvGrpSpPr>
        <xdr:cNvPr id="11455" name="Group 4"/>
        <xdr:cNvGrpSpPr>
          <a:grpSpLocks/>
        </xdr:cNvGrpSpPr>
      </xdr:nvGrpSpPr>
      <xdr:grpSpPr bwMode="auto">
        <a:xfrm>
          <a:off x="4533900" y="9315450"/>
          <a:ext cx="2019300" cy="295275"/>
          <a:chOff x="1030" y="391"/>
          <a:chExt cx="191" cy="26"/>
        </a:xfrm>
      </xdr:grpSpPr>
      <xdr:sp macro="" textlink="Sheet1!$D$16">
        <xdr:nvSpPr>
          <xdr:cNvPr id="11269" name="Text Box 5"/>
          <xdr:cNvSpPr txBox="1">
            <a:spLocks noChangeArrowheads="1" noTextEdit="1"/>
          </xdr:cNvSpPr>
        </xdr:nvSpPr>
        <xdr:spPr bwMode="auto">
          <a:xfrm>
            <a:off x="1103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60B148A6-0C47-4C54-8BB2-7711CD4622B1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8776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O$1">
        <xdr:nvSpPr>
          <xdr:cNvPr id="11270" name="Text Box 6"/>
          <xdr:cNvSpPr txBox="1">
            <a:spLocks noChangeArrowheads="1" noTextEdit="1"/>
          </xdr:cNvSpPr>
        </xdr:nvSpPr>
        <xdr:spPr bwMode="auto">
          <a:xfrm>
            <a:off x="1030" y="391"/>
            <a:ext cx="33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1D7280A3-733D-440B-AA48-5E952509024D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C$16">
        <xdr:nvSpPr>
          <xdr:cNvPr id="11271" name="Text Box 7"/>
          <xdr:cNvSpPr txBox="1">
            <a:spLocks noChangeArrowheads="1" noTextEdit="1"/>
          </xdr:cNvSpPr>
        </xdr:nvSpPr>
        <xdr:spPr bwMode="auto">
          <a:xfrm>
            <a:off x="1061" y="392"/>
            <a:ext cx="43" cy="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88805069-D351-45C9-BF9D-1252C22B2D9A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R-FDB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">
        <xdr:nvSpPr>
          <xdr:cNvPr id="11272" name="Text Box 8"/>
          <xdr:cNvSpPr txBox="1">
            <a:spLocks noChangeArrowheads="1"/>
          </xdr:cNvSpPr>
        </xdr:nvSpPr>
        <xdr:spPr bwMode="auto">
          <a:xfrm>
            <a:off x="1154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r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t>-04</a:t>
            </a:r>
          </a:p>
        </xdr:txBody>
      </xdr:sp>
    </xdr:grpSp>
    <xdr:clientData/>
  </xdr:twoCellAnchor>
  <xdr:twoCellAnchor>
    <xdr:from>
      <xdr:col>3</xdr:col>
      <xdr:colOff>855345</xdr:colOff>
      <xdr:row>55</xdr:row>
      <xdr:rowOff>83820</xdr:rowOff>
    </xdr:from>
    <xdr:to>
      <xdr:col>7</xdr:col>
      <xdr:colOff>83820</xdr:colOff>
      <xdr:row>56</xdr:row>
      <xdr:rowOff>182880</xdr:rowOff>
    </xdr:to>
    <xdr:sp macro="" textlink="Sheet1!$F$3">
      <xdr:nvSpPr>
        <xdr:cNvPr id="11273" name="Text Box 9"/>
        <xdr:cNvSpPr txBox="1">
          <a:spLocks noChangeArrowheads="1" noTextEdit="1"/>
        </xdr:cNvSpPr>
      </xdr:nvSpPr>
      <xdr:spPr bwMode="auto">
        <a:xfrm>
          <a:off x="2537460" y="9403080"/>
          <a:ext cx="1470660" cy="297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A61A215C-FF52-4201-97AF-3D9F9F7C33DD}" type="TxLink">
            <a:rPr lang="en-SG" sz="1400" b="0" i="0" u="none" strike="noStrike" baseline="0">
              <a:solidFill>
                <a:srgbClr val="0000FF"/>
              </a:solidFill>
              <a:latin typeface="Comic Sans MS"/>
            </a:rPr>
            <a:pPr algn="l" rtl="0">
              <a:defRPr sz="1000"/>
            </a:pPr>
            <a:t>NAH 0609 A</a:t>
          </a:fld>
          <a:endParaRPr lang="en-SG" sz="14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7</xdr:col>
      <xdr:colOff>123825</xdr:colOff>
      <xdr:row>47</xdr:row>
      <xdr:rowOff>133350</xdr:rowOff>
    </xdr:from>
    <xdr:to>
      <xdr:col>13</xdr:col>
      <xdr:colOff>247650</xdr:colOff>
      <xdr:row>52</xdr:row>
      <xdr:rowOff>47625</xdr:rowOff>
    </xdr:to>
    <xdr:pic>
      <xdr:nvPicPr>
        <xdr:cNvPr id="11457" name="Picture 14" descr="NCH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" y="7686675"/>
          <a:ext cx="22098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68580</xdr:colOff>
      <xdr:row>9</xdr:row>
      <xdr:rowOff>106680</xdr:rowOff>
    </xdr:from>
    <xdr:to>
      <xdr:col>16</xdr:col>
      <xdr:colOff>7620</xdr:colOff>
      <xdr:row>11</xdr:row>
      <xdr:rowOff>99060</xdr:rowOff>
    </xdr:to>
    <xdr:sp macro="" textlink="$R$18">
      <xdr:nvSpPr>
        <xdr:cNvPr id="11277" name="Text Box 13"/>
        <xdr:cNvSpPr txBox="1">
          <a:spLocks noChangeArrowheads="1" noTextEdit="1"/>
        </xdr:cNvSpPr>
      </xdr:nvSpPr>
      <xdr:spPr bwMode="auto">
        <a:xfrm>
          <a:off x="7239000" y="1584960"/>
          <a:ext cx="563880" cy="327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fld id="{49ADBDC6-02D9-4D64-B20F-4D0C12BB4D07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3</xdr:col>
      <xdr:colOff>491490</xdr:colOff>
      <xdr:row>25</xdr:row>
      <xdr:rowOff>38100</xdr:rowOff>
    </xdr:from>
    <xdr:to>
      <xdr:col>3</xdr:col>
      <xdr:colOff>893401</xdr:colOff>
      <xdr:row>29</xdr:row>
      <xdr:rowOff>7620</xdr:rowOff>
    </xdr:to>
    <xdr:sp macro="" textlink="$R$13">
      <xdr:nvSpPr>
        <xdr:cNvPr id="11286" name="Text Box 22"/>
        <xdr:cNvSpPr txBox="1">
          <a:spLocks noChangeArrowheads="1" noTextEdit="1"/>
        </xdr:cNvSpPr>
      </xdr:nvSpPr>
      <xdr:spPr bwMode="auto">
        <a:xfrm>
          <a:off x="2164080" y="4198620"/>
          <a:ext cx="411480" cy="640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18288" tIns="0" rIns="0" bIns="0" anchor="ctr" upright="1"/>
        <a:lstStyle/>
        <a:p>
          <a:fld id="{17BDB8BC-C223-4EA9-B501-E5D10C720D5D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14</xdr:col>
      <xdr:colOff>68580</xdr:colOff>
      <xdr:row>11</xdr:row>
      <xdr:rowOff>106680</xdr:rowOff>
    </xdr:from>
    <xdr:to>
      <xdr:col>15</xdr:col>
      <xdr:colOff>7620</xdr:colOff>
      <xdr:row>13</xdr:row>
      <xdr:rowOff>99060</xdr:rowOff>
    </xdr:to>
    <xdr:sp macro="" textlink="$R$18">
      <xdr:nvSpPr>
        <xdr:cNvPr id="11291" name="Text Box 27"/>
        <xdr:cNvSpPr txBox="1">
          <a:spLocks noChangeArrowheads="1" noTextEdit="1"/>
        </xdr:cNvSpPr>
      </xdr:nvSpPr>
      <xdr:spPr bwMode="auto">
        <a:xfrm>
          <a:off x="6614160" y="1920240"/>
          <a:ext cx="563880" cy="327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fld id="{BF79287E-9537-4496-B8FA-582267559A76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15</xdr:col>
      <xdr:colOff>68580</xdr:colOff>
      <xdr:row>11</xdr:row>
      <xdr:rowOff>106680</xdr:rowOff>
    </xdr:from>
    <xdr:to>
      <xdr:col>16</xdr:col>
      <xdr:colOff>7620</xdr:colOff>
      <xdr:row>13</xdr:row>
      <xdr:rowOff>99060</xdr:rowOff>
    </xdr:to>
    <xdr:sp macro="" textlink="$R$18">
      <xdr:nvSpPr>
        <xdr:cNvPr id="11292" name="Text Box 28"/>
        <xdr:cNvSpPr txBox="1">
          <a:spLocks noChangeArrowheads="1" noTextEdit="1"/>
        </xdr:cNvSpPr>
      </xdr:nvSpPr>
      <xdr:spPr bwMode="auto">
        <a:xfrm>
          <a:off x="7239000" y="1920240"/>
          <a:ext cx="563880" cy="327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fld id="{AB207752-0986-4BD8-B7A0-9B33F32EDDFC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16</xdr:col>
      <xdr:colOff>68580</xdr:colOff>
      <xdr:row>11</xdr:row>
      <xdr:rowOff>106680</xdr:rowOff>
    </xdr:from>
    <xdr:to>
      <xdr:col>17</xdr:col>
      <xdr:colOff>7620</xdr:colOff>
      <xdr:row>13</xdr:row>
      <xdr:rowOff>99060</xdr:rowOff>
    </xdr:to>
    <xdr:sp macro="" textlink="$R$18">
      <xdr:nvSpPr>
        <xdr:cNvPr id="11293" name="Text Box 29"/>
        <xdr:cNvSpPr txBox="1">
          <a:spLocks noChangeArrowheads="1" noTextEdit="1"/>
        </xdr:cNvSpPr>
      </xdr:nvSpPr>
      <xdr:spPr bwMode="auto">
        <a:xfrm>
          <a:off x="7863840" y="1920240"/>
          <a:ext cx="563880" cy="327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fld id="{3478D963-907E-44A1-B934-D172BC7C88CF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14</xdr:col>
      <xdr:colOff>68580</xdr:colOff>
      <xdr:row>16</xdr:row>
      <xdr:rowOff>106680</xdr:rowOff>
    </xdr:from>
    <xdr:to>
      <xdr:col>15</xdr:col>
      <xdr:colOff>7620</xdr:colOff>
      <xdr:row>18</xdr:row>
      <xdr:rowOff>99060</xdr:rowOff>
    </xdr:to>
    <xdr:sp macro="" textlink="$R$18">
      <xdr:nvSpPr>
        <xdr:cNvPr id="11294" name="Text Box 30"/>
        <xdr:cNvSpPr txBox="1">
          <a:spLocks noChangeArrowheads="1" noTextEdit="1"/>
        </xdr:cNvSpPr>
      </xdr:nvSpPr>
      <xdr:spPr bwMode="auto">
        <a:xfrm>
          <a:off x="6614160" y="2758440"/>
          <a:ext cx="563880" cy="327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fld id="{327C1775-E834-44EF-BB92-88584C698907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15</xdr:col>
      <xdr:colOff>68580</xdr:colOff>
      <xdr:row>16</xdr:row>
      <xdr:rowOff>106680</xdr:rowOff>
    </xdr:from>
    <xdr:to>
      <xdr:col>16</xdr:col>
      <xdr:colOff>7620</xdr:colOff>
      <xdr:row>18</xdr:row>
      <xdr:rowOff>99060</xdr:rowOff>
    </xdr:to>
    <xdr:sp macro="" textlink="$R$18">
      <xdr:nvSpPr>
        <xdr:cNvPr id="11295" name="Text Box 31"/>
        <xdr:cNvSpPr txBox="1">
          <a:spLocks noChangeArrowheads="1" noTextEdit="1"/>
        </xdr:cNvSpPr>
      </xdr:nvSpPr>
      <xdr:spPr bwMode="auto">
        <a:xfrm>
          <a:off x="7239000" y="2758440"/>
          <a:ext cx="563880" cy="327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fld id="{6799C7F8-CC26-4884-A10A-D68298FD1411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16</xdr:col>
      <xdr:colOff>68580</xdr:colOff>
      <xdr:row>16</xdr:row>
      <xdr:rowOff>106680</xdr:rowOff>
    </xdr:from>
    <xdr:to>
      <xdr:col>17</xdr:col>
      <xdr:colOff>7620</xdr:colOff>
      <xdr:row>18</xdr:row>
      <xdr:rowOff>99060</xdr:rowOff>
    </xdr:to>
    <xdr:sp macro="" textlink="$R$18">
      <xdr:nvSpPr>
        <xdr:cNvPr id="11296" name="Text Box 32"/>
        <xdr:cNvSpPr txBox="1">
          <a:spLocks noChangeArrowheads="1" noTextEdit="1"/>
        </xdr:cNvSpPr>
      </xdr:nvSpPr>
      <xdr:spPr bwMode="auto">
        <a:xfrm>
          <a:off x="7863840" y="2758440"/>
          <a:ext cx="563880" cy="327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fld id="{1E865FA0-FFA8-4779-805F-14E245FD22BB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2</xdr:col>
      <xdr:colOff>95250</xdr:colOff>
      <xdr:row>10</xdr:row>
      <xdr:rowOff>19050</xdr:rowOff>
    </xdr:from>
    <xdr:to>
      <xdr:col>11</xdr:col>
      <xdr:colOff>381000</xdr:colOff>
      <xdr:row>39</xdr:row>
      <xdr:rowOff>28575</xdr:rowOff>
    </xdr:to>
    <xdr:grpSp>
      <xdr:nvGrpSpPr>
        <xdr:cNvPr id="11466" name="Group 39"/>
        <xdr:cNvGrpSpPr>
          <a:grpSpLocks/>
        </xdr:cNvGrpSpPr>
      </xdr:nvGrpSpPr>
      <xdr:grpSpPr bwMode="auto">
        <a:xfrm>
          <a:off x="962025" y="1628775"/>
          <a:ext cx="4410075" cy="4705350"/>
          <a:chOff x="101" y="171"/>
          <a:chExt cx="463" cy="494"/>
        </a:xfrm>
      </xdr:grpSpPr>
      <xdr:grpSp>
        <xdr:nvGrpSpPr>
          <xdr:cNvPr id="11467" name="Group 37"/>
          <xdr:cNvGrpSpPr>
            <a:grpSpLocks/>
          </xdr:cNvGrpSpPr>
        </xdr:nvGrpSpPr>
        <xdr:grpSpPr bwMode="auto">
          <a:xfrm>
            <a:off x="101" y="171"/>
            <a:ext cx="463" cy="494"/>
            <a:chOff x="101" y="171"/>
            <a:chExt cx="463" cy="494"/>
          </a:xfrm>
        </xdr:grpSpPr>
        <xdr:grpSp>
          <xdr:nvGrpSpPr>
            <xdr:cNvPr id="11469" name="Group 35"/>
            <xdr:cNvGrpSpPr>
              <a:grpSpLocks/>
            </xdr:cNvGrpSpPr>
          </xdr:nvGrpSpPr>
          <xdr:grpSpPr bwMode="auto">
            <a:xfrm>
              <a:off x="104" y="171"/>
              <a:ext cx="460" cy="494"/>
              <a:chOff x="89" y="149"/>
              <a:chExt cx="460" cy="494"/>
            </a:xfrm>
          </xdr:grpSpPr>
          <xdr:pic>
            <xdr:nvPicPr>
              <xdr:cNvPr id="11471" name="Picture 25" descr="9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90" y="149"/>
                <a:ext cx="459" cy="49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Sheet1!F11">
            <xdr:nvSpPr>
              <xdr:cNvPr id="11281" name="Text Box 17"/>
              <xdr:cNvSpPr txBox="1">
                <a:spLocks noChangeArrowheads="1" noTextEdit="1"/>
              </xdr:cNvSpPr>
            </xdr:nvSpPr>
            <xdr:spPr bwMode="auto">
              <a:xfrm>
                <a:off x="399" y="554"/>
                <a:ext cx="63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fld id="{FD14C557-B23F-44EB-9A38-E1C4DD862E9D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41.05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$D$16">
            <xdr:nvSpPr>
              <xdr:cNvPr id="11282" name="Text Box 18"/>
              <xdr:cNvSpPr txBox="1">
                <a:spLocks noChangeArrowheads="1" noTextEdit="1"/>
              </xdr:cNvSpPr>
            </xdr:nvSpPr>
            <xdr:spPr bwMode="auto">
              <a:xfrm>
                <a:off x="140" y="211"/>
                <a:ext cx="61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36576" bIns="0" anchor="t" upright="1"/>
              <a:lstStyle/>
              <a:p>
                <a:pPr algn="ctr" rtl="0">
                  <a:defRPr sz="1000"/>
                </a:pPr>
                <a:fld id="{E21EA9EE-4390-4476-93BB-27DB0081977F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ctr" rtl="0">
                    <a:defRPr sz="1000"/>
                  </a:pPr>
                  <a:t>8776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$O$1">
            <xdr:nvSpPr>
              <xdr:cNvPr id="11283" name="Text Box 19"/>
              <xdr:cNvSpPr txBox="1">
                <a:spLocks noChangeArrowheads="1" noTextEdit="1"/>
              </xdr:cNvSpPr>
            </xdr:nvSpPr>
            <xdr:spPr bwMode="auto">
              <a:xfrm>
                <a:off x="89" y="211"/>
                <a:ext cx="37" cy="3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0" bIns="0" anchor="t" upright="1"/>
              <a:lstStyle/>
              <a:p>
                <a:pPr algn="l" rtl="0">
                  <a:defRPr sz="1000"/>
                </a:pPr>
                <a:fld id="{ABB75928-C061-4E54-BBB1-3BA46D8126E0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R-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$R$17">
            <xdr:nvSpPr>
              <xdr:cNvPr id="11284" name="Text Box 20"/>
              <xdr:cNvSpPr txBox="1">
                <a:spLocks noChangeArrowheads="1" noTextEdit="1"/>
              </xdr:cNvSpPr>
            </xdr:nvSpPr>
            <xdr:spPr bwMode="auto">
              <a:xfrm>
                <a:off x="111" y="366"/>
                <a:ext cx="28" cy="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vert="vert270" wrap="square" lIns="36576" tIns="36576" rIns="0" bIns="36576" anchor="t" upright="1"/>
              <a:lstStyle/>
              <a:p>
                <a:pPr algn="ctr" rtl="0">
                  <a:defRPr sz="1000"/>
                </a:pPr>
                <a:fld id="{DC24B51B-CAC4-460B-B48F-E6EBAB89145A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ctr" rtl="0">
                    <a:defRPr sz="1000"/>
                  </a:pPr>
                  <a:t>48.2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F12">
            <xdr:nvSpPr>
              <xdr:cNvPr id="11285" name="Text Box 21"/>
              <xdr:cNvSpPr txBox="1">
                <a:spLocks noChangeArrowheads="1" noTextEdit="1"/>
              </xdr:cNvSpPr>
            </xdr:nvSpPr>
            <xdr:spPr bwMode="auto">
              <a:xfrm>
                <a:off x="384" y="592"/>
                <a:ext cx="65" cy="3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fld id="{F7FFCCF4-EC9E-416F-9D41-2B5BDF0021F1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48.39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">
            <xdr:nvSpPr>
              <xdr:cNvPr id="11477" name="Line 33"/>
              <xdr:cNvSpPr>
                <a:spLocks noChangeShapeType="1"/>
              </xdr:cNvSpPr>
            </xdr:nvSpPr>
            <xdr:spPr bwMode="auto">
              <a:xfrm>
                <a:off x="89" y="233"/>
                <a:ext cx="31" cy="0"/>
              </a:xfrm>
              <a:prstGeom prst="line">
                <a:avLst/>
              </a:prstGeom>
              <a:noFill/>
              <a:ln w="12700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</xdr:grpSp>
        <xdr:sp macro="" textlink="">
          <xdr:nvSpPr>
            <xdr:cNvPr id="11470" name="Text Box 36"/>
            <xdr:cNvSpPr txBox="1">
              <a:spLocks noChangeArrowheads="1"/>
            </xdr:cNvSpPr>
          </xdr:nvSpPr>
          <xdr:spPr bwMode="auto">
            <a:xfrm>
              <a:off x="101" y="253"/>
              <a:ext cx="14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  <xdr:sp macro="" textlink="">
        <xdr:nvSpPr>
          <xdr:cNvPr id="11468" name="Line 38"/>
          <xdr:cNvSpPr>
            <a:spLocks noChangeShapeType="1"/>
          </xdr:cNvSpPr>
        </xdr:nvSpPr>
        <xdr:spPr bwMode="auto">
          <a:xfrm>
            <a:off x="105" y="256"/>
            <a:ext cx="137" cy="0"/>
          </a:xfrm>
          <a:prstGeom prst="line">
            <a:avLst/>
          </a:prstGeom>
          <a:noFill/>
          <a:ln w="9525">
            <a:solidFill>
              <a:srgbClr val="333333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12</xdr:row>
      <xdr:rowOff>19050</xdr:rowOff>
    </xdr:from>
    <xdr:to>
      <xdr:col>11</xdr:col>
      <xdr:colOff>352425</xdr:colOff>
      <xdr:row>39</xdr:row>
      <xdr:rowOff>114300</xdr:rowOff>
    </xdr:to>
    <xdr:grpSp>
      <xdr:nvGrpSpPr>
        <xdr:cNvPr id="2" name="Group 1"/>
        <xdr:cNvGrpSpPr/>
      </xdr:nvGrpSpPr>
      <xdr:grpSpPr>
        <a:xfrm>
          <a:off x="962025" y="2009775"/>
          <a:ext cx="4381500" cy="4524375"/>
          <a:chOff x="962025" y="2009775"/>
          <a:chExt cx="4381500" cy="4524375"/>
        </a:xfrm>
      </xdr:grpSpPr>
      <xdr:pic>
        <xdr:nvPicPr>
          <xdr:cNvPr id="13497" name="Picture 27" descr="1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19175" y="2009775"/>
            <a:ext cx="4324350" cy="45243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3496" name="Text Box 33"/>
          <xdr:cNvSpPr txBox="1">
            <a:spLocks noChangeArrowheads="1"/>
          </xdr:cNvSpPr>
        </xdr:nvSpPr>
        <xdr:spPr bwMode="auto">
          <a:xfrm>
            <a:off x="962025" y="2533651"/>
            <a:ext cx="1485900" cy="238226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9</xdr:col>
      <xdr:colOff>95499</xdr:colOff>
      <xdr:row>56</xdr:row>
      <xdr:rowOff>20882</xdr:rowOff>
    </xdr:from>
    <xdr:to>
      <xdr:col>13</xdr:col>
      <xdr:colOff>295275</xdr:colOff>
      <xdr:row>58</xdr:row>
      <xdr:rowOff>38100</xdr:rowOff>
    </xdr:to>
    <xdr:sp macro="" textlink="$R$13">
      <xdr:nvSpPr>
        <xdr:cNvPr id="13317" name="Text Box 5"/>
        <xdr:cNvSpPr txBox="1">
          <a:spLocks noChangeArrowheads="1" noTextEdit="1"/>
        </xdr:cNvSpPr>
      </xdr:nvSpPr>
      <xdr:spPr bwMode="auto">
        <a:xfrm>
          <a:off x="4476999" y="9412532"/>
          <a:ext cx="1723776" cy="3791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ctr" rtl="0">
            <a:defRPr sz="1000"/>
          </a:pPr>
          <a:fld id="{08C7D66B-EA4E-4218-913B-21F205E05AF2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ctr" rtl="0">
              <a:defRPr sz="1000"/>
            </a:pPr>
            <a:t>R-FDB 8776 - 04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3</xdr:col>
      <xdr:colOff>855345</xdr:colOff>
      <xdr:row>55</xdr:row>
      <xdr:rowOff>83819</xdr:rowOff>
    </xdr:from>
    <xdr:to>
      <xdr:col>7</xdr:col>
      <xdr:colOff>83820</xdr:colOff>
      <xdr:row>57</xdr:row>
      <xdr:rowOff>19049</xdr:rowOff>
    </xdr:to>
    <xdr:sp macro="" textlink="$R$12">
      <xdr:nvSpPr>
        <xdr:cNvPr id="13321" name="Text Box 9"/>
        <xdr:cNvSpPr txBox="1">
          <a:spLocks noChangeArrowheads="1" noTextEdit="1"/>
        </xdr:cNvSpPr>
      </xdr:nvSpPr>
      <xdr:spPr bwMode="auto">
        <a:xfrm>
          <a:off x="2465070" y="9284969"/>
          <a:ext cx="1438275" cy="3638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3AEE9014-E559-4DF8-B02D-E62BA1F73759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NAH 0609 A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2</xdr:col>
      <xdr:colOff>114299</xdr:colOff>
      <xdr:row>14</xdr:row>
      <xdr:rowOff>111111</xdr:rowOff>
    </xdr:from>
    <xdr:to>
      <xdr:col>3</xdr:col>
      <xdr:colOff>828674</xdr:colOff>
      <xdr:row>16</xdr:row>
      <xdr:rowOff>67020</xdr:rowOff>
    </xdr:to>
    <xdr:sp macro="" textlink="$R$13">
      <xdr:nvSpPr>
        <xdr:cNvPr id="13330" name="Text Box 18"/>
        <xdr:cNvSpPr txBox="1">
          <a:spLocks noChangeArrowheads="1" noTextEdit="1"/>
        </xdr:cNvSpPr>
      </xdr:nvSpPr>
      <xdr:spPr bwMode="auto">
        <a:xfrm>
          <a:off x="981074" y="2463786"/>
          <a:ext cx="1457325" cy="2797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0" anchor="t" upright="1"/>
        <a:lstStyle/>
        <a:p>
          <a:pPr algn="r" rtl="0">
            <a:defRPr sz="1000"/>
          </a:pPr>
          <a:fld id="{38CCD154-159D-4825-B5EF-F3DBB483C1CC}" type="TxLink">
            <a:rPr lang="en-US" sz="1400" b="1" i="0" u="sng" strike="noStrike" baseline="0">
              <a:solidFill>
                <a:srgbClr val="0033CC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r" rtl="0">
              <a:defRPr sz="1000"/>
            </a:pPr>
            <a:t>R-FDB 8776 - 04</a:t>
          </a:fld>
          <a:endParaRPr lang="en-SG" sz="1200" b="0" i="0" u="sng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314325</xdr:colOff>
      <xdr:row>23</xdr:row>
      <xdr:rowOff>42568</xdr:rowOff>
    </xdr:from>
    <xdr:to>
      <xdr:col>2</xdr:col>
      <xdr:colOff>619125</xdr:colOff>
      <xdr:row>27</xdr:row>
      <xdr:rowOff>21914</xdr:rowOff>
    </xdr:to>
    <xdr:sp macro="" textlink="$R$17">
      <xdr:nvSpPr>
        <xdr:cNvPr id="13332" name="Text Box 20"/>
        <xdr:cNvSpPr txBox="1">
          <a:spLocks noChangeArrowheads="1" noTextEdit="1"/>
        </xdr:cNvSpPr>
      </xdr:nvSpPr>
      <xdr:spPr bwMode="auto">
        <a:xfrm>
          <a:off x="1181100" y="3871618"/>
          <a:ext cx="304800" cy="6270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36576" tIns="36576" rIns="0" bIns="36576" anchor="t" upright="1"/>
        <a:lstStyle/>
        <a:p>
          <a:pPr algn="ctr" rtl="0">
            <a:defRPr sz="1000"/>
          </a:pPr>
          <a:fld id="{494DA9C9-34DE-4B0C-81C4-89C19FBD332D}" type="TxLink">
            <a:rPr lang="en-SG" sz="16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 rtl="0">
              <a:defRPr sz="1000"/>
            </a:pPr>
            <a:t>48.2</a:t>
          </a:fld>
          <a:endParaRPr lang="en-SG" sz="1600" b="1" i="0" u="none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95250</xdr:colOff>
      <xdr:row>36</xdr:row>
      <xdr:rowOff>59851</xdr:rowOff>
    </xdr:from>
    <xdr:to>
      <xdr:col>10</xdr:col>
      <xdr:colOff>0</xdr:colOff>
      <xdr:row>38</xdr:row>
      <xdr:rowOff>73641</xdr:rowOff>
    </xdr:to>
    <xdr:sp macro="" textlink="Sheet1!F12">
      <xdr:nvSpPr>
        <xdr:cNvPr id="13333" name="Text Box 21"/>
        <xdr:cNvSpPr txBox="1">
          <a:spLocks noChangeArrowheads="1" noTextEdit="1"/>
        </xdr:cNvSpPr>
      </xdr:nvSpPr>
      <xdr:spPr bwMode="auto">
        <a:xfrm>
          <a:off x="3914775" y="5993926"/>
          <a:ext cx="619125" cy="33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fld id="{AE035D43-C901-49BF-9A65-A0E8DC600C4B}" type="TxLink">
            <a: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l" rtl="0">
              <a:defRPr sz="1000"/>
            </a:pPr>
            <a:t>48.39</a:t>
          </a:fld>
          <a:endParaRPr lang="en-SG" sz="1400" b="1" i="0" u="none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123825</xdr:colOff>
      <xdr:row>45</xdr:row>
      <xdr:rowOff>133350</xdr:rowOff>
    </xdr:from>
    <xdr:to>
      <xdr:col>13</xdr:col>
      <xdr:colOff>247650</xdr:colOff>
      <xdr:row>50</xdr:row>
      <xdr:rowOff>133350</xdr:rowOff>
    </xdr:to>
    <xdr:grpSp>
      <xdr:nvGrpSpPr>
        <xdr:cNvPr id="13488" name="Group 40"/>
        <xdr:cNvGrpSpPr>
          <a:grpSpLocks/>
        </xdr:cNvGrpSpPr>
      </xdr:nvGrpSpPr>
      <xdr:grpSpPr bwMode="auto">
        <a:xfrm>
          <a:off x="3943350" y="7486650"/>
          <a:ext cx="2209800" cy="866775"/>
          <a:chOff x="414" y="807"/>
          <a:chExt cx="232" cy="91"/>
        </a:xfrm>
      </xdr:grpSpPr>
      <xdr:pic>
        <xdr:nvPicPr>
          <xdr:cNvPr id="13489" name="Picture 13" descr="NCHT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14" y="807"/>
            <a:ext cx="232" cy="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3490" name="Text Box 39"/>
          <xdr:cNvSpPr txBox="1">
            <a:spLocks noChangeArrowheads="1"/>
          </xdr:cNvSpPr>
        </xdr:nvSpPr>
        <xdr:spPr bwMode="auto">
          <a:xfrm>
            <a:off x="416" y="819"/>
            <a:ext cx="228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0</xdr:col>
      <xdr:colOff>66675</xdr:colOff>
      <xdr:row>1</xdr:row>
      <xdr:rowOff>47625</xdr:rowOff>
    </xdr:from>
    <xdr:to>
      <xdr:col>13</xdr:col>
      <xdr:colOff>115166</xdr:colOff>
      <xdr:row>6</xdr:row>
      <xdr:rowOff>87457</xdr:rowOff>
    </xdr:to>
    <xdr:sp macro="" textlink="$P$2">
      <xdr:nvSpPr>
        <xdr:cNvPr id="28" name="WordArt 14"/>
        <xdr:cNvSpPr>
          <a:spLocks noChangeArrowheads="1" noChangeShapeType="1" noTextEdit="1"/>
        </xdr:cNvSpPr>
      </xdr:nvSpPr>
      <xdr:spPr bwMode="auto">
        <a:xfrm>
          <a:off x="66675" y="209550"/>
          <a:ext cx="5953991" cy="839932"/>
        </a:xfrm>
        <a:prstGeom prst="rect">
          <a:avLst/>
        </a:prstGeom>
        <a:noFill/>
      </xdr:spPr>
      <xdr:txBody>
        <a:bodyPr vertOverflow="clip" wrap="none" lIns="18288" tIns="0" rIns="0" bIns="0" fromWordArt="1" anchor="t">
          <a:prstTxWarp prst="textSlantUp">
            <a:avLst>
              <a:gd name="adj" fmla="val 32056"/>
            </a:avLst>
          </a:prstTxWarp>
        </a:bodyPr>
        <a:lstStyle/>
        <a:p>
          <a:pPr algn="ctr" rtl="0">
            <a:buNone/>
          </a:pPr>
          <a:fld id="{04AD1EA1-5183-4911-B5CF-B77DB0D8B355}" type="TxLink">
            <a:rPr lang="en-US" sz="1000" b="0" i="0" u="none" strike="noStrike" kern="1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/>
              <a:cs typeface="Arial"/>
            </a:rPr>
            <a:pPr algn="ctr" rtl="0">
              <a:buNone/>
            </a:pPr>
            <a:t>TEMPLATE FOR OTHER DESIGN</a:t>
          </a:fld>
          <a:endParaRPr lang="en-US" sz="3600" b="0" kern="1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171451</xdr:colOff>
      <xdr:row>55</xdr:row>
      <xdr:rowOff>182807</xdr:rowOff>
    </xdr:from>
    <xdr:to>
      <xdr:col>13</xdr:col>
      <xdr:colOff>118041</xdr:colOff>
      <xdr:row>58</xdr:row>
      <xdr:rowOff>28575</xdr:rowOff>
    </xdr:to>
    <xdr:sp macro="" textlink="$R$12">
      <xdr:nvSpPr>
        <xdr:cNvPr id="14341" name="Text Box 5"/>
        <xdr:cNvSpPr txBox="1">
          <a:spLocks noChangeArrowheads="1" noTextEdit="1"/>
        </xdr:cNvSpPr>
      </xdr:nvSpPr>
      <xdr:spPr bwMode="auto">
        <a:xfrm>
          <a:off x="4705351" y="9345857"/>
          <a:ext cx="1318190" cy="3982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F7EA32CA-12FC-47AD-A2B0-8BE2C51B72A9}" type="TxLink">
            <a:rPr lang="en-US" sz="1400" b="0" i="0" u="none" strike="noStrike" baseline="0">
              <a:solidFill>
                <a:sysClr val="windowText" lastClr="000000"/>
              </a:solidFill>
              <a:latin typeface="Times New Roman"/>
              <a:cs typeface="Times New Roman"/>
            </a:rPr>
            <a:pPr algn="l" rtl="0">
              <a:defRPr sz="1000"/>
            </a:pPr>
            <a:t>R-FDB 8776 - 06</a:t>
          </a:fld>
          <a:endParaRPr lang="en-SG" sz="1600" b="0" i="0" u="none" strike="noStrike" baseline="0">
            <a:solidFill>
              <a:sysClr val="windowText" lastClr="000000"/>
            </a:solidFill>
            <a:latin typeface="Comic Sans MS"/>
          </a:endParaRPr>
        </a:p>
      </xdr:txBody>
    </xdr:sp>
    <xdr:clientData/>
  </xdr:twoCellAnchor>
  <xdr:twoCellAnchor>
    <xdr:from>
      <xdr:col>3</xdr:col>
      <xdr:colOff>855345</xdr:colOff>
      <xdr:row>55</xdr:row>
      <xdr:rowOff>83819</xdr:rowOff>
    </xdr:from>
    <xdr:to>
      <xdr:col>7</xdr:col>
      <xdr:colOff>83820</xdr:colOff>
      <xdr:row>57</xdr:row>
      <xdr:rowOff>57149</xdr:rowOff>
    </xdr:to>
    <xdr:sp macro="" textlink="$R$11">
      <xdr:nvSpPr>
        <xdr:cNvPr id="14345" name="Text Box 9"/>
        <xdr:cNvSpPr txBox="1">
          <a:spLocks noChangeArrowheads="1" noTextEdit="1"/>
        </xdr:cNvSpPr>
      </xdr:nvSpPr>
      <xdr:spPr bwMode="auto">
        <a:xfrm>
          <a:off x="2465070" y="9246869"/>
          <a:ext cx="1438275" cy="401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7BE45840-9090-4B55-95B1-CCA38E998C4A}" type="TxLink">
            <a:rPr lang="en-US" sz="1600" b="0" i="0" u="none" strike="noStrike" baseline="0">
              <a:solidFill>
                <a:sysClr val="windowText" lastClr="000000"/>
              </a:solidFill>
              <a:latin typeface="Times New Roman"/>
              <a:cs typeface="Times New Roman"/>
            </a:rPr>
            <a:pPr algn="l" rtl="0">
              <a:defRPr sz="1000"/>
            </a:pPr>
            <a:t>NAH 0609 A</a:t>
          </a:fld>
          <a:endParaRPr lang="en-SG" sz="1800" b="0" i="0" u="none" strike="noStrike" baseline="0">
            <a:solidFill>
              <a:sysClr val="windowText" lastClr="000000"/>
            </a:solidFill>
            <a:latin typeface="Comic Sans MS"/>
          </a:endParaRPr>
        </a:p>
      </xdr:txBody>
    </xdr:sp>
    <xdr:clientData/>
  </xdr:twoCellAnchor>
  <xdr:twoCellAnchor editAs="oneCell">
    <xdr:from>
      <xdr:col>6</xdr:col>
      <xdr:colOff>238125</xdr:colOff>
      <xdr:row>48</xdr:row>
      <xdr:rowOff>28575</xdr:rowOff>
    </xdr:from>
    <xdr:to>
      <xdr:col>13</xdr:col>
      <xdr:colOff>342900</xdr:colOff>
      <xdr:row>52</xdr:row>
      <xdr:rowOff>95250</xdr:rowOff>
    </xdr:to>
    <xdr:pic>
      <xdr:nvPicPr>
        <xdr:cNvPr id="14512" name="Picture 24" descr="IP H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7734300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13</xdr:col>
      <xdr:colOff>333375</xdr:colOff>
      <xdr:row>3</xdr:row>
      <xdr:rowOff>19050</xdr:rowOff>
    </xdr:to>
    <xdr:pic>
      <xdr:nvPicPr>
        <xdr:cNvPr id="14513" name="Picture 3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23887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161925</xdr:colOff>
      <xdr:row>8</xdr:row>
      <xdr:rowOff>38100</xdr:rowOff>
    </xdr:from>
    <xdr:to>
      <xdr:col>14</xdr:col>
      <xdr:colOff>143100</xdr:colOff>
      <xdr:row>41</xdr:row>
      <xdr:rowOff>28575</xdr:rowOff>
    </xdr:to>
    <xdr:grpSp>
      <xdr:nvGrpSpPr>
        <xdr:cNvPr id="10" name="Group 9"/>
        <xdr:cNvGrpSpPr/>
      </xdr:nvGrpSpPr>
      <xdr:grpSpPr>
        <a:xfrm>
          <a:off x="161925" y="1308100"/>
          <a:ext cx="6362925" cy="5387975"/>
          <a:chOff x="161925" y="1323975"/>
          <a:chExt cx="6381749" cy="5410200"/>
        </a:xfrm>
      </xdr:grpSpPr>
      <xdr:grpSp>
        <xdr:nvGrpSpPr>
          <xdr:cNvPr id="3" name="Group 2"/>
          <xdr:cNvGrpSpPr/>
        </xdr:nvGrpSpPr>
        <xdr:grpSpPr>
          <a:xfrm>
            <a:off x="161925" y="1323975"/>
            <a:ext cx="6134100" cy="5410200"/>
            <a:chOff x="161925" y="1323975"/>
            <a:chExt cx="6134100" cy="5410200"/>
          </a:xfrm>
        </xdr:grpSpPr>
        <xdr:pic>
          <xdr:nvPicPr>
            <xdr:cNvPr id="14519" name="Picture 28" descr="13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artisticPhotocopy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61925" y="1323975"/>
              <a:ext cx="6134100" cy="54102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2" name="Rectangle 1"/>
            <xdr:cNvSpPr/>
          </xdr:nvSpPr>
          <xdr:spPr bwMode="auto">
            <a:xfrm>
              <a:off x="4743450" y="3800475"/>
              <a:ext cx="1495425" cy="752475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xmlns:mc="http://schemas.openxmlformats.org/markup-compatibility/2006" val="000000" mc:Ignorable="a14" a14:legacySpreadsheetColorIndex="64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lang="en-US" sz="1100"/>
            </a:p>
          </xdr:txBody>
        </xdr:sp>
      </xdr:grpSp>
      <xdr:sp macro="" textlink="R19">
        <xdr:nvSpPr>
          <xdr:cNvPr id="14346" name="Text Box 10"/>
          <xdr:cNvSpPr txBox="1">
            <a:spLocks noChangeArrowheads="1" noTextEdit="1"/>
          </xdr:cNvSpPr>
        </xdr:nvSpPr>
        <xdr:spPr bwMode="auto">
          <a:xfrm>
            <a:off x="2752725" y="5759015"/>
            <a:ext cx="295275" cy="28983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99CEF97D-5171-48AE-9122-F6C7160C9502}" type="TxLink">
              <a:rPr lang="en-SG" sz="1400" b="0" i="0" u="none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3</a:t>
            </a:fld>
            <a:endParaRPr lang="en-SG" sz="1400" b="0" i="0" u="none" strike="noStrike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14">
        <xdr:nvSpPr>
          <xdr:cNvPr id="14352" name="Text Box 16"/>
          <xdr:cNvSpPr txBox="1">
            <a:spLocks noChangeArrowheads="1" noTextEdit="1"/>
          </xdr:cNvSpPr>
        </xdr:nvSpPr>
        <xdr:spPr bwMode="auto">
          <a:xfrm>
            <a:off x="3009843" y="6309494"/>
            <a:ext cx="571500" cy="3574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D5918926-B54B-44EF-B39F-71980EA80419}" type="TxLink">
              <a:rPr lang="en-US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56.28</a:t>
            </a:fld>
            <a:endParaRPr lang="en-SG" sz="20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V$12">
        <xdr:nvSpPr>
          <xdr:cNvPr id="14354" name="Text Box 18"/>
          <xdr:cNvSpPr txBox="1">
            <a:spLocks noChangeArrowheads="1" noTextEdit="1"/>
          </xdr:cNvSpPr>
        </xdr:nvSpPr>
        <xdr:spPr bwMode="auto">
          <a:xfrm>
            <a:off x="4857749" y="5097236"/>
            <a:ext cx="1685925" cy="2415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fld id="{EF0A91AD-0A53-43B2-8183-C1EBCBE9E97B}" type="TxLink">
              <a:rPr lang="en-US" sz="1100" b="0" i="0" u="sng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R-FDB 8776 - 06  TR3</a:t>
            </a:fld>
            <a:endParaRPr lang="en-SG" sz="1100" b="0" i="0" u="sng" strike="noStrike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R18">
        <xdr:nvSpPr>
          <xdr:cNvPr id="14355" name="Text Box 19"/>
          <xdr:cNvSpPr txBox="1">
            <a:spLocks noChangeArrowheads="1" noTextEdit="1"/>
          </xdr:cNvSpPr>
        </xdr:nvSpPr>
        <xdr:spPr bwMode="auto">
          <a:xfrm>
            <a:off x="1076325" y="4937216"/>
            <a:ext cx="266700" cy="55068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vert270" wrap="square" lIns="36576" tIns="36576" rIns="0" bIns="36576" anchor="t" upright="1"/>
          <a:lstStyle/>
          <a:p>
            <a:pPr algn="ctr" rtl="0">
              <a:defRPr sz="1000"/>
            </a:pPr>
            <a:fld id="{06BB2BB9-A10E-45E4-9070-B3CA896DB5E1}" type="TxLink">
              <a:rPr lang="en-SG" sz="1400" b="0" i="0" u="none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ctr" rtl="0">
                <a:defRPr sz="1000"/>
              </a:pPr>
              <a:t>18</a:t>
            </a:fld>
            <a:endParaRPr lang="en-SG" sz="1400" b="0" i="0" u="none" strike="noStrike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Sheet1!F17">
        <xdr:nvSpPr>
          <xdr:cNvPr id="14356" name="Text Box 20"/>
          <xdr:cNvSpPr txBox="1">
            <a:spLocks noChangeArrowheads="1" noTextEdit="1"/>
          </xdr:cNvSpPr>
        </xdr:nvSpPr>
        <xdr:spPr bwMode="auto">
          <a:xfrm>
            <a:off x="3048000" y="6028917"/>
            <a:ext cx="619125" cy="3477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734E475D-2296-4A37-AE46-56D5CB13E7DE}" type="TxLink">
              <a:rPr lang="en-SG" sz="1200" b="0" i="0" u="none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48.39</a:t>
            </a:fld>
            <a:endParaRPr lang="en-SG" sz="1200" b="0" i="0" u="none" strike="noStrike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R16">
        <xdr:nvSpPr>
          <xdr:cNvPr id="14357" name="Text Box 21"/>
          <xdr:cNvSpPr txBox="1">
            <a:spLocks noChangeArrowheads="1" noTextEdit="1"/>
          </xdr:cNvSpPr>
        </xdr:nvSpPr>
        <xdr:spPr bwMode="auto">
          <a:xfrm>
            <a:off x="161925" y="3787548"/>
            <a:ext cx="276225" cy="7052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vert270" wrap="square" lIns="36576" tIns="36576" rIns="0" bIns="36576" anchor="t" upright="1"/>
          <a:lstStyle/>
          <a:p>
            <a:pPr algn="ctr" rtl="0">
              <a:defRPr sz="1000"/>
            </a:pPr>
            <a:fld id="{6B31832E-917B-4CE6-865A-5097D33CE313}" type="TxLink">
              <a:rPr lang="en-SG" sz="1400" b="0" i="0" u="none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ctr" rtl="0">
                <a:defRPr sz="1000"/>
              </a:pPr>
              <a:t>60</a:t>
            </a:fld>
            <a:endParaRPr lang="en-SG" sz="1400" b="0" i="0" u="none" strike="noStrike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R17">
        <xdr:nvSpPr>
          <xdr:cNvPr id="14361" name="Text Box 25"/>
          <xdr:cNvSpPr txBox="1">
            <a:spLocks noChangeArrowheads="1" noTextEdit="1"/>
          </xdr:cNvSpPr>
        </xdr:nvSpPr>
        <xdr:spPr bwMode="auto">
          <a:xfrm>
            <a:off x="600075" y="4898571"/>
            <a:ext cx="257175" cy="5410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vert270" wrap="square" lIns="36576" tIns="36576" rIns="0" bIns="36576" anchor="t" upright="1"/>
          <a:lstStyle/>
          <a:p>
            <a:pPr algn="ctr" rtl="0">
              <a:defRPr sz="1000"/>
            </a:pPr>
            <a:fld id="{9132E5E4-ECA1-4110-9041-4948CB71D9DC}" type="TxLink">
              <a:rPr lang="en-SG" sz="1400" b="0" i="0" u="none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ctr" rtl="0">
                <a:defRPr sz="1000"/>
              </a:pPr>
              <a:t>20</a:t>
            </a:fld>
            <a:endParaRPr lang="en-SG" sz="1400" b="0" i="0" u="none" strike="noStrike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10</xdr:col>
      <xdr:colOff>66675</xdr:colOff>
      <xdr:row>28</xdr:row>
      <xdr:rowOff>66675</xdr:rowOff>
    </xdr:from>
    <xdr:to>
      <xdr:col>10</xdr:col>
      <xdr:colOff>361950</xdr:colOff>
      <xdr:row>30</xdr:row>
      <xdr:rowOff>142875</xdr:rowOff>
    </xdr:to>
    <xdr:cxnSp macro="">
      <xdr:nvCxnSpPr>
        <xdr:cNvPr id="6" name="Straight Arrow Connector 5"/>
        <xdr:cNvCxnSpPr/>
      </xdr:nvCxnSpPr>
      <xdr:spPr bwMode="auto">
        <a:xfrm flipH="1" flipV="1">
          <a:off x="4600575" y="4667250"/>
          <a:ext cx="295275" cy="4000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0000FF"/>
          </a:solidFill>
          <a:prstDash val="solid"/>
          <a:round/>
          <a:headEnd type="none" w="med" len="med"/>
          <a:tailEnd type="stealth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352425</xdr:colOff>
      <xdr:row>30</xdr:row>
      <xdr:rowOff>142875</xdr:rowOff>
    </xdr:from>
    <xdr:to>
      <xdr:col>12</xdr:col>
      <xdr:colOff>338025</xdr:colOff>
      <xdr:row>30</xdr:row>
      <xdr:rowOff>142875</xdr:rowOff>
    </xdr:to>
    <xdr:cxnSp macro="">
      <xdr:nvCxnSpPr>
        <xdr:cNvPr id="8" name="Straight Connector 7"/>
        <xdr:cNvCxnSpPr/>
      </xdr:nvCxnSpPr>
      <xdr:spPr bwMode="auto">
        <a:xfrm>
          <a:off x="4886325" y="5067300"/>
          <a:ext cx="9000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295275</xdr:colOff>
      <xdr:row>29</xdr:row>
      <xdr:rowOff>38100</xdr:rowOff>
    </xdr:from>
    <xdr:to>
      <xdr:col>14</xdr:col>
      <xdr:colOff>0</xdr:colOff>
      <xdr:row>31</xdr:row>
      <xdr:rowOff>66675</xdr:rowOff>
    </xdr:to>
    <xdr:sp macro="" textlink="">
      <xdr:nvSpPr>
        <xdr:cNvPr id="9" name="TextBox 8"/>
        <xdr:cNvSpPr txBox="1"/>
      </xdr:nvSpPr>
      <xdr:spPr>
        <a:xfrm>
          <a:off x="4829175" y="4800600"/>
          <a:ext cx="1533525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MARKING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142875</xdr:rowOff>
    </xdr:from>
    <xdr:to>
      <xdr:col>13</xdr:col>
      <xdr:colOff>352425</xdr:colOff>
      <xdr:row>42</xdr:row>
      <xdr:rowOff>104775</xdr:rowOff>
    </xdr:to>
    <xdr:grpSp>
      <xdr:nvGrpSpPr>
        <xdr:cNvPr id="5" name="Group 4"/>
        <xdr:cNvGrpSpPr/>
      </xdr:nvGrpSpPr>
      <xdr:grpSpPr>
        <a:xfrm>
          <a:off x="0" y="1254125"/>
          <a:ext cx="6273800" cy="5724525"/>
          <a:chOff x="0" y="1266825"/>
          <a:chExt cx="6257925" cy="5743575"/>
        </a:xfrm>
      </xdr:grpSpPr>
      <xdr:grpSp>
        <xdr:nvGrpSpPr>
          <xdr:cNvPr id="4" name="Group 3"/>
          <xdr:cNvGrpSpPr/>
        </xdr:nvGrpSpPr>
        <xdr:grpSpPr>
          <a:xfrm>
            <a:off x="0" y="1266825"/>
            <a:ext cx="6257925" cy="5743575"/>
            <a:chOff x="0" y="1266825"/>
            <a:chExt cx="6257925" cy="5715000"/>
          </a:xfrm>
        </xdr:grpSpPr>
        <xdr:grpSp>
          <xdr:nvGrpSpPr>
            <xdr:cNvPr id="3" name="Group 2"/>
            <xdr:cNvGrpSpPr/>
          </xdr:nvGrpSpPr>
          <xdr:grpSpPr>
            <a:xfrm>
              <a:off x="0" y="1266825"/>
              <a:ext cx="6257925" cy="5715000"/>
              <a:chOff x="0" y="1266825"/>
              <a:chExt cx="6257925" cy="5715000"/>
            </a:xfrm>
          </xdr:grpSpPr>
          <xdr:pic>
            <xdr:nvPicPr>
              <xdr:cNvPr id="37008" name="Picture 32" descr="FDB     -06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0" y="1266825"/>
                <a:ext cx="6257925" cy="5715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">
            <xdr:nvSpPr>
              <xdr:cNvPr id="2" name="Rectangle 1"/>
              <xdr:cNvSpPr/>
            </xdr:nvSpPr>
            <xdr:spPr bwMode="auto">
              <a:xfrm>
                <a:off x="4705350" y="3513020"/>
                <a:ext cx="1495425" cy="1144706"/>
              </a:xfrm>
              <a:prstGeom prst="rect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xmlns:mc="http://schemas.openxmlformats.org/markup-compatibility/2006" val="000000" mc:Ignorable="a14" a14:legacySpreadsheetColorIndex="64"/>
                    </a:solidFill>
                    <a:prstDash val="solid"/>
                    <a:round/>
                    <a:headEnd type="none" w="med" len="med"/>
                    <a:tailEnd type="none" w="med" len="med"/>
                  </a14:hiddenLine>
                </a:ex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lang="en-US" sz="1100"/>
              </a:p>
            </xdr:txBody>
          </xdr:sp>
        </xdr:grpSp>
        <xdr:sp macro="" textlink="$V$12">
          <xdr:nvSpPr>
            <xdr:cNvPr id="36882" name="Text Box 18"/>
            <xdr:cNvSpPr txBox="1">
              <a:spLocks noChangeArrowheads="1" noTextEdit="1"/>
            </xdr:cNvSpPr>
          </xdr:nvSpPr>
          <xdr:spPr bwMode="auto">
            <a:xfrm>
              <a:off x="4714875" y="4967454"/>
              <a:ext cx="1495425" cy="2762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0" anchor="t" upright="1"/>
            <a:lstStyle/>
            <a:p>
              <a:pPr algn="ctr" rtl="0">
                <a:defRPr sz="1000"/>
              </a:pPr>
              <a:fld id="{EE0B6E46-6FDE-4F56-9E5A-C5CB0160147B}" type="TxLink">
                <a:rPr lang="en-US" sz="1200" b="1" i="0" u="sng" strike="noStrike" baseline="0">
                  <a:solidFill>
                    <a:srgbClr val="0000FF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pPr algn="ctr" rtl="0">
                  <a:defRPr sz="1000"/>
                </a:pPr>
                <a:t>R-FDB 8776 - 06  R3</a:t>
              </a:fld>
              <a:endParaRPr lang="en-SG" sz="1200" b="1" i="0" u="sng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$R$27">
        <xdr:nvSpPr>
          <xdr:cNvPr id="36880" name="Text Box 16"/>
          <xdr:cNvSpPr txBox="1">
            <a:spLocks noChangeArrowheads="1" noTextEdit="1"/>
          </xdr:cNvSpPr>
        </xdr:nvSpPr>
        <xdr:spPr bwMode="auto">
          <a:xfrm>
            <a:off x="2724150" y="5666014"/>
            <a:ext cx="295275" cy="2881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E81FD770-46BC-4733-A6CC-93FB02BAE460}" type="TxLink">
              <a:rPr lang="en-US" sz="1400" b="1" i="0" u="none" strike="noStrike" baseline="0">
                <a:solidFill>
                  <a:srgbClr val="0000FF"/>
                </a:solidFill>
                <a:latin typeface="Times New Roman"/>
                <a:cs typeface="Times New Roman"/>
              </a:rPr>
              <a:pPr algn="l" rtl="0">
                <a:defRPr sz="1000"/>
              </a:pPr>
              <a:t>3</a:t>
            </a:fld>
            <a:endParaRPr lang="en-SG" sz="1400" b="0" i="0" u="none" strike="noStrike" baseline="0">
              <a:solidFill>
                <a:srgbClr val="0000FF"/>
              </a:solidFill>
              <a:latin typeface="Arial"/>
              <a:cs typeface="Arial"/>
            </a:endParaRPr>
          </a:p>
        </xdr:txBody>
      </xdr:sp>
      <xdr:sp macro="" textlink="Sheet1!F16">
        <xdr:nvSpPr>
          <xdr:cNvPr id="36881" name="Text Box 17"/>
          <xdr:cNvSpPr txBox="1">
            <a:spLocks noChangeArrowheads="1" noTextEdit="1"/>
          </xdr:cNvSpPr>
        </xdr:nvSpPr>
        <xdr:spPr bwMode="auto">
          <a:xfrm>
            <a:off x="3019425" y="6261207"/>
            <a:ext cx="571500" cy="3553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8EABC8CB-6207-4CD6-8289-ABD29F47E751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56.28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18">
        <xdr:nvSpPr>
          <xdr:cNvPr id="36884" name="Text Box 20"/>
          <xdr:cNvSpPr txBox="1">
            <a:spLocks noChangeArrowheads="1" noTextEdit="1"/>
          </xdr:cNvSpPr>
        </xdr:nvSpPr>
        <xdr:spPr bwMode="auto">
          <a:xfrm>
            <a:off x="1047750" y="4858871"/>
            <a:ext cx="266700" cy="5474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vert270" wrap="square" lIns="36576" tIns="27432" rIns="0" bIns="27432" anchor="t" upright="1"/>
          <a:lstStyle/>
          <a:p>
            <a:pPr algn="ctr" rtl="0">
              <a:defRPr sz="1000"/>
            </a:pPr>
            <a:fld id="{33018896-1242-48A0-A3AC-0DAC768960F7}" type="TxLink">
              <a:rPr lang="en-US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ctr" rtl="0">
                <a:defRPr sz="1000"/>
              </a:pPr>
              <a:t>18</a:t>
            </a:fld>
            <a:endParaRPr lang="en-SG" sz="18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29">
        <xdr:nvSpPr>
          <xdr:cNvPr id="36885" name="Text Box 21"/>
          <xdr:cNvSpPr txBox="1">
            <a:spLocks noChangeArrowheads="1" noTextEdit="1"/>
          </xdr:cNvSpPr>
        </xdr:nvSpPr>
        <xdr:spPr bwMode="auto">
          <a:xfrm>
            <a:off x="3038475" y="5953845"/>
            <a:ext cx="619125" cy="3361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164C1E1E-237B-4C16-A5FB-037F8BA74773}" type="TxLink">
              <a:rPr lang="en-US" sz="1400" b="1" i="0" u="none" strike="noStrike" baseline="0">
                <a:solidFill>
                  <a:srgbClr val="0000FF"/>
                </a:solidFill>
                <a:latin typeface="Times New Roman"/>
                <a:cs typeface="Times New Roman"/>
              </a:rPr>
              <a:pPr algn="l" rtl="0">
                <a:defRPr sz="1000"/>
              </a:pPr>
              <a:t>43.75</a:t>
            </a:fld>
            <a:endParaRPr lang="en-SG" sz="2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28">
        <xdr:nvSpPr>
          <xdr:cNvPr id="36886" name="Text Box 22"/>
          <xdr:cNvSpPr txBox="1">
            <a:spLocks noChangeArrowheads="1" noTextEdit="1"/>
          </xdr:cNvSpPr>
        </xdr:nvSpPr>
        <xdr:spPr bwMode="auto">
          <a:xfrm>
            <a:off x="123825" y="3812161"/>
            <a:ext cx="276225" cy="72029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vert270" wrap="square" lIns="36576" tIns="27432" rIns="0" bIns="27432" anchor="t" upright="1"/>
          <a:lstStyle/>
          <a:p>
            <a:pPr algn="ctr" rtl="0">
              <a:defRPr sz="1000"/>
            </a:pPr>
            <a:fld id="{A2F69654-3942-4F60-92DE-1074EC701B7D}" type="TxLink">
              <a:rPr lang="en-US" sz="1400" b="1" i="0" u="none" strike="noStrike" baseline="0">
                <a:solidFill>
                  <a:srgbClr val="0000FF"/>
                </a:solidFill>
                <a:latin typeface="Times New Roman"/>
                <a:cs typeface="Times New Roman"/>
              </a:rPr>
              <a:pPr algn="ctr" rtl="0">
                <a:defRPr sz="1000"/>
              </a:pPr>
              <a:t>63.3</a:t>
            </a:fld>
            <a:endParaRPr lang="en-SG" sz="32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17">
        <xdr:nvSpPr>
          <xdr:cNvPr id="36887" name="Text Box 23"/>
          <xdr:cNvSpPr txBox="1">
            <a:spLocks noChangeArrowheads="1" noTextEdit="1"/>
          </xdr:cNvSpPr>
        </xdr:nvSpPr>
        <xdr:spPr bwMode="auto">
          <a:xfrm>
            <a:off x="552450" y="4849266"/>
            <a:ext cx="257175" cy="5378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vert270" wrap="square" lIns="36576" tIns="27432" rIns="0" bIns="27432" anchor="t" upright="1"/>
          <a:lstStyle/>
          <a:p>
            <a:pPr algn="ctr" rtl="0">
              <a:defRPr sz="1000"/>
            </a:pPr>
            <a:fld id="{E00D9F93-4596-4804-8E52-416B9D16975C}" type="TxLink">
              <a:rPr lang="en-US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ctr" rtl="0">
                <a:defRPr sz="1000"/>
              </a:pPr>
              <a:t>20</a:t>
            </a:fld>
            <a:endParaRPr lang="en-SG" sz="18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10</xdr:col>
      <xdr:colOff>152401</xdr:colOff>
      <xdr:row>56</xdr:row>
      <xdr:rowOff>30407</xdr:rowOff>
    </xdr:from>
    <xdr:to>
      <xdr:col>13</xdr:col>
      <xdr:colOff>200025</xdr:colOff>
      <xdr:row>58</xdr:row>
      <xdr:rowOff>9525</xdr:rowOff>
    </xdr:to>
    <xdr:sp macro="" textlink="$R$12">
      <xdr:nvSpPr>
        <xdr:cNvPr id="36869" name="Text Box 5"/>
        <xdr:cNvSpPr txBox="1">
          <a:spLocks noChangeArrowheads="1" noTextEdit="1"/>
        </xdr:cNvSpPr>
      </xdr:nvSpPr>
      <xdr:spPr bwMode="auto">
        <a:xfrm>
          <a:off x="4686301" y="9393482"/>
          <a:ext cx="1419224" cy="341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55B14252-693A-432D-AE2E-38F1CDEFD698}" type="TxLink">
            <a:rPr lang="en-US" sz="14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R-FDB 8776 - 06</a:t>
          </a:fld>
          <a:endParaRPr lang="en-SG" sz="16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3</xdr:col>
      <xdr:colOff>731520</xdr:colOff>
      <xdr:row>55</xdr:row>
      <xdr:rowOff>55244</xdr:rowOff>
    </xdr:from>
    <xdr:to>
      <xdr:col>6</xdr:col>
      <xdr:colOff>207645</xdr:colOff>
      <xdr:row>56</xdr:row>
      <xdr:rowOff>209549</xdr:rowOff>
    </xdr:to>
    <xdr:sp macro="" textlink="$R$11">
      <xdr:nvSpPr>
        <xdr:cNvPr id="36873" name="Text Box 9"/>
        <xdr:cNvSpPr txBox="1">
          <a:spLocks noChangeArrowheads="1" noTextEdit="1"/>
        </xdr:cNvSpPr>
      </xdr:nvSpPr>
      <xdr:spPr bwMode="auto">
        <a:xfrm>
          <a:off x="2341245" y="9227819"/>
          <a:ext cx="1438275" cy="344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7281F79F-4E7F-41F7-91B8-FB6887EC36D5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NAH 0609 A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6</xdr:col>
      <xdr:colOff>238125</xdr:colOff>
      <xdr:row>48</xdr:row>
      <xdr:rowOff>28575</xdr:rowOff>
    </xdr:from>
    <xdr:to>
      <xdr:col>13</xdr:col>
      <xdr:colOff>342900</xdr:colOff>
      <xdr:row>52</xdr:row>
      <xdr:rowOff>95250</xdr:rowOff>
    </xdr:to>
    <xdr:pic>
      <xdr:nvPicPr>
        <xdr:cNvPr id="37006" name="Picture 10" descr="IP H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7772400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904875</xdr:colOff>
      <xdr:row>35</xdr:row>
      <xdr:rowOff>85725</xdr:rowOff>
    </xdr:from>
    <xdr:to>
      <xdr:col>4</xdr:col>
      <xdr:colOff>247650</xdr:colOff>
      <xdr:row>37</xdr:row>
      <xdr:rowOff>104775</xdr:rowOff>
    </xdr:to>
    <xdr:sp macro="" textlink="">
      <xdr:nvSpPr>
        <xdr:cNvPr id="6" name="TextBox 5"/>
        <xdr:cNvSpPr txBox="1"/>
      </xdr:nvSpPr>
      <xdr:spPr>
        <a:xfrm>
          <a:off x="2514600" y="5857875"/>
          <a:ext cx="3333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X</a:t>
          </a:r>
        </a:p>
      </xdr:txBody>
    </xdr:sp>
    <xdr:clientData fPrintsWithSheet="0"/>
  </xdr:twoCellAnchor>
  <xdr:twoCellAnchor>
    <xdr:from>
      <xdr:col>10</xdr:col>
      <xdr:colOff>38100</xdr:colOff>
      <xdr:row>27</xdr:row>
      <xdr:rowOff>123825</xdr:rowOff>
    </xdr:from>
    <xdr:to>
      <xdr:col>10</xdr:col>
      <xdr:colOff>333375</xdr:colOff>
      <xdr:row>30</xdr:row>
      <xdr:rowOff>19050</xdr:rowOff>
    </xdr:to>
    <xdr:cxnSp macro="">
      <xdr:nvCxnSpPr>
        <xdr:cNvPr id="18" name="Straight Arrow Connector 17"/>
        <xdr:cNvCxnSpPr/>
      </xdr:nvCxnSpPr>
      <xdr:spPr bwMode="auto">
        <a:xfrm flipH="1" flipV="1">
          <a:off x="4572000" y="4581525"/>
          <a:ext cx="295275" cy="4000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0000FF"/>
          </a:solidFill>
          <a:prstDash val="solid"/>
          <a:round/>
          <a:headEnd type="none" w="med" len="med"/>
          <a:tailEnd type="stealth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228600</xdr:colOff>
      <xdr:row>28</xdr:row>
      <xdr:rowOff>114300</xdr:rowOff>
    </xdr:from>
    <xdr:to>
      <xdr:col>13</xdr:col>
      <xdr:colOff>390525</xdr:colOff>
      <xdr:row>30</xdr:row>
      <xdr:rowOff>133350</xdr:rowOff>
    </xdr:to>
    <xdr:sp macro="" textlink="">
      <xdr:nvSpPr>
        <xdr:cNvPr id="19" name="TextBox 18"/>
        <xdr:cNvSpPr txBox="1"/>
      </xdr:nvSpPr>
      <xdr:spPr>
        <a:xfrm>
          <a:off x="4762500" y="4743450"/>
          <a:ext cx="1533525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MARKING</a:t>
          </a:r>
        </a:p>
      </xdr:txBody>
    </xdr:sp>
    <xdr:clientData/>
  </xdr:twoCellAnchor>
  <xdr:twoCellAnchor>
    <xdr:from>
      <xdr:col>0</xdr:col>
      <xdr:colOff>57150</xdr:colOff>
      <xdr:row>31</xdr:row>
      <xdr:rowOff>19050</xdr:rowOff>
    </xdr:from>
    <xdr:to>
      <xdr:col>0</xdr:col>
      <xdr:colOff>295275</xdr:colOff>
      <xdr:row>33</xdr:row>
      <xdr:rowOff>38100</xdr:rowOff>
    </xdr:to>
    <xdr:sp macro="" textlink="">
      <xdr:nvSpPr>
        <xdr:cNvPr id="20" name="TextBox 19"/>
        <xdr:cNvSpPr txBox="1"/>
      </xdr:nvSpPr>
      <xdr:spPr>
        <a:xfrm>
          <a:off x="57150" y="5181600"/>
          <a:ext cx="238125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r>
            <a:rPr lang="en-US" sz="1100" b="1">
              <a:solidFill>
                <a:srgbClr val="FF0000"/>
              </a:solidFill>
            </a:rPr>
            <a:t>Y</a:t>
          </a:r>
        </a:p>
      </xdr:txBody>
    </xdr:sp>
    <xdr:clientData fPrintsWithSheet="0"/>
  </xdr:twoCellAnchor>
  <xdr:twoCellAnchor>
    <xdr:from>
      <xdr:col>3</xdr:col>
      <xdr:colOff>685800</xdr:colOff>
      <xdr:row>36</xdr:row>
      <xdr:rowOff>76200</xdr:rowOff>
    </xdr:from>
    <xdr:to>
      <xdr:col>4</xdr:col>
      <xdr:colOff>28575</xdr:colOff>
      <xdr:row>38</xdr:row>
      <xdr:rowOff>95250</xdr:rowOff>
    </xdr:to>
    <xdr:sp macro="" textlink="">
      <xdr:nvSpPr>
        <xdr:cNvPr id="21" name="TextBox 20"/>
        <xdr:cNvSpPr txBox="1"/>
      </xdr:nvSpPr>
      <xdr:spPr>
        <a:xfrm>
          <a:off x="2295525" y="6048375"/>
          <a:ext cx="3333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Z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817245</xdr:colOff>
      <xdr:row>55</xdr:row>
      <xdr:rowOff>64769</xdr:rowOff>
    </xdr:from>
    <xdr:to>
      <xdr:col>7</xdr:col>
      <xdr:colOff>45720</xdr:colOff>
      <xdr:row>57</xdr:row>
      <xdr:rowOff>19049</xdr:rowOff>
    </xdr:to>
    <xdr:sp macro="" textlink="$R$11">
      <xdr:nvSpPr>
        <xdr:cNvPr id="19465" name="Text Box 9"/>
        <xdr:cNvSpPr txBox="1">
          <a:spLocks noChangeArrowheads="1" noTextEdit="1"/>
        </xdr:cNvSpPr>
      </xdr:nvSpPr>
      <xdr:spPr bwMode="auto">
        <a:xfrm>
          <a:off x="2426970" y="9227819"/>
          <a:ext cx="1438275" cy="382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763FDCE2-4CD9-4235-BF76-E2B6F3B844D9}" type="TxLink">
            <a:rPr lang="en-US" sz="1600" b="0" i="0" u="none" strike="noStrike" baseline="0">
              <a:solidFill>
                <a:sysClr val="windowText" lastClr="000000"/>
              </a:solidFill>
              <a:latin typeface="Times New Roman"/>
              <a:cs typeface="Times New Roman"/>
            </a:rPr>
            <a:pPr algn="l" rtl="0">
              <a:defRPr sz="1000"/>
            </a:pPr>
            <a:t>NAH 0609 A</a:t>
          </a:fld>
          <a:endParaRPr lang="en-SG" sz="1800" b="0" i="0" u="none" strike="noStrike" baseline="0">
            <a:solidFill>
              <a:sysClr val="windowText" lastClr="000000"/>
            </a:solidFill>
            <a:latin typeface="Comic Sans MS"/>
          </a:endParaRPr>
        </a:p>
      </xdr:txBody>
    </xdr:sp>
    <xdr:clientData/>
  </xdr:twoCellAnchor>
  <xdr:twoCellAnchor>
    <xdr:from>
      <xdr:col>15</xdr:col>
      <xdr:colOff>68580</xdr:colOff>
      <xdr:row>36</xdr:row>
      <xdr:rowOff>137160</xdr:rowOff>
    </xdr:from>
    <xdr:to>
      <xdr:col>15</xdr:col>
      <xdr:colOff>363855</xdr:colOff>
      <xdr:row>38</xdr:row>
      <xdr:rowOff>99060</xdr:rowOff>
    </xdr:to>
    <xdr:sp macro="" textlink="R19">
      <xdr:nvSpPr>
        <xdr:cNvPr id="19466" name="Text Box 10"/>
        <xdr:cNvSpPr txBox="1">
          <a:spLocks noChangeArrowheads="1" noTextEdit="1"/>
        </xdr:cNvSpPr>
      </xdr:nvSpPr>
      <xdr:spPr bwMode="auto">
        <a:xfrm>
          <a:off x="7239000" y="6141720"/>
          <a:ext cx="304800" cy="297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fld id="{3C76F906-5787-4689-A0D7-97D2E1C7B28E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15</xdr:col>
      <xdr:colOff>114300</xdr:colOff>
      <xdr:row>27</xdr:row>
      <xdr:rowOff>112395</xdr:rowOff>
    </xdr:from>
    <xdr:to>
      <xdr:col>15</xdr:col>
      <xdr:colOff>379161</xdr:colOff>
      <xdr:row>30</xdr:row>
      <xdr:rowOff>68665</xdr:rowOff>
    </xdr:to>
    <xdr:sp macro="" textlink="R18">
      <xdr:nvSpPr>
        <xdr:cNvPr id="19468" name="Text Box 12"/>
        <xdr:cNvSpPr txBox="1">
          <a:spLocks noChangeArrowheads="1" noTextEdit="1"/>
        </xdr:cNvSpPr>
      </xdr:nvSpPr>
      <xdr:spPr bwMode="auto">
        <a:xfrm>
          <a:off x="7284720" y="4617720"/>
          <a:ext cx="27432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18288" tIns="0" rIns="0" bIns="0" anchor="ctr" upright="1"/>
        <a:lstStyle/>
        <a:p>
          <a:fld id="{179A072B-09D9-4D91-9312-3BD0A1518AF0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14</xdr:col>
      <xdr:colOff>333375</xdr:colOff>
      <xdr:row>32</xdr:row>
      <xdr:rowOff>68580</xdr:rowOff>
    </xdr:from>
    <xdr:to>
      <xdr:col>15</xdr:col>
      <xdr:colOff>0</xdr:colOff>
      <xdr:row>35</xdr:row>
      <xdr:rowOff>38100</xdr:rowOff>
    </xdr:to>
    <xdr:sp macro="" textlink="R16">
      <xdr:nvSpPr>
        <xdr:cNvPr id="19469" name="Text Box 13"/>
        <xdr:cNvSpPr txBox="1">
          <a:spLocks noChangeArrowheads="1" noTextEdit="1"/>
        </xdr:cNvSpPr>
      </xdr:nvSpPr>
      <xdr:spPr bwMode="auto">
        <a:xfrm>
          <a:off x="6888480" y="5402580"/>
          <a:ext cx="28194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18288" tIns="0" rIns="0" bIns="0" anchor="ctr" upright="1"/>
        <a:lstStyle/>
        <a:p>
          <a:fld id="{E6D05A89-EE4C-4DD7-A898-74BB93A01CBF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15</xdr:col>
      <xdr:colOff>401955</xdr:colOff>
      <xdr:row>26</xdr:row>
      <xdr:rowOff>106680</xdr:rowOff>
    </xdr:from>
    <xdr:to>
      <xdr:col>16</xdr:col>
      <xdr:colOff>144780</xdr:colOff>
      <xdr:row>27</xdr:row>
      <xdr:rowOff>99060</xdr:rowOff>
    </xdr:to>
    <xdr:sp macro="" textlink="$R$18">
      <xdr:nvSpPr>
        <xdr:cNvPr id="19474" name="Text Box 18"/>
        <xdr:cNvSpPr txBox="1">
          <a:spLocks noChangeArrowheads="1" noTextEdit="1"/>
        </xdr:cNvSpPr>
      </xdr:nvSpPr>
      <xdr:spPr bwMode="auto">
        <a:xfrm>
          <a:off x="7581900" y="4434840"/>
          <a:ext cx="358140" cy="160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fld id="{02FEA866-B6A9-4010-A576-2D5738B063B0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9</xdr:col>
      <xdr:colOff>9525</xdr:colOff>
      <xdr:row>56</xdr:row>
      <xdr:rowOff>11356</xdr:rowOff>
    </xdr:from>
    <xdr:to>
      <xdr:col>13</xdr:col>
      <xdr:colOff>352425</xdr:colOff>
      <xdr:row>57</xdr:row>
      <xdr:rowOff>123824</xdr:rowOff>
    </xdr:to>
    <xdr:sp macro="" textlink="$R$12">
      <xdr:nvSpPr>
        <xdr:cNvPr id="19482" name="Text Box 26"/>
        <xdr:cNvSpPr txBox="1">
          <a:spLocks noChangeArrowheads="1" noTextEdit="1"/>
        </xdr:cNvSpPr>
      </xdr:nvSpPr>
      <xdr:spPr bwMode="auto">
        <a:xfrm>
          <a:off x="4391025" y="9393481"/>
          <a:ext cx="1866900" cy="3505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ctr" rtl="0">
            <a:defRPr sz="1000"/>
          </a:pPr>
          <a:fld id="{5853FC6B-63F4-44A7-B1D8-7BBAC3C5EE7A}" type="TxLink">
            <a:rPr lang="en-US" sz="1400" b="0" i="0" u="none" strike="noStrike" baseline="0">
              <a:solidFill>
                <a:sysClr val="windowText" lastClr="000000"/>
              </a:solidFill>
              <a:latin typeface="Times New Roman"/>
              <a:cs typeface="Times New Roman"/>
            </a:rPr>
            <a:pPr algn="ctr" rtl="0">
              <a:defRPr sz="1000"/>
            </a:pPr>
            <a:t>R-FDB 8776 - 09</a:t>
          </a:fld>
          <a:endParaRPr lang="en-SG" sz="1400" b="0" i="0" u="none" strike="noStrike" baseline="0">
            <a:solidFill>
              <a:sysClr val="windowText" lastClr="000000"/>
            </a:solidFill>
            <a:latin typeface="Comic Sans MS"/>
          </a:endParaRPr>
        </a:p>
      </xdr:txBody>
    </xdr:sp>
    <xdr:clientData/>
  </xdr:twoCellAnchor>
  <xdr:twoCellAnchor editAs="oneCell">
    <xdr:from>
      <xdr:col>7</xdr:col>
      <xdr:colOff>57150</xdr:colOff>
      <xdr:row>48</xdr:row>
      <xdr:rowOff>9525</xdr:rowOff>
    </xdr:from>
    <xdr:to>
      <xdr:col>13</xdr:col>
      <xdr:colOff>409575</xdr:colOff>
      <xdr:row>52</xdr:row>
      <xdr:rowOff>76200</xdr:rowOff>
    </xdr:to>
    <xdr:pic>
      <xdr:nvPicPr>
        <xdr:cNvPr id="19651" name="Picture 30" descr="IP H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6675" y="7791450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342900</xdr:colOff>
      <xdr:row>19</xdr:row>
      <xdr:rowOff>95250</xdr:rowOff>
    </xdr:from>
    <xdr:to>
      <xdr:col>3</xdr:col>
      <xdr:colOff>771525</xdr:colOff>
      <xdr:row>20</xdr:row>
      <xdr:rowOff>76200</xdr:rowOff>
    </xdr:to>
    <xdr:sp macro="" textlink="">
      <xdr:nvSpPr>
        <xdr:cNvPr id="19652" name="Rectangle 1"/>
        <xdr:cNvSpPr>
          <a:spLocks noChangeArrowheads="1"/>
        </xdr:cNvSpPr>
      </xdr:nvSpPr>
      <xdr:spPr bwMode="auto">
        <a:xfrm>
          <a:off x="1209675" y="3238500"/>
          <a:ext cx="11715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114300</xdr:colOff>
      <xdr:row>8</xdr:row>
      <xdr:rowOff>47625</xdr:rowOff>
    </xdr:from>
    <xdr:to>
      <xdr:col>12</xdr:col>
      <xdr:colOff>200025</xdr:colOff>
      <xdr:row>39</xdr:row>
      <xdr:rowOff>9525</xdr:rowOff>
    </xdr:to>
    <xdr:grpSp>
      <xdr:nvGrpSpPr>
        <xdr:cNvPr id="19653" name="Group 2"/>
        <xdr:cNvGrpSpPr>
          <a:grpSpLocks/>
        </xdr:cNvGrpSpPr>
      </xdr:nvGrpSpPr>
      <xdr:grpSpPr bwMode="auto">
        <a:xfrm>
          <a:off x="533400" y="1333500"/>
          <a:ext cx="5114925" cy="5086350"/>
          <a:chOff x="548640" y="1356359"/>
          <a:chExt cx="5257800" cy="5219700"/>
        </a:xfrm>
      </xdr:grpSpPr>
      <xdr:grpSp>
        <xdr:nvGrpSpPr>
          <xdr:cNvPr id="19654" name="Group 46"/>
          <xdr:cNvGrpSpPr>
            <a:grpSpLocks/>
          </xdr:cNvGrpSpPr>
        </xdr:nvGrpSpPr>
        <xdr:grpSpPr bwMode="auto">
          <a:xfrm>
            <a:off x="548640" y="1356359"/>
            <a:ext cx="5257800" cy="5219700"/>
            <a:chOff x="32" y="140"/>
            <a:chExt cx="537" cy="523"/>
          </a:xfrm>
        </xdr:grpSpPr>
        <xdr:pic>
          <xdr:nvPicPr>
            <xdr:cNvPr id="19660" name="Picture 39" descr="15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artisticPhotocopy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2" y="140"/>
              <a:ext cx="537" cy="52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19661" name="Rectangle 40"/>
            <xdr:cNvSpPr>
              <a:spLocks noChangeArrowheads="1"/>
            </xdr:cNvSpPr>
          </xdr:nvSpPr>
          <xdr:spPr bwMode="auto">
            <a:xfrm>
              <a:off x="469" y="213"/>
              <a:ext cx="31" cy="16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  <xdr:sp macro="" textlink="$T$13">
        <xdr:nvSpPr>
          <xdr:cNvPr id="19476" name="Text Box 20"/>
          <xdr:cNvSpPr txBox="1">
            <a:spLocks noChangeArrowheads="1" noTextEdit="1"/>
          </xdr:cNvSpPr>
        </xdr:nvSpPr>
        <xdr:spPr bwMode="auto">
          <a:xfrm>
            <a:off x="4572766" y="1975645"/>
            <a:ext cx="656001" cy="2850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72992099-0D9A-4E8C-B137-5BA856662200}" type="TxLink">
              <a:rPr lang="en-US" sz="1400" b="0" i="0" u="none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56.4</a:t>
            </a:fld>
            <a:endParaRPr lang="en-SG" sz="2000" b="0" i="0" u="none" strike="noStrike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R14">
        <xdr:nvSpPr>
          <xdr:cNvPr id="19488" name="Text Box 32"/>
          <xdr:cNvSpPr txBox="1">
            <a:spLocks noChangeArrowheads="1" noTextEdit="1"/>
          </xdr:cNvSpPr>
        </xdr:nvSpPr>
        <xdr:spPr bwMode="auto">
          <a:xfrm>
            <a:off x="4631513" y="1769217"/>
            <a:ext cx="430807" cy="2162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316CCAE2-B9EF-48A9-AFE7-52514EEE02C5}" type="TxLink">
              <a:rPr lang="en-SG" sz="1400" b="0" i="0" u="none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78</a:t>
            </a:fld>
            <a:endParaRPr lang="en-SG" sz="1400" b="0" i="0" u="none" strike="noStrike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R15">
        <xdr:nvSpPr>
          <xdr:cNvPr id="19489" name="Text Box 33"/>
          <xdr:cNvSpPr txBox="1">
            <a:spLocks noChangeArrowheads="1" noTextEdit="1"/>
          </xdr:cNvSpPr>
        </xdr:nvSpPr>
        <xdr:spPr bwMode="auto">
          <a:xfrm>
            <a:off x="4523811" y="5052584"/>
            <a:ext cx="518926" cy="3047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4CF43CFD-E0E4-4555-958F-6BC63D253F80}" type="TxLink">
              <a:rPr lang="en-SG" sz="1100" b="0" i="0" u="none" strike="noStrike" baseline="0">
                <a:solidFill>
                  <a:sysClr val="windowText" lastClr="000000"/>
                </a:solidFill>
                <a:latin typeface="Comic Sans MS"/>
              </a:rPr>
              <a:pPr algn="l" rtl="0">
                <a:defRPr sz="1000"/>
              </a:pPr>
              <a:t>71.4</a:t>
            </a:fld>
            <a:endParaRPr lang="en-SG" sz="1100" b="0" i="0" u="none" strike="noStrike" baseline="0">
              <a:solidFill>
                <a:sysClr val="windowText" lastClr="000000"/>
              </a:solidFill>
              <a:latin typeface="Comic Sans MS"/>
            </a:endParaRPr>
          </a:p>
        </xdr:txBody>
      </xdr:sp>
      <xdr:sp macro="" textlink="">
        <xdr:nvSpPr>
          <xdr:cNvPr id="19498" name="Text Box 42"/>
          <xdr:cNvSpPr txBox="1">
            <a:spLocks noChangeArrowheads="1"/>
          </xdr:cNvSpPr>
        </xdr:nvSpPr>
        <xdr:spPr bwMode="auto">
          <a:xfrm>
            <a:off x="5072110" y="2073945"/>
            <a:ext cx="489553" cy="21625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SG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± 0.01</a:t>
            </a:r>
          </a:p>
        </xdr:txBody>
      </xdr:sp>
      <xdr:sp macro="" textlink="$R$12">
        <xdr:nvSpPr>
          <xdr:cNvPr id="19467" name="Text Box 11"/>
          <xdr:cNvSpPr txBox="1">
            <a:spLocks noChangeArrowheads="1" noTextEdit="1"/>
          </xdr:cNvSpPr>
        </xdr:nvSpPr>
        <xdr:spPr bwMode="auto">
          <a:xfrm>
            <a:off x="989238" y="3273254"/>
            <a:ext cx="1449077" cy="32438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36576" bIns="0" anchor="t" upright="1"/>
          <a:lstStyle/>
          <a:p>
            <a:pPr algn="r" rtl="0">
              <a:defRPr sz="1000"/>
            </a:pPr>
            <a:fld id="{80A43121-21BC-4F4D-B841-D4B02452642E}" type="TxLink">
              <a:rPr lang="en-US" sz="1400" b="0" i="0" u="sng" strike="noStrike" baseline="0">
                <a:solidFill>
                  <a:sysClr val="windowText" lastClr="000000"/>
                </a:solidFill>
                <a:latin typeface="Times New Roman"/>
                <a:cs typeface="Times New Roman"/>
              </a:rPr>
              <a:pPr algn="r" rtl="0">
                <a:defRPr sz="1000"/>
              </a:pPr>
              <a:t>R-FDB 8776 - 09</a:t>
            </a:fld>
            <a:endParaRPr lang="en-SG" sz="1200" b="0" i="0" u="sng" strike="noStrike" baseline="0">
              <a:solidFill>
                <a:sysClr val="windowText" lastClr="000000"/>
              </a:solidFill>
              <a:latin typeface="Comic Sans MS"/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855345</xdr:colOff>
      <xdr:row>55</xdr:row>
      <xdr:rowOff>83819</xdr:rowOff>
    </xdr:from>
    <xdr:to>
      <xdr:col>7</xdr:col>
      <xdr:colOff>83820</xdr:colOff>
      <xdr:row>57</xdr:row>
      <xdr:rowOff>21166</xdr:rowOff>
    </xdr:to>
    <xdr:sp macro="" textlink="$R$11">
      <xdr:nvSpPr>
        <xdr:cNvPr id="20484" name="Text Box 4"/>
        <xdr:cNvSpPr txBox="1">
          <a:spLocks noChangeArrowheads="1" noTextEdit="1"/>
        </xdr:cNvSpPr>
      </xdr:nvSpPr>
      <xdr:spPr bwMode="auto">
        <a:xfrm>
          <a:off x="2464012" y="9121986"/>
          <a:ext cx="1440391" cy="3712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C82658EA-42AB-4AA8-9A19-8EDD23E058E7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NAH 0609 A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10</xdr:col>
      <xdr:colOff>148166</xdr:colOff>
      <xdr:row>56</xdr:row>
      <xdr:rowOff>36960</xdr:rowOff>
    </xdr:from>
    <xdr:to>
      <xdr:col>13</xdr:col>
      <xdr:colOff>275166</xdr:colOff>
      <xdr:row>57</xdr:row>
      <xdr:rowOff>82550</xdr:rowOff>
    </xdr:to>
    <xdr:sp macro="" textlink="$R$12">
      <xdr:nvSpPr>
        <xdr:cNvPr id="20492" name="Text Box 12"/>
        <xdr:cNvSpPr txBox="1">
          <a:spLocks noChangeArrowheads="1" noTextEdit="1"/>
        </xdr:cNvSpPr>
      </xdr:nvSpPr>
      <xdr:spPr bwMode="auto">
        <a:xfrm>
          <a:off x="4677833" y="9265627"/>
          <a:ext cx="1492250" cy="289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6207BE75-2020-41C9-909C-8C3CBACB5034}" type="TxLink">
            <a:rPr lang="en-US" sz="14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R-FDB 8776 - 10</a:t>
          </a:fld>
          <a:endParaRPr lang="en-SG" sz="16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7</xdr:col>
      <xdr:colOff>95250</xdr:colOff>
      <xdr:row>47</xdr:row>
      <xdr:rowOff>123825</xdr:rowOff>
    </xdr:from>
    <xdr:to>
      <xdr:col>13</xdr:col>
      <xdr:colOff>219075</xdr:colOff>
      <xdr:row>52</xdr:row>
      <xdr:rowOff>38100</xdr:rowOff>
    </xdr:to>
    <xdr:pic>
      <xdr:nvPicPr>
        <xdr:cNvPr id="20635" name="Picture 29" descr="NCH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14775" y="7677150"/>
          <a:ext cx="22098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356430</xdr:colOff>
      <xdr:row>11</xdr:row>
      <xdr:rowOff>9525</xdr:rowOff>
    </xdr:from>
    <xdr:to>
      <xdr:col>12</xdr:col>
      <xdr:colOff>390525</xdr:colOff>
      <xdr:row>37</xdr:row>
      <xdr:rowOff>0</xdr:rowOff>
    </xdr:to>
    <xdr:grpSp>
      <xdr:nvGrpSpPr>
        <xdr:cNvPr id="3" name="Group 2"/>
        <xdr:cNvGrpSpPr/>
      </xdr:nvGrpSpPr>
      <xdr:grpSpPr>
        <a:xfrm>
          <a:off x="356430" y="1819275"/>
          <a:ext cx="5473928" cy="4181475"/>
          <a:chOff x="356430" y="1798108"/>
          <a:chExt cx="5473928" cy="4160309"/>
        </a:xfrm>
      </xdr:grpSpPr>
      <xdr:grpSp>
        <xdr:nvGrpSpPr>
          <xdr:cNvPr id="2" name="Group 1"/>
          <xdr:cNvGrpSpPr/>
        </xdr:nvGrpSpPr>
        <xdr:grpSpPr>
          <a:xfrm>
            <a:off x="651749" y="1798108"/>
            <a:ext cx="5178609" cy="4160309"/>
            <a:chOff x="651749" y="1798108"/>
            <a:chExt cx="5178609" cy="4160309"/>
          </a:xfrm>
        </xdr:grpSpPr>
        <xdr:pic>
          <xdr:nvPicPr>
            <xdr:cNvPr id="20641" name="Picture 33" descr="17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651749" y="1798108"/>
              <a:ext cx="5178609" cy="416030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20640" name="Text Box 38"/>
            <xdr:cNvSpPr txBox="1">
              <a:spLocks noChangeArrowheads="1"/>
            </xdr:cNvSpPr>
          </xdr:nvSpPr>
          <xdr:spPr bwMode="auto">
            <a:xfrm>
              <a:off x="692150" y="5651500"/>
              <a:ext cx="1339787" cy="283213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  <xdr:sp macro="" textlink="$R$12">
        <xdr:nvSpPr>
          <xdr:cNvPr id="20504" name="Text Box 24"/>
          <xdr:cNvSpPr txBox="1">
            <a:spLocks noChangeArrowheads="1" noTextEdit="1"/>
          </xdr:cNvSpPr>
        </xdr:nvSpPr>
        <xdr:spPr bwMode="auto">
          <a:xfrm>
            <a:off x="356430" y="5564733"/>
            <a:ext cx="1485070" cy="25471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36576" bIns="0" anchor="t" upright="1"/>
          <a:lstStyle/>
          <a:p>
            <a:pPr algn="r" rtl="0">
              <a:defRPr sz="1000"/>
            </a:pPr>
            <a:fld id="{AB712670-4DA1-4A2E-A8AA-66EE95BD2C46}" type="TxLink">
              <a:rPr lang="en-US" sz="1400" b="1" i="0" u="sng" strike="noStrike" baseline="0">
                <a:solidFill>
                  <a:srgbClr val="0033CC"/>
                </a:solidFill>
                <a:latin typeface="Times New Roman"/>
                <a:cs typeface="Times New Roman"/>
              </a:rPr>
              <a:pPr algn="r" rtl="0">
                <a:defRPr sz="1000"/>
              </a:pPr>
              <a:t>R-FDB 8776 - 10</a:t>
            </a:fld>
            <a:endParaRPr lang="en-SG" sz="1200" b="0" i="0" u="sng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I7">
        <xdr:nvSpPr>
          <xdr:cNvPr id="20506" name="Text Box 26"/>
          <xdr:cNvSpPr txBox="1">
            <a:spLocks noChangeArrowheads="1" noTextEdit="1"/>
          </xdr:cNvSpPr>
        </xdr:nvSpPr>
        <xdr:spPr bwMode="auto">
          <a:xfrm>
            <a:off x="4424057" y="2684886"/>
            <a:ext cx="579624" cy="27358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2DA44CC6-584E-4CF0-82B2-D4B87A23D294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46.83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13">
        <xdr:nvSpPr>
          <xdr:cNvPr id="20507" name="Text Box 27"/>
          <xdr:cNvSpPr txBox="1">
            <a:spLocks noChangeArrowheads="1" noTextEdit="1"/>
          </xdr:cNvSpPr>
        </xdr:nvSpPr>
        <xdr:spPr bwMode="auto">
          <a:xfrm>
            <a:off x="4414555" y="2326401"/>
            <a:ext cx="579624" cy="320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B3936632-2C14-43C2-9F14-BABD627CAF38}" type="TxLink">
              <a:rPr lang="en-US" sz="16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56.4</a:t>
            </a:fld>
            <a:endParaRPr lang="en-SG" sz="28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16">
        <xdr:nvSpPr>
          <xdr:cNvPr id="20508" name="Text Box 28"/>
          <xdr:cNvSpPr txBox="1">
            <a:spLocks noChangeArrowheads="1" noTextEdit="1"/>
          </xdr:cNvSpPr>
        </xdr:nvSpPr>
        <xdr:spPr bwMode="auto">
          <a:xfrm>
            <a:off x="4424057" y="1854711"/>
            <a:ext cx="712653" cy="27358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A017F5C1-3DD1-4122-B2F6-9257CB2F7273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67.9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201083</xdr:colOff>
      <xdr:row>1</xdr:row>
      <xdr:rowOff>21166</xdr:rowOff>
    </xdr:from>
    <xdr:to>
      <xdr:col>13</xdr:col>
      <xdr:colOff>260157</xdr:colOff>
      <xdr:row>6</xdr:row>
      <xdr:rowOff>67348</xdr:rowOff>
    </xdr:to>
    <xdr:sp macro="" textlink="$P$2">
      <xdr:nvSpPr>
        <xdr:cNvPr id="13" name="WordArt 14"/>
        <xdr:cNvSpPr>
          <a:spLocks noChangeArrowheads="1" noChangeShapeType="1" noTextEdit="1"/>
        </xdr:cNvSpPr>
      </xdr:nvSpPr>
      <xdr:spPr bwMode="auto">
        <a:xfrm>
          <a:off x="201083" y="179916"/>
          <a:ext cx="5953991" cy="839932"/>
        </a:xfrm>
        <a:prstGeom prst="rect">
          <a:avLst/>
        </a:prstGeom>
        <a:noFill/>
      </xdr:spPr>
      <xdr:txBody>
        <a:bodyPr vertOverflow="clip" wrap="none" lIns="18288" tIns="0" rIns="0" bIns="0" fromWordArt="1" anchor="t">
          <a:prstTxWarp prst="textSlantUp">
            <a:avLst>
              <a:gd name="adj" fmla="val 32056"/>
            </a:avLst>
          </a:prstTxWarp>
        </a:bodyPr>
        <a:lstStyle/>
        <a:p>
          <a:pPr algn="ctr" rtl="0">
            <a:buNone/>
          </a:pPr>
          <a:fld id="{04AD1EA1-5183-4911-B5CF-B77DB0D8B355}" type="TxLink">
            <a:rPr lang="en-US" sz="1000" b="0" i="0" u="none" strike="noStrike" kern="1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/>
              <a:cs typeface="Arial"/>
            </a:rPr>
            <a:pPr algn="ctr" rtl="0">
              <a:buNone/>
            </a:pPr>
            <a:t>TEMPLATE FOR OTHER DESIGN</a:t>
          </a:fld>
          <a:endParaRPr lang="en-US" sz="3600" b="0" kern="1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855345</xdr:colOff>
      <xdr:row>55</xdr:row>
      <xdr:rowOff>83819</xdr:rowOff>
    </xdr:from>
    <xdr:to>
      <xdr:col>7</xdr:col>
      <xdr:colOff>83820</xdr:colOff>
      <xdr:row>57</xdr:row>
      <xdr:rowOff>19049</xdr:rowOff>
    </xdr:to>
    <xdr:sp macro="" textlink="$R$11">
      <xdr:nvSpPr>
        <xdr:cNvPr id="21508" name="Text Box 4"/>
        <xdr:cNvSpPr txBox="1">
          <a:spLocks noChangeArrowheads="1" noTextEdit="1"/>
        </xdr:cNvSpPr>
      </xdr:nvSpPr>
      <xdr:spPr bwMode="auto">
        <a:xfrm>
          <a:off x="2465070" y="9246869"/>
          <a:ext cx="1438275" cy="3638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1155E69B-45DE-413A-9772-BFCC22CCC102}" type="TxLink">
            <a:rPr lang="en-US" sz="1600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pPr algn="l" rtl="0">
              <a:defRPr sz="1000"/>
            </a:pPr>
            <a:t>NAH 0609 A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10</xdr:col>
      <xdr:colOff>104776</xdr:colOff>
      <xdr:row>56</xdr:row>
      <xdr:rowOff>11357</xdr:rowOff>
    </xdr:from>
    <xdr:to>
      <xdr:col>13</xdr:col>
      <xdr:colOff>285750</xdr:colOff>
      <xdr:row>57</xdr:row>
      <xdr:rowOff>57150</xdr:rowOff>
    </xdr:to>
    <xdr:sp macro="" textlink="$R$12">
      <xdr:nvSpPr>
        <xdr:cNvPr id="21516" name="Text Box 12"/>
        <xdr:cNvSpPr txBox="1">
          <a:spLocks noChangeArrowheads="1" noTextEdit="1"/>
        </xdr:cNvSpPr>
      </xdr:nvSpPr>
      <xdr:spPr bwMode="auto">
        <a:xfrm>
          <a:off x="4638676" y="9364907"/>
          <a:ext cx="1552574" cy="2839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3F700978-F039-44E3-B801-9F388646DF80}" type="TxLink">
            <a:rPr lang="en-US" sz="1400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pPr algn="l" rtl="0">
              <a:defRPr sz="1000"/>
            </a:pPr>
            <a:t>R-FDB 8776 - 10</a:t>
          </a:fld>
          <a:endParaRPr lang="en-SG" sz="16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7</xdr:col>
      <xdr:colOff>133350</xdr:colOff>
      <xdr:row>47</xdr:row>
      <xdr:rowOff>133350</xdr:rowOff>
    </xdr:from>
    <xdr:to>
      <xdr:col>13</xdr:col>
      <xdr:colOff>257175</xdr:colOff>
      <xdr:row>52</xdr:row>
      <xdr:rowOff>47625</xdr:rowOff>
    </xdr:to>
    <xdr:pic>
      <xdr:nvPicPr>
        <xdr:cNvPr id="21652" name="Picture 23" descr="NCH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52875" y="7762875"/>
          <a:ext cx="22098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9</xdr:row>
      <xdr:rowOff>142875</xdr:rowOff>
    </xdr:from>
    <xdr:to>
      <xdr:col>12</xdr:col>
      <xdr:colOff>333375</xdr:colOff>
      <xdr:row>38</xdr:row>
      <xdr:rowOff>123825</xdr:rowOff>
    </xdr:to>
    <xdr:grpSp>
      <xdr:nvGrpSpPr>
        <xdr:cNvPr id="5" name="Group 4"/>
        <xdr:cNvGrpSpPr/>
      </xdr:nvGrpSpPr>
      <xdr:grpSpPr>
        <a:xfrm>
          <a:off x="180975" y="1600200"/>
          <a:ext cx="5600700" cy="4781550"/>
          <a:chOff x="180975" y="1590675"/>
          <a:chExt cx="5600700" cy="4752975"/>
        </a:xfrm>
      </xdr:grpSpPr>
      <xdr:grpSp>
        <xdr:nvGrpSpPr>
          <xdr:cNvPr id="4" name="Group 3"/>
          <xdr:cNvGrpSpPr/>
        </xdr:nvGrpSpPr>
        <xdr:grpSpPr>
          <a:xfrm>
            <a:off x="180975" y="1590675"/>
            <a:ext cx="5600700" cy="4752975"/>
            <a:chOff x="180975" y="1590675"/>
            <a:chExt cx="5600700" cy="4752975"/>
          </a:xfrm>
        </xdr:grpSpPr>
        <xdr:pic>
          <xdr:nvPicPr>
            <xdr:cNvPr id="21657" name="Picture 27" descr="16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80975" y="1590675"/>
              <a:ext cx="5600700" cy="475297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21656" name="Rectangle 2"/>
            <xdr:cNvSpPr>
              <a:spLocks noChangeArrowheads="1"/>
            </xdr:cNvSpPr>
          </xdr:nvSpPr>
          <xdr:spPr bwMode="auto">
            <a:xfrm>
              <a:off x="4734972" y="5119451"/>
              <a:ext cx="741815" cy="649475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round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3" name="Rectangle 2"/>
            <xdr:cNvSpPr/>
          </xdr:nvSpPr>
          <xdr:spPr bwMode="auto">
            <a:xfrm>
              <a:off x="219075" y="5753100"/>
              <a:ext cx="1590675" cy="36195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xmlns:mc="http://schemas.openxmlformats.org/markup-compatibility/2006" val="000000" mc:Ignorable="a14" a14:legacySpreadsheetColorIndex="64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lang="en-US" sz="1100"/>
            </a:p>
          </xdr:txBody>
        </xdr:sp>
      </xdr:grpSp>
      <xdr:sp macro="" textlink="$R$12">
        <xdr:nvSpPr>
          <xdr:cNvPr id="21522" name="Text Box 18"/>
          <xdr:cNvSpPr txBox="1">
            <a:spLocks noChangeArrowheads="1" noTextEdit="1"/>
          </xdr:cNvSpPr>
        </xdr:nvSpPr>
        <xdr:spPr bwMode="auto">
          <a:xfrm>
            <a:off x="552450" y="5705589"/>
            <a:ext cx="1438275" cy="4191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/>
        </xdr:spPr>
        <xdr:txBody>
          <a:bodyPr vertOverflow="clip" wrap="square" lIns="36576" tIns="36576" rIns="36576" bIns="0" anchor="t" upright="1"/>
          <a:lstStyle/>
          <a:p>
            <a:pPr algn="l" rtl="0">
              <a:defRPr sz="1000"/>
            </a:pPr>
            <a:fld id="{736A0538-A5C5-4AA0-B3DC-FEBFAC0A46D8}" type="TxLink">
              <a:rPr lang="en-US" sz="1400" b="1" i="0" u="sng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R-FDB 8776 - 10</a:t>
            </a:fld>
            <a:endParaRPr lang="en-SG" sz="1200" b="0" i="0" u="sng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Sheet1!I7">
        <xdr:nvSpPr>
          <xdr:cNvPr id="21524" name="Text Box 20"/>
          <xdr:cNvSpPr txBox="1">
            <a:spLocks noChangeArrowheads="1" noTextEdit="1"/>
          </xdr:cNvSpPr>
        </xdr:nvSpPr>
        <xdr:spPr bwMode="auto">
          <a:xfrm>
            <a:off x="4086225" y="2486025"/>
            <a:ext cx="61912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FADEC921-AD4F-4EA5-9BD9-5141E89D7643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46.83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T$13">
        <xdr:nvSpPr>
          <xdr:cNvPr id="21525" name="Text Box 21"/>
          <xdr:cNvSpPr txBox="1">
            <a:spLocks noChangeArrowheads="1" noTextEdit="1"/>
          </xdr:cNvSpPr>
        </xdr:nvSpPr>
        <xdr:spPr bwMode="auto">
          <a:xfrm>
            <a:off x="4067175" y="2143125"/>
            <a:ext cx="590550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E8544FC6-062B-42B4-AFF2-58197AC779F4}" type="TxLink">
              <a:rPr lang="en-US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56.4</a:t>
            </a:fld>
            <a:endParaRPr lang="en-SG" sz="2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T$16">
        <xdr:nvSpPr>
          <xdr:cNvPr id="21526" name="Text Box 22"/>
          <xdr:cNvSpPr txBox="1">
            <a:spLocks noChangeArrowheads="1" noTextEdit="1"/>
          </xdr:cNvSpPr>
        </xdr:nvSpPr>
        <xdr:spPr bwMode="auto">
          <a:xfrm>
            <a:off x="4171950" y="1657350"/>
            <a:ext cx="628650" cy="2762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CBA19D24-2BB7-4186-A690-BC8C895A2434}" type="TxLink">
              <a:rPr lang="en-US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67.9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Sheet1!I8">
        <xdr:nvSpPr>
          <xdr:cNvPr id="21529" name="Text Box 25"/>
          <xdr:cNvSpPr txBox="1">
            <a:spLocks noChangeArrowheads="1" noTextEdit="1"/>
          </xdr:cNvSpPr>
        </xdr:nvSpPr>
        <xdr:spPr bwMode="auto">
          <a:xfrm>
            <a:off x="4305300" y="5324475"/>
            <a:ext cx="619125" cy="2762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09E97347-E5EF-4C6C-AA53-D4846E6DFB0C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51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" name="TextBox 1"/>
          <xdr:cNvSpPr txBox="1"/>
        </xdr:nvSpPr>
        <xdr:spPr bwMode="auto">
          <a:xfrm>
            <a:off x="4657725" y="5210175"/>
            <a:ext cx="63817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r>
              <a:rPr lang="en-SG" sz="900" b="1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+0.060</a:t>
            </a:r>
          </a:p>
          <a:p>
            <a:r>
              <a:rPr lang="en-SG" sz="900" b="1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+0.030</a:t>
            </a:r>
          </a:p>
        </xdr:txBody>
      </xdr:sp>
    </xdr:grpSp>
    <xdr:clientData/>
  </xdr:twoCellAnchor>
  <xdr:twoCellAnchor>
    <xdr:from>
      <xdr:col>0</xdr:col>
      <xdr:colOff>209550</xdr:colOff>
      <xdr:row>1</xdr:row>
      <xdr:rowOff>57150</xdr:rowOff>
    </xdr:from>
    <xdr:to>
      <xdr:col>13</xdr:col>
      <xdr:colOff>258041</xdr:colOff>
      <xdr:row>6</xdr:row>
      <xdr:rowOff>96982</xdr:rowOff>
    </xdr:to>
    <xdr:sp macro="" textlink="$P$2">
      <xdr:nvSpPr>
        <xdr:cNvPr id="17" name="WordArt 14"/>
        <xdr:cNvSpPr>
          <a:spLocks noChangeArrowheads="1" noChangeShapeType="1" noTextEdit="1"/>
        </xdr:cNvSpPr>
      </xdr:nvSpPr>
      <xdr:spPr bwMode="auto">
        <a:xfrm>
          <a:off x="209550" y="219075"/>
          <a:ext cx="5953991" cy="839932"/>
        </a:xfrm>
        <a:prstGeom prst="rect">
          <a:avLst/>
        </a:prstGeom>
        <a:noFill/>
      </xdr:spPr>
      <xdr:txBody>
        <a:bodyPr vertOverflow="clip" wrap="none" lIns="18288" tIns="0" rIns="0" bIns="0" fromWordArt="1" anchor="t">
          <a:prstTxWarp prst="textSlantUp">
            <a:avLst>
              <a:gd name="adj" fmla="val 32056"/>
            </a:avLst>
          </a:prstTxWarp>
        </a:bodyPr>
        <a:lstStyle/>
        <a:p>
          <a:pPr algn="ctr" rtl="0">
            <a:buNone/>
          </a:pPr>
          <a:fld id="{04AD1EA1-5183-4911-B5CF-B77DB0D8B355}" type="TxLink">
            <a:rPr lang="en-US" sz="1000" b="0" i="0" u="none" strike="noStrike" kern="1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/>
              <a:cs typeface="Arial"/>
            </a:rPr>
            <a:pPr algn="ctr" rtl="0">
              <a:buNone/>
            </a:pPr>
            <a:t> </a:t>
          </a:fld>
          <a:endParaRPr lang="en-US" sz="3600" b="0" kern="1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769620</xdr:colOff>
      <xdr:row>55</xdr:row>
      <xdr:rowOff>74295</xdr:rowOff>
    </xdr:from>
    <xdr:to>
      <xdr:col>6</xdr:col>
      <xdr:colOff>245745</xdr:colOff>
      <xdr:row>57</xdr:row>
      <xdr:rowOff>57150</xdr:rowOff>
    </xdr:to>
    <xdr:sp macro="" textlink="$R$11">
      <xdr:nvSpPr>
        <xdr:cNvPr id="22532" name="Text Box 4"/>
        <xdr:cNvSpPr txBox="1">
          <a:spLocks noChangeArrowheads="1" noTextEdit="1"/>
        </xdr:cNvSpPr>
      </xdr:nvSpPr>
      <xdr:spPr bwMode="auto">
        <a:xfrm>
          <a:off x="2379345" y="9237345"/>
          <a:ext cx="1438275" cy="411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4AC5ABC2-8850-45E2-BDBF-27E330347513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NAH 0609 A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10</xdr:col>
      <xdr:colOff>171450</xdr:colOff>
      <xdr:row>56</xdr:row>
      <xdr:rowOff>39932</xdr:rowOff>
    </xdr:from>
    <xdr:to>
      <xdr:col>13</xdr:col>
      <xdr:colOff>127565</xdr:colOff>
      <xdr:row>58</xdr:row>
      <xdr:rowOff>38100</xdr:rowOff>
    </xdr:to>
    <xdr:sp macro="" textlink="$R$12">
      <xdr:nvSpPr>
        <xdr:cNvPr id="22539" name="Text Box 11"/>
        <xdr:cNvSpPr txBox="1">
          <a:spLocks noChangeArrowheads="1" noTextEdit="1"/>
        </xdr:cNvSpPr>
      </xdr:nvSpPr>
      <xdr:spPr bwMode="auto">
        <a:xfrm>
          <a:off x="4705350" y="9393482"/>
          <a:ext cx="1327715" cy="3601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E9EBBDD3-C7B1-4DA5-BA3C-4D945C357E89}" type="TxLink">
            <a:rPr lang="en-US" sz="14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R-FDB 8776 - 14</a:t>
          </a:fld>
          <a:endParaRPr lang="en-SG" sz="16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7</xdr:col>
      <xdr:colOff>28575</xdr:colOff>
      <xdr:row>48</xdr:row>
      <xdr:rowOff>28575</xdr:rowOff>
    </xdr:from>
    <xdr:to>
      <xdr:col>13</xdr:col>
      <xdr:colOff>381000</xdr:colOff>
      <xdr:row>52</xdr:row>
      <xdr:rowOff>95249</xdr:rowOff>
    </xdr:to>
    <xdr:pic>
      <xdr:nvPicPr>
        <xdr:cNvPr id="22680" name="Picture 27" descr="IP H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7810500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172811</xdr:colOff>
      <xdr:row>8</xdr:row>
      <xdr:rowOff>6803</xdr:rowOff>
    </xdr:from>
    <xdr:to>
      <xdr:col>12</xdr:col>
      <xdr:colOff>1361</xdr:colOff>
      <xdr:row>43</xdr:row>
      <xdr:rowOff>97971</xdr:rowOff>
    </xdr:to>
    <xdr:grpSp>
      <xdr:nvGrpSpPr>
        <xdr:cNvPr id="22681" name="Group 1"/>
        <xdr:cNvGrpSpPr>
          <a:grpSpLocks/>
        </xdr:cNvGrpSpPr>
      </xdr:nvGrpSpPr>
      <xdr:grpSpPr bwMode="auto">
        <a:xfrm>
          <a:off x="594632" y="1299482"/>
          <a:ext cx="4863193" cy="5901418"/>
          <a:chOff x="640080" y="906780"/>
          <a:chExt cx="4991100" cy="5989320"/>
        </a:xfrm>
      </xdr:grpSpPr>
      <xdr:pic>
        <xdr:nvPicPr>
          <xdr:cNvPr id="22682" name="Picture 28" descr="19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0080" y="906780"/>
            <a:ext cx="4991100" cy="5989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R17">
        <xdr:nvSpPr>
          <xdr:cNvPr id="22533" name="Text Box 5"/>
          <xdr:cNvSpPr txBox="1">
            <a:spLocks noChangeArrowheads="1" noTextEdit="1"/>
          </xdr:cNvSpPr>
        </xdr:nvSpPr>
        <xdr:spPr bwMode="auto">
          <a:xfrm>
            <a:off x="1158763" y="2667188"/>
            <a:ext cx="274021" cy="5409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vert270" wrap="square" lIns="36576" tIns="36576" rIns="0" bIns="36576" anchor="t" upright="1"/>
          <a:lstStyle/>
          <a:p>
            <a:pPr algn="ctr" rtl="0">
              <a:defRPr sz="1000"/>
            </a:pPr>
            <a:fld id="{C4A1CC0D-8838-4135-AF53-18C712051BF7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ctr" rtl="0">
                <a:defRPr sz="1000"/>
              </a:pPr>
              <a:t>17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R18">
        <xdr:nvSpPr>
          <xdr:cNvPr id="22534" name="Text Box 6"/>
          <xdr:cNvSpPr txBox="1">
            <a:spLocks noChangeArrowheads="1" noTextEdit="1"/>
          </xdr:cNvSpPr>
        </xdr:nvSpPr>
        <xdr:spPr bwMode="auto">
          <a:xfrm>
            <a:off x="1716592" y="2716361"/>
            <a:ext cx="293594" cy="4720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vert270" wrap="square" lIns="36576" tIns="36576" rIns="0" bIns="36576" anchor="t" upright="1"/>
          <a:lstStyle/>
          <a:p>
            <a:pPr algn="ctr" rtl="0">
              <a:defRPr sz="1000"/>
            </a:pPr>
            <a:fld id="{908F7472-292B-4C2E-BBA0-3352DE535595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ctr" rtl="0">
                <a:defRPr sz="1000"/>
              </a:pPr>
              <a:t>16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12">
        <xdr:nvSpPr>
          <xdr:cNvPr id="22546" name="Text Box 18"/>
          <xdr:cNvSpPr txBox="1">
            <a:spLocks noChangeArrowheads="1" noTextEdit="1"/>
          </xdr:cNvSpPr>
        </xdr:nvSpPr>
        <xdr:spPr bwMode="auto">
          <a:xfrm>
            <a:off x="1011966" y="4398091"/>
            <a:ext cx="1291814" cy="32454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/>
        </xdr:spPr>
        <xdr:txBody>
          <a:bodyPr vertOverflow="clip" wrap="square" lIns="36576" tIns="36576" rIns="36576" bIns="0" anchor="t" upright="1"/>
          <a:lstStyle/>
          <a:p>
            <a:pPr algn="r" rtl="0">
              <a:defRPr sz="1000"/>
            </a:pPr>
            <a:fld id="{86E0E907-FE9D-4304-8F49-021DD83D893B}" type="TxLink">
              <a:rPr lang="en-US" sz="1300" b="1" i="0" u="sng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r" rtl="0">
                <a:defRPr sz="1000"/>
              </a:pPr>
              <a:t>R-FDB 8776 - 14</a:t>
            </a:fld>
            <a:endParaRPr lang="en-SG" sz="1300" b="0" i="0" u="sng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Sheet1!I13">
        <xdr:nvSpPr>
          <xdr:cNvPr id="22548" name="Text Box 20"/>
          <xdr:cNvSpPr txBox="1">
            <a:spLocks noChangeArrowheads="1" noTextEdit="1"/>
          </xdr:cNvSpPr>
        </xdr:nvSpPr>
        <xdr:spPr bwMode="auto">
          <a:xfrm>
            <a:off x="3801110" y="1388679"/>
            <a:ext cx="596975" cy="25570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AC421E5E-057A-450C-896E-E9705BEF1974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46.83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Sheet1!I12">
        <xdr:nvSpPr>
          <xdr:cNvPr id="22549" name="Text Box 21"/>
          <xdr:cNvSpPr txBox="1">
            <a:spLocks noChangeArrowheads="1" noTextEdit="1"/>
          </xdr:cNvSpPr>
        </xdr:nvSpPr>
        <xdr:spPr bwMode="auto">
          <a:xfrm>
            <a:off x="3996839" y="1742728"/>
            <a:ext cx="606761" cy="25570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D3DF9A2A-3EFA-45C9-BB28-166F85F7D30F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41.17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Sheet1!$I$15">
        <xdr:nvSpPr>
          <xdr:cNvPr id="22551" name="Text Box 23"/>
          <xdr:cNvSpPr txBox="1">
            <a:spLocks noChangeArrowheads="1" noTextEdit="1"/>
          </xdr:cNvSpPr>
        </xdr:nvSpPr>
        <xdr:spPr bwMode="auto">
          <a:xfrm>
            <a:off x="3713032" y="1054300"/>
            <a:ext cx="567615" cy="2950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8BDD0AA8-E672-4689-BB24-398168B674F3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51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163285</xdr:colOff>
      <xdr:row>0</xdr:row>
      <xdr:rowOff>122465</xdr:rowOff>
    </xdr:from>
    <xdr:to>
      <xdr:col>13</xdr:col>
      <xdr:colOff>198169</xdr:colOff>
      <xdr:row>5</xdr:row>
      <xdr:rowOff>105147</xdr:rowOff>
    </xdr:to>
    <xdr:sp macro="" textlink="$P$2">
      <xdr:nvSpPr>
        <xdr:cNvPr id="14" name="WordArt 14"/>
        <xdr:cNvSpPr>
          <a:spLocks noChangeArrowheads="1" noChangeShapeType="1" noTextEdit="1"/>
        </xdr:cNvSpPr>
      </xdr:nvSpPr>
      <xdr:spPr bwMode="auto">
        <a:xfrm>
          <a:off x="163285" y="122465"/>
          <a:ext cx="5953991" cy="839932"/>
        </a:xfrm>
        <a:prstGeom prst="rect">
          <a:avLst/>
        </a:prstGeom>
        <a:noFill/>
      </xdr:spPr>
      <xdr:txBody>
        <a:bodyPr vertOverflow="clip" wrap="none" lIns="18288" tIns="0" rIns="0" bIns="0" fromWordArt="1" anchor="t">
          <a:prstTxWarp prst="textSlantUp">
            <a:avLst>
              <a:gd name="adj" fmla="val 32056"/>
            </a:avLst>
          </a:prstTxWarp>
        </a:bodyPr>
        <a:lstStyle/>
        <a:p>
          <a:pPr algn="ctr" rtl="0">
            <a:buNone/>
          </a:pPr>
          <a:fld id="{04AD1EA1-5183-4911-B5CF-B77DB0D8B355}" type="TxLink">
            <a:rPr lang="en-US" sz="1000" b="0" i="0" u="none" strike="noStrike" kern="1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/>
              <a:cs typeface="Arial"/>
            </a:rPr>
            <a:pPr algn="ctr" rtl="0">
              <a:buNone/>
            </a:pPr>
            <a:t> </a:t>
          </a:fld>
          <a:endParaRPr lang="en-US" sz="3600" b="0" kern="1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760095</xdr:colOff>
      <xdr:row>55</xdr:row>
      <xdr:rowOff>45720</xdr:rowOff>
    </xdr:from>
    <xdr:to>
      <xdr:col>6</xdr:col>
      <xdr:colOff>236220</xdr:colOff>
      <xdr:row>56</xdr:row>
      <xdr:rowOff>209550</xdr:rowOff>
    </xdr:to>
    <xdr:sp macro="" textlink="$R$11">
      <xdr:nvSpPr>
        <xdr:cNvPr id="25604" name="Text Box 4"/>
        <xdr:cNvSpPr txBox="1">
          <a:spLocks noChangeArrowheads="1" noTextEdit="1"/>
        </xdr:cNvSpPr>
      </xdr:nvSpPr>
      <xdr:spPr bwMode="auto">
        <a:xfrm>
          <a:off x="2369820" y="9208770"/>
          <a:ext cx="1438275" cy="3543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70C8771B-15BE-463A-9888-172A4E1B3AF8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NAH 0609 A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10</xdr:col>
      <xdr:colOff>114300</xdr:colOff>
      <xdr:row>56</xdr:row>
      <xdr:rowOff>49457</xdr:rowOff>
    </xdr:from>
    <xdr:to>
      <xdr:col>13</xdr:col>
      <xdr:colOff>247650</xdr:colOff>
      <xdr:row>57</xdr:row>
      <xdr:rowOff>95250</xdr:rowOff>
    </xdr:to>
    <xdr:sp macro="" textlink="$R$12">
      <xdr:nvSpPr>
        <xdr:cNvPr id="25608" name="Text Box 8"/>
        <xdr:cNvSpPr txBox="1">
          <a:spLocks noChangeArrowheads="1" noTextEdit="1"/>
        </xdr:cNvSpPr>
      </xdr:nvSpPr>
      <xdr:spPr bwMode="auto">
        <a:xfrm>
          <a:off x="4648200" y="9403007"/>
          <a:ext cx="1504950" cy="2839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92C5F492-B212-436E-ADF6-4A5F006E3E14}" type="TxLink">
            <a:rPr lang="en-US" sz="14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R-FDB 8776 - 14</a:t>
          </a:fld>
          <a:endParaRPr lang="en-SG" sz="16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7</xdr:col>
      <xdr:colOff>57150</xdr:colOff>
      <xdr:row>48</xdr:row>
      <xdr:rowOff>9525</xdr:rowOff>
    </xdr:from>
    <xdr:to>
      <xdr:col>13</xdr:col>
      <xdr:colOff>409575</xdr:colOff>
      <xdr:row>52</xdr:row>
      <xdr:rowOff>76201</xdr:rowOff>
    </xdr:to>
    <xdr:pic>
      <xdr:nvPicPr>
        <xdr:cNvPr id="25763" name="Picture 16" descr="IP H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6675" y="7715250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38100</xdr:colOff>
      <xdr:row>8</xdr:row>
      <xdr:rowOff>156481</xdr:rowOff>
    </xdr:from>
    <xdr:to>
      <xdr:col>11</xdr:col>
      <xdr:colOff>314325</xdr:colOff>
      <xdr:row>45</xdr:row>
      <xdr:rowOff>146957</xdr:rowOff>
    </xdr:to>
    <xdr:grpSp>
      <xdr:nvGrpSpPr>
        <xdr:cNvPr id="4" name="Group 3"/>
        <xdr:cNvGrpSpPr/>
      </xdr:nvGrpSpPr>
      <xdr:grpSpPr>
        <a:xfrm>
          <a:off x="461433" y="1426481"/>
          <a:ext cx="4837642" cy="5959476"/>
          <a:chOff x="552450" y="1009650"/>
          <a:chExt cx="4848225" cy="6019800"/>
        </a:xfrm>
      </xdr:grpSpPr>
      <xdr:grpSp>
        <xdr:nvGrpSpPr>
          <xdr:cNvPr id="3" name="Group 2"/>
          <xdr:cNvGrpSpPr/>
        </xdr:nvGrpSpPr>
        <xdr:grpSpPr>
          <a:xfrm>
            <a:off x="552450" y="1009650"/>
            <a:ext cx="4848225" cy="6019800"/>
            <a:chOff x="552450" y="1009650"/>
            <a:chExt cx="4848225" cy="6019800"/>
          </a:xfrm>
        </xdr:grpSpPr>
        <xdr:pic>
          <xdr:nvPicPr>
            <xdr:cNvPr id="25775" name="Picture 37" descr="2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52450" y="1009650"/>
              <a:ext cx="4848225" cy="60198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25776" name="Rectangle 31"/>
            <xdr:cNvSpPr>
              <a:spLocks noChangeArrowheads="1"/>
            </xdr:cNvSpPr>
          </xdr:nvSpPr>
          <xdr:spPr bwMode="auto">
            <a:xfrm>
              <a:off x="885825" y="3980962"/>
              <a:ext cx="1371600" cy="24117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</xdr:grpSp>
      <xdr:sp macro="" textlink="Sheet1!I13">
        <xdr:nvSpPr>
          <xdr:cNvPr id="25614" name="Text Box 14"/>
          <xdr:cNvSpPr txBox="1">
            <a:spLocks noChangeArrowheads="1" noTextEdit="1"/>
          </xdr:cNvSpPr>
        </xdr:nvSpPr>
        <xdr:spPr bwMode="auto">
          <a:xfrm>
            <a:off x="3476625" y="1106121"/>
            <a:ext cx="619125" cy="2508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101028F3-56D3-4E81-A46A-799C7931CB29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46.83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12">
        <xdr:nvSpPr>
          <xdr:cNvPr id="25625" name="Text Box 25"/>
          <xdr:cNvSpPr txBox="1">
            <a:spLocks noChangeArrowheads="1" noTextEdit="1"/>
          </xdr:cNvSpPr>
        </xdr:nvSpPr>
        <xdr:spPr bwMode="auto">
          <a:xfrm>
            <a:off x="942975" y="3885101"/>
            <a:ext cx="1295400" cy="2894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36576" bIns="0" anchor="t" upright="1"/>
          <a:lstStyle/>
          <a:p>
            <a:pPr algn="r" rtl="0">
              <a:defRPr sz="1000"/>
            </a:pPr>
            <a:fld id="{9F67B7FC-02AA-477D-8F19-483D0483EF42}" type="TxLink">
              <a:rPr lang="en-US" sz="1200" b="1" i="0" u="sng" strike="noStrike" baseline="0">
                <a:solidFill>
                  <a:srgbClr val="0033CC"/>
                </a:solidFill>
                <a:latin typeface="Times New Roman"/>
                <a:cs typeface="Times New Roman"/>
              </a:rPr>
              <a:pPr algn="r" rtl="0">
                <a:defRPr sz="1000"/>
              </a:pPr>
              <a:t>R-FDB 8776 - 14</a:t>
            </a:fld>
            <a:endParaRPr lang="en-SG" sz="1100" b="0" i="0" u="sng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I12">
        <xdr:nvSpPr>
          <xdr:cNvPr id="25634" name="Text Box 34"/>
          <xdr:cNvSpPr txBox="1">
            <a:spLocks noChangeArrowheads="1" noTextEdit="1"/>
          </xdr:cNvSpPr>
        </xdr:nvSpPr>
        <xdr:spPr bwMode="auto">
          <a:xfrm>
            <a:off x="3895725" y="1520947"/>
            <a:ext cx="590550" cy="27976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B279B4D7-F3C0-4B23-92B4-03FA00232AF0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41.17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217714</xdr:colOff>
      <xdr:row>1</xdr:row>
      <xdr:rowOff>13607</xdr:rowOff>
    </xdr:from>
    <xdr:to>
      <xdr:col>13</xdr:col>
      <xdr:colOff>252598</xdr:colOff>
      <xdr:row>6</xdr:row>
      <xdr:rowOff>50718</xdr:rowOff>
    </xdr:to>
    <xdr:sp macro="" textlink="$P$2">
      <xdr:nvSpPr>
        <xdr:cNvPr id="12" name="WordArt 14"/>
        <xdr:cNvSpPr>
          <a:spLocks noChangeArrowheads="1" noChangeShapeType="1" noTextEdit="1"/>
        </xdr:cNvSpPr>
      </xdr:nvSpPr>
      <xdr:spPr bwMode="auto">
        <a:xfrm>
          <a:off x="217714" y="176893"/>
          <a:ext cx="5953991" cy="839932"/>
        </a:xfrm>
        <a:prstGeom prst="rect">
          <a:avLst/>
        </a:prstGeom>
        <a:noFill/>
      </xdr:spPr>
      <xdr:txBody>
        <a:bodyPr vertOverflow="clip" wrap="none" lIns="18288" tIns="0" rIns="0" bIns="0" fromWordArt="1" anchor="t">
          <a:prstTxWarp prst="textSlantUp">
            <a:avLst>
              <a:gd name="adj" fmla="val 32056"/>
            </a:avLst>
          </a:prstTxWarp>
        </a:bodyPr>
        <a:lstStyle/>
        <a:p>
          <a:pPr algn="ctr" rtl="0">
            <a:buNone/>
          </a:pPr>
          <a:fld id="{04AD1EA1-5183-4911-B5CF-B77DB0D8B355}" type="TxLink">
            <a:rPr lang="en-US" sz="1000" b="0" i="0" u="none" strike="noStrike" kern="1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/>
              <a:cs typeface="Arial"/>
            </a:rPr>
            <a:pPr algn="ctr" rtl="0">
              <a:buNone/>
            </a:pPr>
            <a:t>TEMPLATE FOR OTHER DESIGN</a:t>
          </a:fld>
          <a:endParaRPr lang="en-US" sz="3600" b="0" kern="1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855345</xdr:colOff>
      <xdr:row>55</xdr:row>
      <xdr:rowOff>83820</xdr:rowOff>
    </xdr:from>
    <xdr:to>
      <xdr:col>7</xdr:col>
      <xdr:colOff>83820</xdr:colOff>
      <xdr:row>57</xdr:row>
      <xdr:rowOff>47625</xdr:rowOff>
    </xdr:to>
    <xdr:sp macro="" textlink="$R$11">
      <xdr:nvSpPr>
        <xdr:cNvPr id="26628" name="Text Box 4"/>
        <xdr:cNvSpPr txBox="1">
          <a:spLocks noChangeArrowheads="1" noTextEdit="1"/>
        </xdr:cNvSpPr>
      </xdr:nvSpPr>
      <xdr:spPr bwMode="auto">
        <a:xfrm>
          <a:off x="2465070" y="9237345"/>
          <a:ext cx="1438275" cy="3924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5B1A889A-533E-494F-881D-7319EB727BC8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NAH 0609 A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10</xdr:col>
      <xdr:colOff>104775</xdr:colOff>
      <xdr:row>56</xdr:row>
      <xdr:rowOff>68507</xdr:rowOff>
    </xdr:from>
    <xdr:to>
      <xdr:col>13</xdr:col>
      <xdr:colOff>142875</xdr:colOff>
      <xdr:row>58</xdr:row>
      <xdr:rowOff>28575</xdr:rowOff>
    </xdr:to>
    <xdr:sp macro="" textlink="$R$12">
      <xdr:nvSpPr>
        <xdr:cNvPr id="26631" name="Text Box 7"/>
        <xdr:cNvSpPr txBox="1">
          <a:spLocks noChangeArrowheads="1" noTextEdit="1"/>
        </xdr:cNvSpPr>
      </xdr:nvSpPr>
      <xdr:spPr bwMode="auto">
        <a:xfrm>
          <a:off x="4638675" y="9412532"/>
          <a:ext cx="1409700" cy="3220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E4F4207F-D4C4-4085-872A-D717E12A3B39}" type="TxLink">
            <a:rPr lang="en-US" sz="14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l" rtl="0">
              <a:defRPr sz="1000"/>
            </a:pPr>
            <a:t>R-FDB 8776 - 14</a:t>
          </a:fld>
          <a:endParaRPr lang="en-SG" sz="16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17</xdr:col>
      <xdr:colOff>106680</xdr:colOff>
      <xdr:row>26</xdr:row>
      <xdr:rowOff>152400</xdr:rowOff>
    </xdr:from>
    <xdr:to>
      <xdr:col>17</xdr:col>
      <xdr:colOff>371541</xdr:colOff>
      <xdr:row>29</xdr:row>
      <xdr:rowOff>106680</xdr:rowOff>
    </xdr:to>
    <xdr:sp macro="" textlink="R17">
      <xdr:nvSpPr>
        <xdr:cNvPr id="26635" name="Text Box 11"/>
        <xdr:cNvSpPr txBox="1">
          <a:spLocks noChangeArrowheads="1" noTextEdit="1"/>
        </xdr:cNvSpPr>
      </xdr:nvSpPr>
      <xdr:spPr bwMode="auto">
        <a:xfrm>
          <a:off x="8526780" y="4312920"/>
          <a:ext cx="27432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18288" tIns="0" rIns="0" bIns="0" anchor="ctr" upright="1"/>
        <a:lstStyle/>
        <a:p>
          <a:fld id="{C8E7B3D5-857A-4497-9EBD-A73C939AE896}" type="TxLink">
            <a:rPr lang="en-US"/>
            <a:pPr/>
            <a:t> </a:t>
          </a:fld>
          <a:endParaRPr lang="en-US"/>
        </a:p>
      </xdr:txBody>
    </xdr:sp>
    <xdr:clientData/>
  </xdr:twoCellAnchor>
  <xdr:twoCellAnchor>
    <xdr:from>
      <xdr:col>15</xdr:col>
      <xdr:colOff>401955</xdr:colOff>
      <xdr:row>27</xdr:row>
      <xdr:rowOff>0</xdr:rowOff>
    </xdr:from>
    <xdr:to>
      <xdr:col>16</xdr:col>
      <xdr:colOff>68580</xdr:colOff>
      <xdr:row>29</xdr:row>
      <xdr:rowOff>137160</xdr:rowOff>
    </xdr:to>
    <xdr:sp macro="" textlink="R18">
      <xdr:nvSpPr>
        <xdr:cNvPr id="26636" name="Text Box 12"/>
        <xdr:cNvSpPr txBox="1">
          <a:spLocks noChangeArrowheads="1" noTextEdit="1"/>
        </xdr:cNvSpPr>
      </xdr:nvSpPr>
      <xdr:spPr bwMode="auto">
        <a:xfrm>
          <a:off x="7581900" y="4320540"/>
          <a:ext cx="28194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18288" tIns="0" rIns="0" bIns="0" anchor="ctr" upright="1"/>
        <a:lstStyle/>
        <a:p>
          <a:fld id="{08A68839-FA07-46D8-A714-457A33E260BA}" type="TxLink">
            <a:rPr lang="en-US"/>
            <a:pPr/>
            <a:t> </a:t>
          </a:fld>
          <a:endParaRPr lang="en-US"/>
        </a:p>
      </xdr:txBody>
    </xdr:sp>
    <xdr:clientData/>
  </xdr:twoCellAnchor>
  <xdr:twoCellAnchor editAs="oneCell">
    <xdr:from>
      <xdr:col>7</xdr:col>
      <xdr:colOff>57150</xdr:colOff>
      <xdr:row>48</xdr:row>
      <xdr:rowOff>9525</xdr:rowOff>
    </xdr:from>
    <xdr:to>
      <xdr:col>13</xdr:col>
      <xdr:colOff>409575</xdr:colOff>
      <xdr:row>52</xdr:row>
      <xdr:rowOff>76200</xdr:rowOff>
    </xdr:to>
    <xdr:pic>
      <xdr:nvPicPr>
        <xdr:cNvPr id="26790" name="Picture 13" descr="IP H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6675" y="7781925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466725</xdr:colOff>
      <xdr:row>28</xdr:row>
      <xdr:rowOff>9060</xdr:rowOff>
    </xdr:from>
    <xdr:to>
      <xdr:col>3</xdr:col>
      <xdr:colOff>0</xdr:colOff>
      <xdr:row>28</xdr:row>
      <xdr:rowOff>9060</xdr:rowOff>
    </xdr:to>
    <xdr:sp macro="" textlink="">
      <xdr:nvSpPr>
        <xdr:cNvPr id="26800" name="Line 44"/>
        <xdr:cNvSpPr>
          <a:spLocks noChangeShapeType="1"/>
        </xdr:cNvSpPr>
      </xdr:nvSpPr>
      <xdr:spPr bwMode="auto">
        <a:xfrm>
          <a:off x="1333500" y="4542960"/>
          <a:ext cx="2762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447675</xdr:colOff>
      <xdr:row>28</xdr:row>
      <xdr:rowOff>0</xdr:rowOff>
    </xdr:from>
    <xdr:to>
      <xdr:col>4</xdr:col>
      <xdr:colOff>47625</xdr:colOff>
      <xdr:row>28</xdr:row>
      <xdr:rowOff>76200</xdr:rowOff>
    </xdr:to>
    <xdr:sp macro="" textlink="">
      <xdr:nvSpPr>
        <xdr:cNvPr id="26795" name="Text Box 47"/>
        <xdr:cNvSpPr txBox="1">
          <a:spLocks noChangeArrowheads="1"/>
        </xdr:cNvSpPr>
      </xdr:nvSpPr>
      <xdr:spPr bwMode="auto">
        <a:xfrm>
          <a:off x="1314450" y="4533900"/>
          <a:ext cx="1333500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85725</xdr:colOff>
      <xdr:row>6</xdr:row>
      <xdr:rowOff>85725</xdr:rowOff>
    </xdr:from>
    <xdr:to>
      <xdr:col>10</xdr:col>
      <xdr:colOff>257175</xdr:colOff>
      <xdr:row>43</xdr:row>
      <xdr:rowOff>0</xdr:rowOff>
    </xdr:to>
    <xdr:grpSp>
      <xdr:nvGrpSpPr>
        <xdr:cNvPr id="4" name="Group 3"/>
        <xdr:cNvGrpSpPr/>
      </xdr:nvGrpSpPr>
      <xdr:grpSpPr>
        <a:xfrm>
          <a:off x="952500" y="1057275"/>
          <a:ext cx="3838575" cy="5905500"/>
          <a:chOff x="952500" y="1057275"/>
          <a:chExt cx="3838575" cy="5905500"/>
        </a:xfrm>
      </xdr:grpSpPr>
      <xdr:grpSp>
        <xdr:nvGrpSpPr>
          <xdr:cNvPr id="3" name="Group 2"/>
          <xdr:cNvGrpSpPr/>
        </xdr:nvGrpSpPr>
        <xdr:grpSpPr>
          <a:xfrm>
            <a:off x="952500" y="1057275"/>
            <a:ext cx="3838575" cy="5905500"/>
            <a:chOff x="952500" y="1057275"/>
            <a:chExt cx="3838575" cy="5905500"/>
          </a:xfrm>
        </xdr:grpSpPr>
        <xdr:pic>
          <xdr:nvPicPr>
            <xdr:cNvPr id="26796" name="Picture 42" descr="20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52500" y="1057275"/>
              <a:ext cx="3838575" cy="5905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2" name="Rectangle 1"/>
            <xdr:cNvSpPr/>
          </xdr:nvSpPr>
          <xdr:spPr bwMode="auto">
            <a:xfrm>
              <a:off x="1390650" y="4343400"/>
              <a:ext cx="1238250" cy="28575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xmlns:mc="http://schemas.openxmlformats.org/markup-compatibility/2006" val="000000" mc:Ignorable="a14" a14:legacySpreadsheetColorIndex="64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lang="en-US" sz="1100"/>
            </a:p>
          </xdr:txBody>
        </xdr:sp>
      </xdr:grpSp>
      <xdr:sp macro="" textlink="Sheet1!I13">
        <xdr:nvSpPr>
          <xdr:cNvPr id="26645" name="Text Box 21"/>
          <xdr:cNvSpPr txBox="1">
            <a:spLocks noChangeArrowheads="1" noTextEdit="1"/>
          </xdr:cNvSpPr>
        </xdr:nvSpPr>
        <xdr:spPr bwMode="auto">
          <a:xfrm>
            <a:off x="3581400" y="1153299"/>
            <a:ext cx="552450" cy="24966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5D57ABAD-00F1-4E5B-AA20-A07169B18CF2}" type="TxLink">
              <a:rPr lang="en-SG" sz="1400" b="1" i="0" u="none" strike="noStrike" baseline="0">
                <a:solidFill>
                  <a:srgbClr val="0000FF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l" rtl="0">
                <a:defRPr sz="1000"/>
              </a:pPr>
              <a:t>46.83</a:t>
            </a:fld>
            <a:endParaRPr lang="en-SG" sz="14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12">
        <xdr:nvSpPr>
          <xdr:cNvPr id="26660" name="Text Box 36"/>
          <xdr:cNvSpPr txBox="1">
            <a:spLocks noChangeArrowheads="1" noTextEdit="1"/>
          </xdr:cNvSpPr>
        </xdr:nvSpPr>
        <xdr:spPr bwMode="auto">
          <a:xfrm>
            <a:off x="1257300" y="4236379"/>
            <a:ext cx="1333500" cy="2976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36576" bIns="0" anchor="t" upright="1"/>
          <a:lstStyle/>
          <a:p>
            <a:pPr algn="r" rtl="0">
              <a:defRPr sz="1000"/>
            </a:pPr>
            <a:fld id="{5FB9CA42-7658-4FE4-B48C-A32EBCA1CFF7}" type="TxLink">
              <a:rPr lang="en-US" sz="1200" b="1" i="0" u="sng" strike="noStrike" baseline="0">
                <a:solidFill>
                  <a:srgbClr val="0033CC"/>
                </a:solidFill>
                <a:latin typeface="Times New Roman"/>
                <a:cs typeface="Times New Roman"/>
              </a:rPr>
              <a:pPr algn="r" rtl="0">
                <a:defRPr sz="1000"/>
              </a:pPr>
              <a:t>R-FDB 8776 - 14</a:t>
            </a:fld>
            <a:endParaRPr lang="en-SG" sz="1100" b="0" i="0" u="sng" strike="noStrike" baseline="0">
              <a:solidFill>
                <a:srgbClr val="0000FF"/>
              </a:solidFill>
              <a:latin typeface="Comic Sans MS"/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1447800</xdr:colOff>
      <xdr:row>82</xdr:row>
      <xdr:rowOff>38100</xdr:rowOff>
    </xdr:from>
    <xdr:to>
      <xdr:col>11</xdr:col>
      <xdr:colOff>9525</xdr:colOff>
      <xdr:row>84</xdr:row>
      <xdr:rowOff>85725</xdr:rowOff>
    </xdr:to>
    <xdr:grpSp>
      <xdr:nvGrpSpPr>
        <xdr:cNvPr id="31971" name="Group 1"/>
        <xdr:cNvGrpSpPr>
          <a:grpSpLocks/>
        </xdr:cNvGrpSpPr>
      </xdr:nvGrpSpPr>
      <xdr:grpSpPr bwMode="auto">
        <a:xfrm>
          <a:off x="2600325" y="13620750"/>
          <a:ext cx="2400300" cy="371475"/>
          <a:chOff x="919" y="1110"/>
          <a:chExt cx="293" cy="40"/>
        </a:xfrm>
      </xdr:grpSpPr>
      <xdr:pic>
        <xdr:nvPicPr>
          <xdr:cNvPr id="32005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9" y="1110"/>
            <a:ext cx="88" cy="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31747" name="Text Box 3"/>
          <xdr:cNvSpPr txBox="1">
            <a:spLocks noChangeArrowheads="1"/>
          </xdr:cNvSpPr>
        </xdr:nvSpPr>
        <xdr:spPr bwMode="auto">
          <a:xfrm>
            <a:off x="993" y="1116"/>
            <a:ext cx="219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SG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NOK ASIA CO. PTE. LTD.</a:t>
            </a:r>
          </a:p>
        </xdr:txBody>
      </xdr:sp>
    </xdr:grpSp>
    <xdr:clientData/>
  </xdr:twoCellAnchor>
  <xdr:twoCellAnchor>
    <xdr:from>
      <xdr:col>3</xdr:col>
      <xdr:colOff>855345</xdr:colOff>
      <xdr:row>55</xdr:row>
      <xdr:rowOff>83820</xdr:rowOff>
    </xdr:from>
    <xdr:to>
      <xdr:col>7</xdr:col>
      <xdr:colOff>83820</xdr:colOff>
      <xdr:row>56</xdr:row>
      <xdr:rowOff>182880</xdr:rowOff>
    </xdr:to>
    <xdr:sp macro="" textlink="Sheet1!$F$3">
      <xdr:nvSpPr>
        <xdr:cNvPr id="31748" name="Text Box 4"/>
        <xdr:cNvSpPr txBox="1">
          <a:spLocks noChangeArrowheads="1" noTextEdit="1"/>
        </xdr:cNvSpPr>
      </xdr:nvSpPr>
      <xdr:spPr bwMode="auto">
        <a:xfrm>
          <a:off x="2537460" y="9144000"/>
          <a:ext cx="1470660" cy="297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1DD6CB24-23CC-4928-9204-816F35676BFA}" type="TxLink">
            <a:rPr lang="en-SG" sz="1400" b="0" i="0" u="none" strike="noStrike" baseline="0">
              <a:solidFill>
                <a:srgbClr val="0000FF"/>
              </a:solidFill>
              <a:latin typeface="Comic Sans MS"/>
            </a:rPr>
            <a:pPr algn="l" rtl="0">
              <a:defRPr sz="1000"/>
            </a:pPr>
            <a:t>NAH 0609 A</a:t>
          </a:fld>
          <a:endParaRPr lang="en-SG" sz="14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9</xdr:col>
      <xdr:colOff>123825</xdr:colOff>
      <xdr:row>56</xdr:row>
      <xdr:rowOff>57150</xdr:rowOff>
    </xdr:from>
    <xdr:to>
      <xdr:col>14</xdr:col>
      <xdr:colOff>161925</xdr:colOff>
      <xdr:row>57</xdr:row>
      <xdr:rowOff>114300</xdr:rowOff>
    </xdr:to>
    <xdr:grpSp>
      <xdr:nvGrpSpPr>
        <xdr:cNvPr id="31973" name="Group 5"/>
        <xdr:cNvGrpSpPr>
          <a:grpSpLocks/>
        </xdr:cNvGrpSpPr>
      </xdr:nvGrpSpPr>
      <xdr:grpSpPr bwMode="auto">
        <a:xfrm>
          <a:off x="4505325" y="9401175"/>
          <a:ext cx="2019300" cy="295275"/>
          <a:chOff x="1030" y="391"/>
          <a:chExt cx="191" cy="26"/>
        </a:xfrm>
      </xdr:grpSpPr>
      <xdr:sp macro="" textlink="Sheet1!$D$16">
        <xdr:nvSpPr>
          <xdr:cNvPr id="31750" name="Text Box 6"/>
          <xdr:cNvSpPr txBox="1">
            <a:spLocks noChangeArrowheads="1" noTextEdit="1"/>
          </xdr:cNvSpPr>
        </xdr:nvSpPr>
        <xdr:spPr bwMode="auto">
          <a:xfrm>
            <a:off x="1103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BB255539-EA95-4926-82C8-DA23313925BE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8776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O$1">
        <xdr:nvSpPr>
          <xdr:cNvPr id="31751" name="Text Box 7"/>
          <xdr:cNvSpPr txBox="1">
            <a:spLocks noChangeArrowheads="1" noTextEdit="1"/>
          </xdr:cNvSpPr>
        </xdr:nvSpPr>
        <xdr:spPr bwMode="auto">
          <a:xfrm>
            <a:off x="1030" y="391"/>
            <a:ext cx="33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4B6A5B99-F105-43B5-B777-6FD8B4162CF9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C$16">
        <xdr:nvSpPr>
          <xdr:cNvPr id="31752" name="Text Box 8"/>
          <xdr:cNvSpPr txBox="1">
            <a:spLocks noChangeArrowheads="1" noTextEdit="1"/>
          </xdr:cNvSpPr>
        </xdr:nvSpPr>
        <xdr:spPr bwMode="auto">
          <a:xfrm>
            <a:off x="1061" y="392"/>
            <a:ext cx="43" cy="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755C971F-B6C7-4373-BC3C-3D1238313AF5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R-FDB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">
        <xdr:nvSpPr>
          <xdr:cNvPr id="31753" name="Text Box 9"/>
          <xdr:cNvSpPr txBox="1">
            <a:spLocks noChangeArrowheads="1"/>
          </xdr:cNvSpPr>
        </xdr:nvSpPr>
        <xdr:spPr bwMode="auto">
          <a:xfrm>
            <a:off x="1154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r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t>-14</a:t>
            </a:r>
          </a:p>
        </xdr:txBody>
      </xdr:sp>
    </xdr:grpSp>
    <xdr:clientData/>
  </xdr:twoCellAnchor>
  <xdr:twoCellAnchor editAs="oneCell">
    <xdr:from>
      <xdr:col>7</xdr:col>
      <xdr:colOff>57150</xdr:colOff>
      <xdr:row>48</xdr:row>
      <xdr:rowOff>9525</xdr:rowOff>
    </xdr:from>
    <xdr:to>
      <xdr:col>13</xdr:col>
      <xdr:colOff>409575</xdr:colOff>
      <xdr:row>52</xdr:row>
      <xdr:rowOff>76200</xdr:rowOff>
    </xdr:to>
    <xdr:pic>
      <xdr:nvPicPr>
        <xdr:cNvPr id="31974" name="Picture 10" descr="IP H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6675" y="7781925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142875</xdr:colOff>
      <xdr:row>3</xdr:row>
      <xdr:rowOff>152400</xdr:rowOff>
    </xdr:from>
    <xdr:to>
      <xdr:col>13</xdr:col>
      <xdr:colOff>276225</xdr:colOff>
      <xdr:row>44</xdr:row>
      <xdr:rowOff>123825</xdr:rowOff>
    </xdr:to>
    <xdr:grpSp>
      <xdr:nvGrpSpPr>
        <xdr:cNvPr id="31975" name="Group 46"/>
        <xdr:cNvGrpSpPr>
          <a:grpSpLocks/>
        </xdr:cNvGrpSpPr>
      </xdr:nvGrpSpPr>
      <xdr:grpSpPr bwMode="auto">
        <a:xfrm>
          <a:off x="142875" y="638175"/>
          <a:ext cx="6038850" cy="6610350"/>
          <a:chOff x="15" y="67"/>
          <a:chExt cx="634" cy="694"/>
        </a:xfrm>
      </xdr:grpSpPr>
      <xdr:grpSp>
        <xdr:nvGrpSpPr>
          <xdr:cNvPr id="31976" name="Group 40"/>
          <xdr:cNvGrpSpPr>
            <a:grpSpLocks/>
          </xdr:cNvGrpSpPr>
        </xdr:nvGrpSpPr>
        <xdr:grpSpPr bwMode="auto">
          <a:xfrm>
            <a:off x="15" y="67"/>
            <a:ext cx="634" cy="694"/>
            <a:chOff x="15" y="67"/>
            <a:chExt cx="634" cy="694"/>
          </a:xfrm>
        </xdr:grpSpPr>
        <xdr:grpSp>
          <xdr:nvGrpSpPr>
            <xdr:cNvPr id="31982" name="Group 38"/>
            <xdr:cNvGrpSpPr>
              <a:grpSpLocks/>
            </xdr:cNvGrpSpPr>
          </xdr:nvGrpSpPr>
          <xdr:grpSpPr bwMode="auto">
            <a:xfrm>
              <a:off x="15" y="67"/>
              <a:ext cx="634" cy="694"/>
              <a:chOff x="15" y="67"/>
              <a:chExt cx="634" cy="694"/>
            </a:xfrm>
          </xdr:grpSpPr>
          <xdr:pic>
            <xdr:nvPicPr>
              <xdr:cNvPr id="31984" name="Picture 26" descr="21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5" y="67"/>
                <a:ext cx="634" cy="69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R17">
            <xdr:nvSpPr>
              <xdr:cNvPr id="31757" name="Text Box 13"/>
              <xdr:cNvSpPr txBox="1">
                <a:spLocks noChangeArrowheads="1" noTextEdit="1"/>
              </xdr:cNvSpPr>
            </xdr:nvSpPr>
            <xdr:spPr bwMode="auto">
              <a:xfrm>
                <a:off x="258" y="397"/>
                <a:ext cx="28" cy="4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vert="vert270" wrap="square" lIns="36576" tIns="36576" rIns="0" bIns="36576" anchor="t" upright="1"/>
              <a:lstStyle/>
              <a:p>
                <a:pPr algn="ctr" rtl="0">
                  <a:defRPr sz="1000"/>
                </a:pPr>
                <a:fld id="{453D441A-82F4-4688-A394-81444F828102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ctr" rtl="0">
                    <a:defRPr sz="1000"/>
                  </a:pPr>
                  <a:t>17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R18">
            <xdr:nvSpPr>
              <xdr:cNvPr id="31758" name="Text Box 14"/>
              <xdr:cNvSpPr txBox="1">
                <a:spLocks noChangeArrowheads="1" noTextEdit="1"/>
              </xdr:cNvSpPr>
            </xdr:nvSpPr>
            <xdr:spPr bwMode="auto">
              <a:xfrm>
                <a:off x="306" y="394"/>
                <a:ext cx="29" cy="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vert="vert270" wrap="square" lIns="36576" tIns="36576" rIns="0" bIns="36576" anchor="t" upright="1"/>
              <a:lstStyle/>
              <a:p>
                <a:pPr algn="ctr" rtl="0">
                  <a:defRPr sz="1000"/>
                </a:pPr>
                <a:fld id="{2F0E266C-6AE2-4FDB-BC4C-9A55F2B1D0DF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ctr" rtl="0">
                    <a:defRPr sz="1000"/>
                  </a:pPr>
                  <a:t>16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$D$16">
            <xdr:nvSpPr>
              <xdr:cNvPr id="31759" name="Text Box 15"/>
              <xdr:cNvSpPr txBox="1">
                <a:spLocks noChangeArrowheads="1" noTextEdit="1"/>
              </xdr:cNvSpPr>
            </xdr:nvSpPr>
            <xdr:spPr bwMode="auto">
              <a:xfrm>
                <a:off x="275" y="547"/>
                <a:ext cx="64" cy="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36576" bIns="0" anchor="t" upright="1"/>
              <a:lstStyle/>
              <a:p>
                <a:pPr algn="ctr" rtl="0">
                  <a:defRPr sz="1000"/>
                </a:pPr>
                <a:fld id="{15DDCFB1-70BA-4973-B39D-54DAFC9B4E9B}" type="TxLink">
                  <a:rPr lang="en-SG" sz="10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ctr" rtl="0">
                    <a:defRPr sz="1000"/>
                  </a:pPr>
                  <a:t>8776</a:t>
                </a:fld>
                <a:endParaRPr lang="en-SG" sz="10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$O$1">
            <xdr:nvSpPr>
              <xdr:cNvPr id="31760" name="Text Box 16"/>
              <xdr:cNvSpPr txBox="1">
                <a:spLocks noChangeArrowheads="1" noTextEdit="1"/>
              </xdr:cNvSpPr>
            </xdr:nvSpPr>
            <xdr:spPr bwMode="auto">
              <a:xfrm>
                <a:off x="232" y="546"/>
                <a:ext cx="21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0" anchor="t" upright="1"/>
              <a:lstStyle/>
              <a:p>
                <a:pPr algn="l" rtl="0">
                  <a:defRPr sz="1000"/>
                </a:pPr>
                <a:fld id="{D902CC1A-E77A-4E17-8FF6-336646225593}" type="TxLink">
                  <a:rPr lang="en-SG" sz="10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R-</a:t>
                </a:fld>
                <a:endParaRPr lang="en-SG" sz="10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I13">
            <xdr:nvSpPr>
              <xdr:cNvPr id="31761" name="Text Box 17"/>
              <xdr:cNvSpPr txBox="1">
                <a:spLocks noChangeArrowheads="1" noTextEdit="1"/>
              </xdr:cNvSpPr>
            </xdr:nvSpPr>
            <xdr:spPr bwMode="auto">
              <a:xfrm>
                <a:off x="492" y="267"/>
                <a:ext cx="57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fld id="{C308103F-E1A7-4C57-8A39-02835DCD70ED}" type="TxLink">
                  <a:rPr lang="en-SG" sz="10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46.83</a:t>
                </a:fld>
                <a:endParaRPr lang="en-SG" sz="10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I12">
            <xdr:nvSpPr>
              <xdr:cNvPr id="31762" name="Text Box 18"/>
              <xdr:cNvSpPr txBox="1">
                <a:spLocks noChangeArrowheads="1" noTextEdit="1"/>
              </xdr:cNvSpPr>
            </xdr:nvSpPr>
            <xdr:spPr bwMode="auto">
              <a:xfrm>
                <a:off x="348" y="160"/>
                <a:ext cx="53" cy="2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fld id="{FB3615F2-9D36-40CE-B412-BA60C1975C92}" type="TxLink">
                  <a:rPr lang="en-SG" sz="10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41.17</a:t>
                </a:fld>
                <a:endParaRPr lang="en-SG" sz="10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$I$15">
            <xdr:nvSpPr>
              <xdr:cNvPr id="31763" name="Text Box 19"/>
              <xdr:cNvSpPr txBox="1">
                <a:spLocks noChangeArrowheads="1" noTextEdit="1"/>
              </xdr:cNvSpPr>
            </xdr:nvSpPr>
            <xdr:spPr bwMode="auto">
              <a:xfrm>
                <a:off x="477" y="224"/>
                <a:ext cx="62" cy="2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fld id="{E8074EC1-E89D-453D-9058-5E57D0A7A046}" type="TxLink">
                  <a:rPr lang="en-SG" sz="10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51</a:t>
                </a:fld>
                <a:endParaRPr lang="en-SG" sz="10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I12">
            <xdr:nvSpPr>
              <xdr:cNvPr id="31764" name="Text Box 20"/>
              <xdr:cNvSpPr txBox="1">
                <a:spLocks noChangeArrowheads="1" noTextEdit="1"/>
              </xdr:cNvSpPr>
            </xdr:nvSpPr>
            <xdr:spPr bwMode="auto">
              <a:xfrm>
                <a:off x="515" y="310"/>
                <a:ext cx="54" cy="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fld id="{27A854F9-C94A-4B2F-A927-9512612DD14F}" type="TxLink">
                  <a:rPr lang="en-SG" sz="10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41.17</a:t>
                </a:fld>
                <a:endParaRPr lang="en-SG" sz="10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I13">
            <xdr:nvSpPr>
              <xdr:cNvPr id="31765" name="Text Box 21"/>
              <xdr:cNvSpPr txBox="1">
                <a:spLocks noChangeArrowheads="1" noTextEdit="1"/>
              </xdr:cNvSpPr>
            </xdr:nvSpPr>
            <xdr:spPr bwMode="auto">
              <a:xfrm>
                <a:off x="265" y="73"/>
                <a:ext cx="56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fld id="{411BF153-1BA7-4DCD-9441-C2B29CEE634C}" type="TxLink">
                  <a:rPr lang="en-SG" sz="10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46.83</a:t>
                </a:fld>
                <a:endParaRPr lang="en-SG" sz="10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$R$29" fLocksText="0">
            <xdr:nvSpPr>
              <xdr:cNvPr id="31766" name="Text Box 22"/>
              <xdr:cNvSpPr txBox="1">
                <a:spLocks noChangeArrowheads="1" noTextEdit="1"/>
              </xdr:cNvSpPr>
            </xdr:nvSpPr>
            <xdr:spPr bwMode="auto">
              <a:xfrm>
                <a:off x="285" y="103"/>
                <a:ext cx="61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fld id="{75C6D840-4F11-4862-B900-EF0E696E74F0}" type="TxLink">
                  <a:rPr lang="en-SG" sz="1100" b="0" i="0" u="none" strike="noStrike" baseline="0">
                    <a:solidFill>
                      <a:srgbClr val="339966"/>
                    </a:solidFill>
                    <a:latin typeface="Comic Sans MS"/>
                  </a:rPr>
                  <a:pPr algn="ctr" rtl="0">
                    <a:defRPr sz="1000"/>
                  </a:pPr>
                  <a:t>??</a:t>
                </a:fld>
                <a:endParaRPr lang="en-SG" sz="1100" b="0" i="0" u="none" strike="noStrike" baseline="0">
                  <a:solidFill>
                    <a:srgbClr val="339966"/>
                  </a:solidFill>
                  <a:latin typeface="Comic Sans MS"/>
                </a:endParaRPr>
              </a:p>
            </xdr:txBody>
          </xdr:sp>
          <xdr:sp macro="" textlink="$R$30" fLocksText="0">
            <xdr:nvSpPr>
              <xdr:cNvPr id="31767" name="Text Box 23"/>
              <xdr:cNvSpPr txBox="1">
                <a:spLocks noChangeArrowheads="1" noTextEdit="1"/>
              </xdr:cNvSpPr>
            </xdr:nvSpPr>
            <xdr:spPr bwMode="auto">
              <a:xfrm>
                <a:off x="314" y="131"/>
                <a:ext cx="58" cy="2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fld id="{72AD4256-DEC1-4989-944F-50711224EE21}" type="TxLink">
                  <a:rPr lang="en-SG" sz="1100" b="0" i="0" u="none" strike="noStrike" baseline="0">
                    <a:solidFill>
                      <a:srgbClr val="339966"/>
                    </a:solidFill>
                    <a:latin typeface="Comic Sans MS"/>
                  </a:rPr>
                  <a:pPr algn="ctr" rtl="0">
                    <a:defRPr sz="1000"/>
                  </a:pPr>
                  <a:t>??</a:t>
                </a:fld>
                <a:endParaRPr lang="en-SG" sz="1100" b="0" i="0" u="none" strike="noStrike" baseline="0">
                  <a:solidFill>
                    <a:srgbClr val="339966"/>
                  </a:solidFill>
                  <a:latin typeface="Comic Sans MS"/>
                </a:endParaRPr>
              </a:p>
            </xdr:txBody>
          </xdr:sp>
          <xdr:sp macro="" textlink="Sheet1!C14" fLocksText="0">
            <xdr:nvSpPr>
              <xdr:cNvPr id="31768" name="Text Box 24"/>
              <xdr:cNvSpPr txBox="1">
                <a:spLocks noChangeArrowheads="1" noTextEdit="1"/>
              </xdr:cNvSpPr>
            </xdr:nvSpPr>
            <xdr:spPr bwMode="auto">
              <a:xfrm>
                <a:off x="351" y="379"/>
                <a:ext cx="32" cy="5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vert="vert270" wrap="square" lIns="36576" tIns="36576" rIns="0" bIns="36576" anchor="t" upright="1"/>
              <a:lstStyle/>
              <a:p>
                <a:pPr algn="ctr" rtl="0">
                  <a:defRPr sz="1000"/>
                </a:pPr>
                <a:fld id="{1BA952E1-060E-42CB-8663-1D94245F7D74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ctr" rtl="0">
                    <a:defRPr sz="1000"/>
                  </a:pPr>
                  <a:t>0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C14" fLocksText="0">
            <xdr:nvSpPr>
              <xdr:cNvPr id="31771" name="Text Box 27"/>
              <xdr:cNvSpPr txBox="1">
                <a:spLocks noChangeArrowheads="1" noTextEdit="1"/>
              </xdr:cNvSpPr>
            </xdr:nvSpPr>
            <xdr:spPr bwMode="auto">
              <a:xfrm>
                <a:off x="101" y="260"/>
                <a:ext cx="30" cy="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vert="vert270" wrap="square" lIns="36576" tIns="36576" rIns="0" bIns="36576" anchor="t" upright="1"/>
              <a:lstStyle/>
              <a:p>
                <a:pPr algn="ctr" rtl="0">
                  <a:defRPr sz="1000"/>
                </a:pPr>
                <a:fld id="{E5010737-6CFB-4F9A-B726-EC1652C2A98A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ctr" rtl="0">
                    <a:defRPr sz="1000"/>
                  </a:pPr>
                  <a:t>0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">
            <xdr:nvSpPr>
              <xdr:cNvPr id="31777" name="Text Box 33"/>
              <xdr:cNvSpPr txBox="1">
                <a:spLocks noChangeArrowheads="1"/>
              </xdr:cNvSpPr>
            </xdr:nvSpPr>
            <xdr:spPr bwMode="auto">
              <a:xfrm>
                <a:off x="227" y="98"/>
                <a:ext cx="23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en-SG" sz="1000" b="0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X</a:t>
                </a:r>
              </a:p>
            </xdr:txBody>
          </xdr:sp>
          <xdr:sp macro="" textlink="">
            <xdr:nvSpPr>
              <xdr:cNvPr id="31778" name="Text Box 34"/>
              <xdr:cNvSpPr txBox="1">
                <a:spLocks noChangeArrowheads="1"/>
              </xdr:cNvSpPr>
            </xdr:nvSpPr>
            <xdr:spPr bwMode="auto">
              <a:xfrm>
                <a:off x="253" y="126"/>
                <a:ext cx="24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en-SG" sz="1000" b="0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Y</a:t>
                </a:r>
              </a:p>
            </xdr:txBody>
          </xdr:sp>
          <xdr:sp macro="" textlink="">
            <xdr:nvSpPr>
              <xdr:cNvPr id="31779" name="Text Box 35"/>
              <xdr:cNvSpPr txBox="1">
                <a:spLocks noChangeArrowheads="1"/>
              </xdr:cNvSpPr>
            </xdr:nvSpPr>
            <xdr:spPr bwMode="auto">
              <a:xfrm>
                <a:off x="277" y="152"/>
                <a:ext cx="33" cy="2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en-SG" sz="1000" b="0" i="0" u="none" strike="noStrike" baseline="0">
                    <a:solidFill>
                      <a:srgbClr val="FF0000"/>
                    </a:solidFill>
                    <a:latin typeface="Symbol"/>
                  </a:rPr>
                  <a:t>q</a:t>
                </a:r>
                <a:r>
                  <a:rPr lang="en-SG" sz="1000" b="0" i="0" u="none" strike="noStrike" baseline="0">
                    <a:solidFill>
                      <a:srgbClr val="FF0000"/>
                    </a:solidFill>
                    <a:latin typeface="Comic Sans MS"/>
                  </a:rPr>
                  <a:t> </a:t>
                </a:r>
                <a:r>
                  <a:rPr lang="en-SG" sz="1000" b="0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° </a:t>
                </a:r>
              </a:p>
            </xdr:txBody>
          </xdr:sp>
        </xdr:grpSp>
        <xdr:sp macro="" textlink="">
          <xdr:nvSpPr>
            <xdr:cNvPr id="31983" name="Text Box 39"/>
            <xdr:cNvSpPr txBox="1">
              <a:spLocks noChangeArrowheads="1"/>
            </xdr:cNvSpPr>
          </xdr:nvSpPr>
          <xdr:spPr bwMode="auto">
            <a:xfrm>
              <a:off x="185" y="156"/>
              <a:ext cx="67" cy="35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  <xdr:grpSp>
        <xdr:nvGrpSpPr>
          <xdr:cNvPr id="31977" name="Group 45"/>
          <xdr:cNvGrpSpPr>
            <a:grpSpLocks/>
          </xdr:cNvGrpSpPr>
        </xdr:nvGrpSpPr>
        <xdr:grpSpPr bwMode="auto">
          <a:xfrm>
            <a:off x="187" y="157"/>
            <a:ext cx="72" cy="27"/>
            <a:chOff x="742" y="584"/>
            <a:chExt cx="72" cy="27"/>
          </a:xfrm>
        </xdr:grpSpPr>
        <xdr:sp macro="" textlink="$R$31">
          <xdr:nvSpPr>
            <xdr:cNvPr id="31785" name="Text Box 41"/>
            <xdr:cNvSpPr txBox="1">
              <a:spLocks noChangeArrowheads="1" noTextEdit="1"/>
            </xdr:cNvSpPr>
          </xdr:nvSpPr>
          <xdr:spPr bwMode="auto">
            <a:xfrm>
              <a:off x="742" y="588"/>
              <a:ext cx="34" cy="23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0" tIns="36576" rIns="36576" bIns="0" anchor="t" upright="1"/>
            <a:lstStyle/>
            <a:p>
              <a:pPr algn="r" rtl="0">
                <a:defRPr sz="1000"/>
              </a:pPr>
              <a:fld id="{02C84CFE-ED0E-47C7-8533-5AD187334C23}" type="TxLink">
                <a:rPr lang="en-SG" sz="1100" b="0" i="0" u="none" strike="noStrike" baseline="0">
                  <a:solidFill>
                    <a:srgbClr val="339966"/>
                  </a:solidFill>
                  <a:latin typeface="Comic Sans MS"/>
                </a:rPr>
                <a:pPr algn="r" rtl="0">
                  <a:defRPr sz="1000"/>
                </a:pPr>
                <a:t>??</a:t>
              </a:fld>
              <a:endParaRPr lang="en-SG" sz="1100" b="0" i="0" u="none" strike="noStrike" baseline="0">
                <a:solidFill>
                  <a:srgbClr val="339966"/>
                </a:solidFill>
                <a:latin typeface="Comic Sans MS"/>
              </a:endParaRPr>
            </a:p>
          </xdr:txBody>
        </xdr:sp>
        <xdr:sp macro="" textlink="$R$32">
          <xdr:nvSpPr>
            <xdr:cNvPr id="31786" name="Text Box 42"/>
            <xdr:cNvSpPr txBox="1">
              <a:spLocks noChangeArrowheads="1" noTextEdit="1"/>
            </xdr:cNvSpPr>
          </xdr:nvSpPr>
          <xdr:spPr bwMode="auto">
            <a:xfrm>
              <a:off x="770" y="588"/>
              <a:ext cx="34" cy="23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0" tIns="36576" rIns="36576" bIns="0" anchor="t" upright="1"/>
            <a:lstStyle/>
            <a:p>
              <a:pPr algn="r" rtl="0">
                <a:defRPr sz="1000"/>
              </a:pPr>
              <a:fld id="{8A105BCA-145C-4F3C-B572-93C08F9D39CA}" type="TxLink">
                <a:rPr lang="en-SG" sz="1100" b="0" i="0" u="none" strike="noStrike" baseline="0">
                  <a:solidFill>
                    <a:srgbClr val="339966"/>
                  </a:solidFill>
                  <a:latin typeface="Comic Sans MS"/>
                </a:rPr>
                <a:pPr algn="r" rtl="0">
                  <a:defRPr sz="1000"/>
                </a:pPr>
                <a:t>??</a:t>
              </a:fld>
              <a:endParaRPr lang="en-SG" sz="1100" b="0" i="0" u="none" strike="noStrike" baseline="0">
                <a:solidFill>
                  <a:srgbClr val="339966"/>
                </a:solidFill>
                <a:latin typeface="Comic Sans MS"/>
              </a:endParaRPr>
            </a:p>
          </xdr:txBody>
        </xdr:sp>
        <xdr:sp macro="" textlink="">
          <xdr:nvSpPr>
            <xdr:cNvPr id="31787" name="Text Box 43"/>
            <xdr:cNvSpPr txBox="1">
              <a:spLocks noChangeArrowheads="1"/>
            </xdr:cNvSpPr>
          </xdr:nvSpPr>
          <xdr:spPr bwMode="auto">
            <a:xfrm>
              <a:off x="770" y="584"/>
              <a:ext cx="16" cy="27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36576" tIns="36576" rIns="0" bIns="0" anchor="t" upright="1"/>
            <a:lstStyle/>
            <a:p>
              <a:pPr algn="l" rtl="0">
                <a:defRPr sz="1000"/>
              </a:pPr>
              <a:r>
                <a:rPr lang="en-SG" sz="1100" b="0" i="0" u="none" strike="noStrike" baseline="0">
                  <a:solidFill>
                    <a:srgbClr val="339966"/>
                  </a:solidFill>
                  <a:latin typeface="Comic Sans MS"/>
                </a:rPr>
                <a:t>°</a:t>
              </a:r>
            </a:p>
          </xdr:txBody>
        </xdr:sp>
        <xdr:sp macro="" textlink="">
          <xdr:nvSpPr>
            <xdr:cNvPr id="31788" name="Text Box 44"/>
            <xdr:cNvSpPr txBox="1">
              <a:spLocks noChangeArrowheads="1"/>
            </xdr:cNvSpPr>
          </xdr:nvSpPr>
          <xdr:spPr bwMode="auto">
            <a:xfrm>
              <a:off x="798" y="584"/>
              <a:ext cx="16" cy="27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36576" tIns="36576" rIns="0" bIns="0" anchor="t" upright="1"/>
            <a:lstStyle/>
            <a:p>
              <a:pPr algn="l" rtl="0">
                <a:defRPr sz="1000"/>
              </a:pPr>
              <a:r>
                <a:rPr lang="en-SG" sz="1100" b="0" i="0" u="none" strike="noStrike" baseline="0">
                  <a:solidFill>
                    <a:srgbClr val="339966"/>
                  </a:solidFill>
                  <a:latin typeface="Comic Sans MS"/>
                </a:rPr>
                <a:t>'</a:t>
              </a:r>
            </a:p>
          </xdr:txBody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47625</xdr:rowOff>
    </xdr:from>
    <xdr:to>
      <xdr:col>13</xdr:col>
      <xdr:colOff>276225</xdr:colOff>
      <xdr:row>46</xdr:row>
      <xdr:rowOff>95250</xdr:rowOff>
    </xdr:to>
    <xdr:grpSp>
      <xdr:nvGrpSpPr>
        <xdr:cNvPr id="2" name="Group 1"/>
        <xdr:cNvGrpSpPr/>
      </xdr:nvGrpSpPr>
      <xdr:grpSpPr>
        <a:xfrm>
          <a:off x="219075" y="206375"/>
          <a:ext cx="5960666" cy="7191375"/>
          <a:chOff x="219075" y="209550"/>
          <a:chExt cx="5962650" cy="7334250"/>
        </a:xfrm>
      </xdr:grpSpPr>
      <xdr:pic>
        <xdr:nvPicPr>
          <xdr:cNvPr id="23887" name="Picture 28" descr="24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555" r="1082" b="394"/>
          <a:stretch>
            <a:fillRect/>
          </a:stretch>
        </xdr:blipFill>
        <xdr:spPr bwMode="auto">
          <a:xfrm>
            <a:off x="219075" y="209550"/>
            <a:ext cx="5962650" cy="73342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3886" name="Text Box 45"/>
          <xdr:cNvSpPr txBox="1">
            <a:spLocks noChangeArrowheads="1"/>
          </xdr:cNvSpPr>
        </xdr:nvSpPr>
        <xdr:spPr bwMode="auto">
          <a:xfrm>
            <a:off x="523876" y="5543550"/>
            <a:ext cx="12573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3</xdr:col>
      <xdr:colOff>683895</xdr:colOff>
      <xdr:row>55</xdr:row>
      <xdr:rowOff>17144</xdr:rowOff>
    </xdr:from>
    <xdr:to>
      <xdr:col>6</xdr:col>
      <xdr:colOff>160020</xdr:colOff>
      <xdr:row>56</xdr:row>
      <xdr:rowOff>228599</xdr:rowOff>
    </xdr:to>
    <xdr:sp macro="" textlink="$R$11">
      <xdr:nvSpPr>
        <xdr:cNvPr id="23556" name="Text Box 4"/>
        <xdr:cNvSpPr txBox="1">
          <a:spLocks noChangeArrowheads="1" noTextEdit="1"/>
        </xdr:cNvSpPr>
      </xdr:nvSpPr>
      <xdr:spPr bwMode="auto">
        <a:xfrm>
          <a:off x="2293620" y="9170669"/>
          <a:ext cx="1438275" cy="401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ctr" upright="1"/>
        <a:lstStyle/>
        <a:p>
          <a:pPr algn="ctr" rtl="0">
            <a:defRPr sz="1000"/>
          </a:pPr>
          <a:fld id="{3802495D-D310-4B7E-9A84-EDAF6754A3DC}" type="TxLink">
            <a:rPr lang="en-US" sz="1600" b="1" i="0" u="none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ctr" rtl="0">
              <a:defRPr sz="1000"/>
            </a:pPr>
            <a:t>NAH 0609 A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9</xdr:col>
      <xdr:colOff>19050</xdr:colOff>
      <xdr:row>55</xdr:row>
      <xdr:rowOff>154231</xdr:rowOff>
    </xdr:from>
    <xdr:to>
      <xdr:col>13</xdr:col>
      <xdr:colOff>409575</xdr:colOff>
      <xdr:row>57</xdr:row>
      <xdr:rowOff>95249</xdr:rowOff>
    </xdr:to>
    <xdr:sp macro="" textlink="$R$12">
      <xdr:nvSpPr>
        <xdr:cNvPr id="23560" name="Text Box 8"/>
        <xdr:cNvSpPr txBox="1">
          <a:spLocks noChangeArrowheads="1" noTextEdit="1"/>
        </xdr:cNvSpPr>
      </xdr:nvSpPr>
      <xdr:spPr bwMode="auto">
        <a:xfrm>
          <a:off x="4400550" y="9307756"/>
          <a:ext cx="1914525" cy="3696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ctr" upright="1"/>
        <a:lstStyle/>
        <a:p>
          <a:pPr algn="ctr" rtl="0">
            <a:defRPr sz="1000"/>
          </a:pPr>
          <a:fld id="{D7A11BC3-7BA8-4958-8688-2849D8DC4211}" type="TxLink">
            <a:rPr lang="en-US" sz="1600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pPr algn="ctr" rtl="0">
              <a:defRPr sz="1000"/>
            </a:pPr>
            <a:t>R-FDB 8776 - 14</a:t>
          </a:fld>
          <a:endParaRPr lang="en-SG" sz="18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 editAs="oneCell">
    <xdr:from>
      <xdr:col>7</xdr:col>
      <xdr:colOff>57150</xdr:colOff>
      <xdr:row>48</xdr:row>
      <xdr:rowOff>9525</xdr:rowOff>
    </xdr:from>
    <xdr:to>
      <xdr:col>13</xdr:col>
      <xdr:colOff>409575</xdr:colOff>
      <xdr:row>52</xdr:row>
      <xdr:rowOff>76200</xdr:rowOff>
    </xdr:to>
    <xdr:pic>
      <xdr:nvPicPr>
        <xdr:cNvPr id="23871" name="Picture 27" descr="IP H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6675" y="7781925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424815</xdr:colOff>
      <xdr:row>27</xdr:row>
      <xdr:rowOff>99060</xdr:rowOff>
    </xdr:from>
    <xdr:to>
      <xdr:col>2</xdr:col>
      <xdr:colOff>251742</xdr:colOff>
      <xdr:row>29</xdr:row>
      <xdr:rowOff>38100</xdr:rowOff>
    </xdr:to>
    <xdr:sp macro="" textlink="" fLocksText="0">
      <xdr:nvSpPr>
        <xdr:cNvPr id="23608" name="Text Box 56"/>
        <xdr:cNvSpPr txBox="1">
          <a:spLocks noChangeArrowheads="1"/>
        </xdr:cNvSpPr>
      </xdr:nvSpPr>
      <xdr:spPr bwMode="auto">
        <a:xfrm>
          <a:off x="868680" y="4419600"/>
          <a:ext cx="274320" cy="259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36576" tIns="27432" rIns="0" bIns="27432" anchor="t" upright="1"/>
        <a:lstStyle/>
        <a:p>
          <a:pPr algn="ctr" rtl="0">
            <a:defRPr sz="1000"/>
          </a:pPr>
          <a:r>
            <a:rPr lang="en-SG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a</a:t>
          </a:r>
        </a:p>
      </xdr:txBody>
    </xdr:sp>
    <xdr:clientData fLocksWithSheet="0" fPrintsWithSheet="0"/>
  </xdr:twoCellAnchor>
  <xdr:twoCellAnchor>
    <xdr:from>
      <xdr:col>2</xdr:col>
      <xdr:colOff>453390</xdr:colOff>
      <xdr:row>27</xdr:row>
      <xdr:rowOff>76200</xdr:rowOff>
    </xdr:from>
    <xdr:to>
      <xdr:col>2</xdr:col>
      <xdr:colOff>720090</xdr:colOff>
      <xdr:row>29</xdr:row>
      <xdr:rowOff>15240</xdr:rowOff>
    </xdr:to>
    <xdr:sp macro="" textlink="" fLocksText="0">
      <xdr:nvSpPr>
        <xdr:cNvPr id="23609" name="Text Box 57"/>
        <xdr:cNvSpPr txBox="1">
          <a:spLocks noChangeArrowheads="1"/>
        </xdr:cNvSpPr>
      </xdr:nvSpPr>
      <xdr:spPr bwMode="auto">
        <a:xfrm>
          <a:off x="1363980" y="4396740"/>
          <a:ext cx="266700" cy="259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36576" tIns="27432" rIns="0" bIns="27432" anchor="t" upright="1"/>
        <a:lstStyle/>
        <a:p>
          <a:pPr algn="ctr" rtl="0">
            <a:defRPr sz="1000"/>
          </a:pPr>
          <a:r>
            <a:rPr lang="en-SG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b</a:t>
          </a:r>
        </a:p>
      </xdr:txBody>
    </xdr:sp>
    <xdr:clientData fLocksWithSheet="0" fPrintsWithSheet="0"/>
  </xdr:twoCellAnchor>
  <xdr:twoCellAnchor>
    <xdr:from>
      <xdr:col>1</xdr:col>
      <xdr:colOff>386953</xdr:colOff>
      <xdr:row>25</xdr:row>
      <xdr:rowOff>58340</xdr:rowOff>
    </xdr:from>
    <xdr:to>
      <xdr:col>2</xdr:col>
      <xdr:colOff>215503</xdr:colOff>
      <xdr:row>28</xdr:row>
      <xdr:rowOff>48815</xdr:rowOff>
    </xdr:to>
    <xdr:sp macro="" textlink="$R$32">
      <xdr:nvSpPr>
        <xdr:cNvPr id="23567" name="Text Box 15"/>
        <xdr:cNvSpPr txBox="1">
          <a:spLocks noChangeArrowheads="1" noTextEdit="1"/>
        </xdr:cNvSpPr>
      </xdr:nvSpPr>
      <xdr:spPr bwMode="auto">
        <a:xfrm>
          <a:off x="803672" y="4076699"/>
          <a:ext cx="275034" cy="4726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36576" tIns="27432" rIns="0" bIns="27432" anchor="t" upright="1"/>
        <a:lstStyle/>
        <a:p>
          <a:pPr algn="ctr" rtl="0">
            <a:defRPr sz="1000"/>
          </a:pPr>
          <a:fld id="{743664D8-5DD4-42C8-B061-7B67F6CF1481}" type="TxLink">
            <a:rPr lang="en-SG" sz="11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 rtl="0">
              <a:defRPr sz="1000"/>
            </a:pPr>
            <a:t>16</a:t>
          </a:fld>
          <a:endParaRPr lang="en-SG" sz="1100" b="1" i="0" u="none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425054</xdr:colOff>
      <xdr:row>25</xdr:row>
      <xdr:rowOff>57150</xdr:rowOff>
    </xdr:from>
    <xdr:to>
      <xdr:col>2</xdr:col>
      <xdr:colOff>711995</xdr:colOff>
      <xdr:row>28</xdr:row>
      <xdr:rowOff>57150</xdr:rowOff>
    </xdr:to>
    <xdr:sp macro="" textlink="$R$33">
      <xdr:nvSpPr>
        <xdr:cNvPr id="23568" name="Text Box 16"/>
        <xdr:cNvSpPr txBox="1">
          <a:spLocks noChangeArrowheads="1" noTextEdit="1"/>
        </xdr:cNvSpPr>
      </xdr:nvSpPr>
      <xdr:spPr bwMode="auto">
        <a:xfrm>
          <a:off x="1288257" y="4075509"/>
          <a:ext cx="286941" cy="4822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36576" tIns="27432" rIns="0" bIns="27432" anchor="t" upright="1"/>
        <a:lstStyle/>
        <a:p>
          <a:pPr algn="ctr" rtl="0">
            <a:defRPr sz="1000"/>
          </a:pPr>
          <a:fld id="{3CF111F5-A4DD-492B-B008-437CFA47B5C3}" type="TxLink">
            <a:rPr lang="en-SG" sz="11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 rtl="0">
              <a:defRPr sz="1000"/>
            </a:pPr>
            <a:t>15</a:t>
          </a:fld>
          <a:endParaRPr lang="en-SG" sz="1100" b="1" i="0" u="none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171450</xdr:colOff>
      <xdr:row>33</xdr:row>
      <xdr:rowOff>76201</xdr:rowOff>
    </xdr:from>
    <xdr:to>
      <xdr:col>3</xdr:col>
      <xdr:colOff>114300</xdr:colOff>
      <xdr:row>35</xdr:row>
      <xdr:rowOff>95251</xdr:rowOff>
    </xdr:to>
    <xdr:sp macro="" textlink="$R$12">
      <xdr:nvSpPr>
        <xdr:cNvPr id="23569" name="Text Box 17"/>
        <xdr:cNvSpPr txBox="1">
          <a:spLocks noChangeArrowheads="1" noTextEdit="1"/>
        </xdr:cNvSpPr>
      </xdr:nvSpPr>
      <xdr:spPr bwMode="auto">
        <a:xfrm>
          <a:off x="590550" y="5419726"/>
          <a:ext cx="1133475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41148" rIns="36576" bIns="0" anchor="t" upright="1"/>
        <a:lstStyle/>
        <a:p>
          <a:pPr algn="r" rtl="0">
            <a:defRPr sz="1000"/>
          </a:pPr>
          <a:fld id="{AB9D0DCC-567E-4F0C-91C6-698A5E109A37}" type="TxLink">
            <a:rPr lang="en-US" sz="1200" b="1" i="0" u="sng" strike="noStrike" baseline="0">
              <a:solidFill>
                <a:srgbClr val="0033CC"/>
              </a:solidFill>
              <a:latin typeface="Times New Roman"/>
              <a:cs typeface="Times New Roman"/>
            </a:rPr>
            <a:pPr algn="r" rtl="0">
              <a:defRPr sz="1000"/>
            </a:pPr>
            <a:t>R-FDB 8776 - 14</a:t>
          </a:fld>
          <a:endParaRPr lang="en-SG" sz="1000" b="0" i="0" u="sng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4</xdr:col>
      <xdr:colOff>342900</xdr:colOff>
      <xdr:row>18</xdr:row>
      <xdr:rowOff>28575</xdr:rowOff>
    </xdr:from>
    <xdr:to>
      <xdr:col>5</xdr:col>
      <xdr:colOff>390525</xdr:colOff>
      <xdr:row>19</xdr:row>
      <xdr:rowOff>123825</xdr:rowOff>
    </xdr:to>
    <xdr:sp macro="" textlink="$R$14">
      <xdr:nvSpPr>
        <xdr:cNvPr id="23571" name="Text Box 19"/>
        <xdr:cNvSpPr txBox="1">
          <a:spLocks noChangeArrowheads="1" noTextEdit="1"/>
        </xdr:cNvSpPr>
      </xdr:nvSpPr>
      <xdr:spPr bwMode="auto">
        <a:xfrm>
          <a:off x="2943225" y="2943225"/>
          <a:ext cx="52387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41148" rIns="0" bIns="41148" anchor="ctr" upright="1"/>
        <a:lstStyle/>
        <a:p>
          <a:pPr algn="l" rtl="0">
            <a:defRPr sz="1000"/>
          </a:pPr>
          <a:fld id="{CBBE27C8-4C40-4B24-B326-32EE0A900A60}" type="TxLink">
            <a:rPr lang="en-US" sz="1200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pPr algn="l" rtl="0">
              <a:defRPr sz="1000"/>
            </a:pPr>
            <a:t>46.83</a:t>
          </a:fld>
          <a:endParaRPr lang="en-SG" sz="12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5</xdr:col>
      <xdr:colOff>66675</xdr:colOff>
      <xdr:row>20</xdr:row>
      <xdr:rowOff>0</xdr:rowOff>
    </xdr:from>
    <xdr:to>
      <xdr:col>6</xdr:col>
      <xdr:colOff>38100</xdr:colOff>
      <xdr:row>21</xdr:row>
      <xdr:rowOff>104775</xdr:rowOff>
    </xdr:to>
    <xdr:sp macro="" textlink="$R$13">
      <xdr:nvSpPr>
        <xdr:cNvPr id="23572" name="Text Box 20"/>
        <xdr:cNvSpPr txBox="1">
          <a:spLocks noChangeArrowheads="1" noTextEdit="1"/>
        </xdr:cNvSpPr>
      </xdr:nvSpPr>
      <xdr:spPr bwMode="auto">
        <a:xfrm>
          <a:off x="3143250" y="3238500"/>
          <a:ext cx="4667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41148" rIns="0" bIns="41148" anchor="ctr" upright="1"/>
        <a:lstStyle/>
        <a:p>
          <a:pPr algn="l" rtl="0">
            <a:defRPr sz="1000"/>
          </a:pPr>
          <a:fld id="{16CF7D0D-C79C-4B0F-BA35-729EEE50A5A4}" type="TxLink">
            <a:rPr lang="en-US" sz="1200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pPr algn="l" rtl="0">
              <a:defRPr sz="1000"/>
            </a:pPr>
            <a:t>41.17</a:t>
          </a:fld>
          <a:endParaRPr lang="en-SG" sz="12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4</xdr:col>
      <xdr:colOff>190500</xdr:colOff>
      <xdr:row>15</xdr:row>
      <xdr:rowOff>152400</xdr:rowOff>
    </xdr:from>
    <xdr:to>
      <xdr:col>5</xdr:col>
      <xdr:colOff>209550</xdr:colOff>
      <xdr:row>17</xdr:row>
      <xdr:rowOff>76200</xdr:rowOff>
    </xdr:to>
    <xdr:sp macro="" textlink="$R$15">
      <xdr:nvSpPr>
        <xdr:cNvPr id="23573" name="Text Box 21"/>
        <xdr:cNvSpPr txBox="1">
          <a:spLocks noChangeArrowheads="1" noTextEdit="1"/>
        </xdr:cNvSpPr>
      </xdr:nvSpPr>
      <xdr:spPr bwMode="auto">
        <a:xfrm>
          <a:off x="2790825" y="2581275"/>
          <a:ext cx="4953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41148" rIns="0" bIns="41148" anchor="ctr" upright="1"/>
        <a:lstStyle/>
        <a:p>
          <a:pPr algn="l" rtl="0">
            <a:defRPr sz="1000"/>
          </a:pPr>
          <a:fld id="{5D69AA53-0D27-4DD0-A3B0-714B03403246}" type="TxLink">
            <a:rPr lang="en-US" sz="1200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pPr algn="l" rtl="0">
              <a:defRPr sz="1000"/>
            </a:pPr>
            <a:t>51</a:t>
          </a:fld>
          <a:endParaRPr lang="en-SG" sz="12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11</xdr:col>
      <xdr:colOff>304800</xdr:colOff>
      <xdr:row>6</xdr:row>
      <xdr:rowOff>76200</xdr:rowOff>
    </xdr:from>
    <xdr:to>
      <xdr:col>12</xdr:col>
      <xdr:colOff>352425</xdr:colOff>
      <xdr:row>8</xdr:row>
      <xdr:rowOff>9525</xdr:rowOff>
    </xdr:to>
    <xdr:sp macro="" textlink="$R$13">
      <xdr:nvSpPr>
        <xdr:cNvPr id="23575" name="Text Box 23"/>
        <xdr:cNvSpPr txBox="1">
          <a:spLocks noChangeArrowheads="1" noTextEdit="1"/>
        </xdr:cNvSpPr>
      </xdr:nvSpPr>
      <xdr:spPr bwMode="auto">
        <a:xfrm>
          <a:off x="5295900" y="1047750"/>
          <a:ext cx="5048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41148" rIns="0" bIns="41148" anchor="ctr" upright="1"/>
        <a:lstStyle/>
        <a:p>
          <a:pPr algn="l" rtl="0">
            <a:defRPr sz="1000"/>
          </a:pPr>
          <a:fld id="{C3CBEF24-8584-4BE9-BCEA-9E17B4BF9D91}" type="TxLink">
            <a:rPr lang="en-US" sz="12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l" rtl="0">
              <a:defRPr sz="1000"/>
            </a:pPr>
            <a:t>41.17</a:t>
          </a:fld>
          <a:endParaRPr lang="en-SG" sz="1200" b="1" i="0" u="none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238125</xdr:colOff>
      <xdr:row>1</xdr:row>
      <xdr:rowOff>152400</xdr:rowOff>
    </xdr:from>
    <xdr:to>
      <xdr:col>11</xdr:col>
      <xdr:colOff>333375</xdr:colOff>
      <xdr:row>3</xdr:row>
      <xdr:rowOff>85725</xdr:rowOff>
    </xdr:to>
    <xdr:sp macro="" textlink="$R$14">
      <xdr:nvSpPr>
        <xdr:cNvPr id="23576" name="Text Box 24"/>
        <xdr:cNvSpPr txBox="1">
          <a:spLocks noChangeArrowheads="1" noTextEdit="1"/>
        </xdr:cNvSpPr>
      </xdr:nvSpPr>
      <xdr:spPr bwMode="auto">
        <a:xfrm>
          <a:off x="4772025" y="314325"/>
          <a:ext cx="5524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41148" rIns="0" bIns="41148" anchor="ctr" upright="1"/>
        <a:lstStyle/>
        <a:p>
          <a:pPr algn="l" rtl="0">
            <a:defRPr sz="1000"/>
          </a:pPr>
          <a:fld id="{7CFFBE64-C7FD-4E84-B46D-BE88DC237D49}" type="TxLink">
            <a:rPr lang="en-US" sz="1200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pPr algn="l" rtl="0">
              <a:defRPr sz="1000"/>
            </a:pPr>
            <a:t>46.83</a:t>
          </a:fld>
          <a:endParaRPr lang="en-SG" sz="12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11</xdr:col>
      <xdr:colOff>38100</xdr:colOff>
      <xdr:row>4</xdr:row>
      <xdr:rowOff>76200</xdr:rowOff>
    </xdr:from>
    <xdr:to>
      <xdr:col>12</xdr:col>
      <xdr:colOff>114300</xdr:colOff>
      <xdr:row>6</xdr:row>
      <xdr:rowOff>9525</xdr:rowOff>
    </xdr:to>
    <xdr:sp macro="" textlink="$R$29" fLocksText="0">
      <xdr:nvSpPr>
        <xdr:cNvPr id="23577" name="Text Box 25"/>
        <xdr:cNvSpPr txBox="1">
          <a:spLocks noChangeArrowheads="1" noTextEdit="1"/>
        </xdr:cNvSpPr>
      </xdr:nvSpPr>
      <xdr:spPr bwMode="auto">
        <a:xfrm>
          <a:off x="5029200" y="723900"/>
          <a:ext cx="5334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fld id="{FEEB8C4D-AB67-446C-8E2D-D760B740B484}" type="TxLink">
            <a:rPr lang="en-SG" sz="12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 rtl="0">
              <a:defRPr sz="1000"/>
            </a:pPr>
            <a:t>37.8</a:t>
          </a:fld>
          <a:endParaRPr lang="en-SG" sz="1200" b="1" i="0" u="none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200025</xdr:colOff>
      <xdr:row>11</xdr:row>
      <xdr:rowOff>64293</xdr:rowOff>
    </xdr:from>
    <xdr:to>
      <xdr:col>13</xdr:col>
      <xdr:colOff>9525</xdr:colOff>
      <xdr:row>14</xdr:row>
      <xdr:rowOff>35718</xdr:rowOff>
    </xdr:to>
    <xdr:sp macro="" textlink="Sheet1!C14" fLocksText="0">
      <xdr:nvSpPr>
        <xdr:cNvPr id="23581" name="Text Box 29"/>
        <xdr:cNvSpPr txBox="1">
          <a:spLocks noChangeArrowheads="1" noTextEdit="1"/>
        </xdr:cNvSpPr>
      </xdr:nvSpPr>
      <xdr:spPr bwMode="auto">
        <a:xfrm>
          <a:off x="5653088" y="1832371"/>
          <a:ext cx="267890" cy="4536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36576" tIns="36576" rIns="0" bIns="36576" anchor="t" upright="1"/>
        <a:lstStyle/>
        <a:p>
          <a:pPr algn="ctr" rtl="0">
            <a:defRPr sz="1000"/>
          </a:pPr>
          <a:fld id="{8E87D64F-0A3B-4F78-83EF-1EAFCB2C8EF8}" type="TxLink">
            <a:rPr lang="en-SG" sz="11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 rtl="0">
              <a:defRPr sz="1000"/>
            </a:pPr>
            <a:t>0</a:t>
          </a:fld>
          <a:endParaRPr lang="en-SG" sz="1100" b="1" i="0" u="none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85725</xdr:colOff>
      <xdr:row>22</xdr:row>
      <xdr:rowOff>28575</xdr:rowOff>
    </xdr:from>
    <xdr:to>
      <xdr:col>8</xdr:col>
      <xdr:colOff>104775</xdr:colOff>
      <xdr:row>25</xdr:row>
      <xdr:rowOff>104775</xdr:rowOff>
    </xdr:to>
    <xdr:sp macro="" textlink="$R$30" fLocksText="0">
      <xdr:nvSpPr>
        <xdr:cNvPr id="23582" name="Text Box 30"/>
        <xdr:cNvSpPr txBox="1">
          <a:spLocks noChangeArrowheads="1" noTextEdit="1"/>
        </xdr:cNvSpPr>
      </xdr:nvSpPr>
      <xdr:spPr bwMode="auto">
        <a:xfrm>
          <a:off x="3905250" y="3590925"/>
          <a:ext cx="26670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36576" tIns="36576" rIns="36576" bIns="36576" anchor="ctr" upright="1"/>
        <a:lstStyle/>
        <a:p>
          <a:pPr algn="ctr" rtl="0">
            <a:defRPr sz="1000"/>
          </a:pPr>
          <a:fld id="{820403AD-5410-4331-8364-C34212618CC6}" type="TxLink">
            <a:rPr lang="en-SG" sz="12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 rtl="0">
              <a:defRPr sz="1000"/>
            </a:pPr>
            <a:t>2.5</a:t>
          </a:fld>
          <a:endParaRPr lang="en-SG" sz="1200" b="1" i="0" u="none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85725</xdr:colOff>
      <xdr:row>30</xdr:row>
      <xdr:rowOff>114300</xdr:rowOff>
    </xdr:from>
    <xdr:to>
      <xdr:col>8</xdr:col>
      <xdr:colOff>104775</xdr:colOff>
      <xdr:row>35</xdr:row>
      <xdr:rowOff>95250</xdr:rowOff>
    </xdr:to>
    <xdr:sp macro="" textlink="$R$31" fLocksText="0">
      <xdr:nvSpPr>
        <xdr:cNvPr id="23583" name="Text Box 31"/>
        <xdr:cNvSpPr txBox="1">
          <a:spLocks noChangeArrowheads="1" noTextEdit="1"/>
        </xdr:cNvSpPr>
      </xdr:nvSpPr>
      <xdr:spPr bwMode="auto">
        <a:xfrm>
          <a:off x="3905250" y="4972050"/>
          <a:ext cx="26670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36576" tIns="36576" rIns="0" bIns="36576" anchor="t" upright="1"/>
        <a:lstStyle/>
        <a:p>
          <a:pPr algn="ctr" rtl="0">
            <a:defRPr sz="1000"/>
          </a:pPr>
          <a:fld id="{BB286FA7-AAE7-406E-B5D5-53853003A641}" type="TxLink">
            <a:rPr lang="en-SG" sz="1200" b="1" i="0" u="none" strike="noStrike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 rtl="0">
              <a:defRPr sz="1000"/>
            </a:pPr>
            <a:t>62</a:t>
          </a:fld>
          <a:endParaRPr lang="en-SG" sz="1200" b="1" i="0" u="none" strike="noStrike" baseline="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38100</xdr:colOff>
      <xdr:row>4</xdr:row>
      <xdr:rowOff>57150</xdr:rowOff>
    </xdr:from>
    <xdr:to>
      <xdr:col>10</xdr:col>
      <xdr:colOff>304800</xdr:colOff>
      <xdr:row>5</xdr:row>
      <xdr:rowOff>152400</xdr:rowOff>
    </xdr:to>
    <xdr:sp macro="" textlink="" fLocksText="0">
      <xdr:nvSpPr>
        <xdr:cNvPr id="23591" name="Text Box 39"/>
        <xdr:cNvSpPr txBox="1">
          <a:spLocks noChangeArrowheads="1"/>
        </xdr:cNvSpPr>
      </xdr:nvSpPr>
      <xdr:spPr bwMode="auto">
        <a:xfrm>
          <a:off x="4572000" y="704850"/>
          <a:ext cx="2667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SG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X</a:t>
          </a:r>
        </a:p>
      </xdr:txBody>
    </xdr:sp>
    <xdr:clientData/>
  </xdr:twoCellAnchor>
  <xdr:twoCellAnchor>
    <xdr:from>
      <xdr:col>8</xdr:col>
      <xdr:colOff>133350</xdr:colOff>
      <xdr:row>23</xdr:row>
      <xdr:rowOff>38100</xdr:rowOff>
    </xdr:from>
    <xdr:to>
      <xdr:col>9</xdr:col>
      <xdr:colOff>85725</xdr:colOff>
      <xdr:row>24</xdr:row>
      <xdr:rowOff>142875</xdr:rowOff>
    </xdr:to>
    <xdr:sp macro="" textlink="" fLocksText="0">
      <xdr:nvSpPr>
        <xdr:cNvPr id="23592" name="Text Box 40"/>
        <xdr:cNvSpPr txBox="1">
          <a:spLocks noChangeArrowheads="1"/>
        </xdr:cNvSpPr>
      </xdr:nvSpPr>
      <xdr:spPr bwMode="auto">
        <a:xfrm>
          <a:off x="4200525" y="3762375"/>
          <a:ext cx="2667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36576" tIns="27432" rIns="0" bIns="27432" anchor="t" upright="1"/>
        <a:lstStyle/>
        <a:p>
          <a:pPr algn="ctr" rtl="0">
            <a:defRPr sz="1000"/>
          </a:pPr>
          <a:r>
            <a:rPr lang="en-SG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Y</a:t>
          </a:r>
        </a:p>
      </xdr:txBody>
    </xdr:sp>
    <xdr:clientData/>
  </xdr:twoCellAnchor>
  <xdr:twoCellAnchor>
    <xdr:from>
      <xdr:col>8</xdr:col>
      <xdr:colOff>123825</xdr:colOff>
      <xdr:row>39</xdr:row>
      <xdr:rowOff>57150</xdr:rowOff>
    </xdr:from>
    <xdr:to>
      <xdr:col>9</xdr:col>
      <xdr:colOff>76200</xdr:colOff>
      <xdr:row>41</xdr:row>
      <xdr:rowOff>0</xdr:rowOff>
    </xdr:to>
    <xdr:sp macro="" textlink="" fLocksText="0">
      <xdr:nvSpPr>
        <xdr:cNvPr id="23593" name="Text Box 41"/>
        <xdr:cNvSpPr txBox="1">
          <a:spLocks noChangeArrowheads="1"/>
        </xdr:cNvSpPr>
      </xdr:nvSpPr>
      <xdr:spPr bwMode="auto">
        <a:xfrm>
          <a:off x="4191000" y="6372225"/>
          <a:ext cx="2667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36576" tIns="27432" rIns="0" bIns="27432" anchor="t" upright="1"/>
        <a:lstStyle/>
        <a:p>
          <a:pPr algn="ctr" rtl="0">
            <a:defRPr sz="1000"/>
          </a:pPr>
          <a:r>
            <a:rPr lang="en-SG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Z</a:t>
          </a:r>
        </a:p>
      </xdr:txBody>
    </xdr:sp>
    <xdr:clientData/>
  </xdr:twoCellAnchor>
  <xdr:twoCellAnchor>
    <xdr:from>
      <xdr:col>11</xdr:col>
      <xdr:colOff>238125</xdr:colOff>
      <xdr:row>8</xdr:row>
      <xdr:rowOff>95250</xdr:rowOff>
    </xdr:from>
    <xdr:to>
      <xdr:col>11</xdr:col>
      <xdr:colOff>390525</xdr:colOff>
      <xdr:row>9</xdr:row>
      <xdr:rowOff>95250</xdr:rowOff>
    </xdr:to>
    <xdr:sp macro="" textlink="">
      <xdr:nvSpPr>
        <xdr:cNvPr id="23605" name="Text Box 53"/>
        <xdr:cNvSpPr txBox="1">
          <a:spLocks noChangeArrowheads="1"/>
        </xdr:cNvSpPr>
      </xdr:nvSpPr>
      <xdr:spPr bwMode="auto">
        <a:xfrm>
          <a:off x="5229225" y="1390650"/>
          <a:ext cx="152400" cy="1619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SG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G</a:t>
          </a:r>
        </a:p>
      </xdr:txBody>
    </xdr:sp>
    <xdr:clientData/>
  </xdr:twoCellAnchor>
  <xdr:twoCellAnchor>
    <xdr:from>
      <xdr:col>11</xdr:col>
      <xdr:colOff>209550</xdr:colOff>
      <xdr:row>9</xdr:row>
      <xdr:rowOff>28575</xdr:rowOff>
    </xdr:from>
    <xdr:to>
      <xdr:col>11</xdr:col>
      <xdr:colOff>257175</xdr:colOff>
      <xdr:row>9</xdr:row>
      <xdr:rowOff>66675</xdr:rowOff>
    </xdr:to>
    <xdr:sp macro="" textlink="">
      <xdr:nvSpPr>
        <xdr:cNvPr id="23880" name="AutoShape 50"/>
        <xdr:cNvSpPr>
          <a:spLocks noChangeArrowheads="1"/>
        </xdr:cNvSpPr>
      </xdr:nvSpPr>
      <xdr:spPr bwMode="auto">
        <a:xfrm rot="10800000">
          <a:off x="5200650" y="1485900"/>
          <a:ext cx="47625" cy="381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6350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11</xdr:col>
      <xdr:colOff>304800</xdr:colOff>
      <xdr:row>9</xdr:row>
      <xdr:rowOff>28575</xdr:rowOff>
    </xdr:from>
    <xdr:to>
      <xdr:col>11</xdr:col>
      <xdr:colOff>352425</xdr:colOff>
      <xdr:row>9</xdr:row>
      <xdr:rowOff>66675</xdr:rowOff>
    </xdr:to>
    <xdr:sp macro="" textlink="">
      <xdr:nvSpPr>
        <xdr:cNvPr id="23881" name="AutoShape 51"/>
        <xdr:cNvSpPr>
          <a:spLocks noChangeArrowheads="1"/>
        </xdr:cNvSpPr>
      </xdr:nvSpPr>
      <xdr:spPr bwMode="auto">
        <a:xfrm rot="10800000">
          <a:off x="5295900" y="1485900"/>
          <a:ext cx="47625" cy="381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6350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11</xdr:col>
      <xdr:colOff>257175</xdr:colOff>
      <xdr:row>9</xdr:row>
      <xdr:rowOff>28575</xdr:rowOff>
    </xdr:from>
    <xdr:to>
      <xdr:col>11</xdr:col>
      <xdr:colOff>304800</xdr:colOff>
      <xdr:row>9</xdr:row>
      <xdr:rowOff>66675</xdr:rowOff>
    </xdr:to>
    <xdr:sp macro="" textlink="">
      <xdr:nvSpPr>
        <xdr:cNvPr id="23882" name="AutoShape 52"/>
        <xdr:cNvSpPr>
          <a:spLocks noChangeArrowheads="1"/>
        </xdr:cNvSpPr>
      </xdr:nvSpPr>
      <xdr:spPr bwMode="auto">
        <a:xfrm rot="10800000">
          <a:off x="5248275" y="1485900"/>
          <a:ext cx="47625" cy="381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6350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12</xdr:col>
      <xdr:colOff>228600</xdr:colOff>
      <xdr:row>10</xdr:row>
      <xdr:rowOff>38100</xdr:rowOff>
    </xdr:from>
    <xdr:to>
      <xdr:col>12</xdr:col>
      <xdr:colOff>400050</xdr:colOff>
      <xdr:row>12</xdr:row>
      <xdr:rowOff>9525</xdr:rowOff>
    </xdr:to>
    <xdr:sp macro="" textlink="">
      <xdr:nvSpPr>
        <xdr:cNvPr id="23619" name="Rectangle 67"/>
        <xdr:cNvSpPr>
          <a:spLocks noChangeArrowheads="1"/>
        </xdr:cNvSpPr>
      </xdr:nvSpPr>
      <xdr:spPr bwMode="auto">
        <a:xfrm>
          <a:off x="5676900" y="1657350"/>
          <a:ext cx="171450" cy="295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27432" tIns="18288" rIns="0" bIns="18288" anchor="t" upright="1"/>
        <a:lstStyle/>
        <a:p>
          <a:pPr algn="ctr" rtl="0">
            <a:defRPr sz="1000"/>
          </a:pPr>
          <a:r>
            <a:rPr lang="en-SG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±0.02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1447800</xdr:colOff>
      <xdr:row>82</xdr:row>
      <xdr:rowOff>38100</xdr:rowOff>
    </xdr:from>
    <xdr:to>
      <xdr:col>11</xdr:col>
      <xdr:colOff>9525</xdr:colOff>
      <xdr:row>84</xdr:row>
      <xdr:rowOff>85725</xdr:rowOff>
    </xdr:to>
    <xdr:grpSp>
      <xdr:nvGrpSpPr>
        <xdr:cNvPr id="27810" name="Group 1"/>
        <xdr:cNvGrpSpPr>
          <a:grpSpLocks/>
        </xdr:cNvGrpSpPr>
      </xdr:nvGrpSpPr>
      <xdr:grpSpPr bwMode="auto">
        <a:xfrm>
          <a:off x="2600325" y="13620750"/>
          <a:ext cx="2400300" cy="371475"/>
          <a:chOff x="919" y="1110"/>
          <a:chExt cx="293" cy="40"/>
        </a:xfrm>
      </xdr:grpSpPr>
      <xdr:pic>
        <xdr:nvPicPr>
          <xdr:cNvPr id="27830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9" y="1110"/>
            <a:ext cx="88" cy="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7651" name="Text Box 3"/>
          <xdr:cNvSpPr txBox="1">
            <a:spLocks noChangeArrowheads="1"/>
          </xdr:cNvSpPr>
        </xdr:nvSpPr>
        <xdr:spPr bwMode="auto">
          <a:xfrm>
            <a:off x="993" y="1116"/>
            <a:ext cx="219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SG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NOK ASIA CO. PTE. LTD.</a:t>
            </a:r>
          </a:p>
        </xdr:txBody>
      </xdr:sp>
    </xdr:grpSp>
    <xdr:clientData/>
  </xdr:twoCellAnchor>
  <xdr:twoCellAnchor>
    <xdr:from>
      <xdr:col>3</xdr:col>
      <xdr:colOff>855345</xdr:colOff>
      <xdr:row>55</xdr:row>
      <xdr:rowOff>83820</xdr:rowOff>
    </xdr:from>
    <xdr:to>
      <xdr:col>7</xdr:col>
      <xdr:colOff>83820</xdr:colOff>
      <xdr:row>56</xdr:row>
      <xdr:rowOff>182880</xdr:rowOff>
    </xdr:to>
    <xdr:sp macro="" textlink="Sheet1!$F$3">
      <xdr:nvSpPr>
        <xdr:cNvPr id="27652" name="Text Box 4"/>
        <xdr:cNvSpPr txBox="1">
          <a:spLocks noChangeArrowheads="1" noTextEdit="1"/>
        </xdr:cNvSpPr>
      </xdr:nvSpPr>
      <xdr:spPr bwMode="auto">
        <a:xfrm>
          <a:off x="2537460" y="9144000"/>
          <a:ext cx="1470660" cy="297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D2FADBF9-D518-4E19-94FA-1DB0199ACCA8}" type="TxLink">
            <a:rPr lang="en-SG" sz="1400" b="0" i="0" u="none" strike="noStrike" baseline="0">
              <a:solidFill>
                <a:srgbClr val="0000FF"/>
              </a:solidFill>
              <a:latin typeface="Comic Sans MS"/>
            </a:rPr>
            <a:pPr algn="l" rtl="0">
              <a:defRPr sz="1000"/>
            </a:pPr>
            <a:t>NAH 0609 A</a:t>
          </a:fld>
          <a:endParaRPr lang="en-SG" sz="14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9</xdr:col>
      <xdr:colOff>123825</xdr:colOff>
      <xdr:row>56</xdr:row>
      <xdr:rowOff>57150</xdr:rowOff>
    </xdr:from>
    <xdr:to>
      <xdr:col>14</xdr:col>
      <xdr:colOff>161925</xdr:colOff>
      <xdr:row>57</xdr:row>
      <xdr:rowOff>114300</xdr:rowOff>
    </xdr:to>
    <xdr:grpSp>
      <xdr:nvGrpSpPr>
        <xdr:cNvPr id="27812" name="Group 6"/>
        <xdr:cNvGrpSpPr>
          <a:grpSpLocks/>
        </xdr:cNvGrpSpPr>
      </xdr:nvGrpSpPr>
      <xdr:grpSpPr bwMode="auto">
        <a:xfrm>
          <a:off x="4505325" y="9401175"/>
          <a:ext cx="2019300" cy="295275"/>
          <a:chOff x="1030" y="391"/>
          <a:chExt cx="191" cy="26"/>
        </a:xfrm>
      </xdr:grpSpPr>
      <xdr:sp macro="" textlink="Sheet1!$D$16">
        <xdr:nvSpPr>
          <xdr:cNvPr id="27655" name="Text Box 7"/>
          <xdr:cNvSpPr txBox="1">
            <a:spLocks noChangeArrowheads="1" noTextEdit="1"/>
          </xdr:cNvSpPr>
        </xdr:nvSpPr>
        <xdr:spPr bwMode="auto">
          <a:xfrm>
            <a:off x="1103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D3C82FF5-F29D-4FAE-905C-2F3A7F471487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8776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O$1">
        <xdr:nvSpPr>
          <xdr:cNvPr id="27656" name="Text Box 8"/>
          <xdr:cNvSpPr txBox="1">
            <a:spLocks noChangeArrowheads="1" noTextEdit="1"/>
          </xdr:cNvSpPr>
        </xdr:nvSpPr>
        <xdr:spPr bwMode="auto">
          <a:xfrm>
            <a:off x="1030" y="391"/>
            <a:ext cx="33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6CBC7AE5-A03E-41C4-A825-08E571E5E0CF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C$16">
        <xdr:nvSpPr>
          <xdr:cNvPr id="27657" name="Text Box 9"/>
          <xdr:cNvSpPr txBox="1">
            <a:spLocks noChangeArrowheads="1" noTextEdit="1"/>
          </xdr:cNvSpPr>
        </xdr:nvSpPr>
        <xdr:spPr bwMode="auto">
          <a:xfrm>
            <a:off x="1061" y="392"/>
            <a:ext cx="43" cy="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5FD67B50-F5E4-47A5-80B8-5CE0D90E794C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R-FDB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">
        <xdr:nvSpPr>
          <xdr:cNvPr id="27658" name="Text Box 10"/>
          <xdr:cNvSpPr txBox="1">
            <a:spLocks noChangeArrowheads="1"/>
          </xdr:cNvSpPr>
        </xdr:nvSpPr>
        <xdr:spPr bwMode="auto">
          <a:xfrm>
            <a:off x="1154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r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t>-14</a:t>
            </a:r>
          </a:p>
        </xdr:txBody>
      </xdr:sp>
    </xdr:grpSp>
    <xdr:clientData/>
  </xdr:twoCellAnchor>
  <xdr:twoCellAnchor editAs="oneCell">
    <xdr:from>
      <xdr:col>7</xdr:col>
      <xdr:colOff>57150</xdr:colOff>
      <xdr:row>48</xdr:row>
      <xdr:rowOff>9525</xdr:rowOff>
    </xdr:from>
    <xdr:to>
      <xdr:col>13</xdr:col>
      <xdr:colOff>409575</xdr:colOff>
      <xdr:row>52</xdr:row>
      <xdr:rowOff>76200</xdr:rowOff>
    </xdr:to>
    <xdr:pic>
      <xdr:nvPicPr>
        <xdr:cNvPr id="27813" name="Picture 13" descr="IP H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6675" y="7781925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47625</xdr:colOff>
      <xdr:row>5</xdr:row>
      <xdr:rowOff>133350</xdr:rowOff>
    </xdr:from>
    <xdr:to>
      <xdr:col>10</xdr:col>
      <xdr:colOff>342900</xdr:colOff>
      <xdr:row>42</xdr:row>
      <xdr:rowOff>66675</xdr:rowOff>
    </xdr:to>
    <xdr:grpSp>
      <xdr:nvGrpSpPr>
        <xdr:cNvPr id="27814" name="Group 51"/>
        <xdr:cNvGrpSpPr>
          <a:grpSpLocks/>
        </xdr:cNvGrpSpPr>
      </xdr:nvGrpSpPr>
      <xdr:grpSpPr bwMode="auto">
        <a:xfrm>
          <a:off x="466725" y="942975"/>
          <a:ext cx="4410075" cy="5924550"/>
          <a:chOff x="49" y="99"/>
          <a:chExt cx="463" cy="622"/>
        </a:xfrm>
      </xdr:grpSpPr>
      <xdr:grpSp>
        <xdr:nvGrpSpPr>
          <xdr:cNvPr id="27815" name="Group 49"/>
          <xdr:cNvGrpSpPr>
            <a:grpSpLocks/>
          </xdr:cNvGrpSpPr>
        </xdr:nvGrpSpPr>
        <xdr:grpSpPr bwMode="auto">
          <a:xfrm>
            <a:off x="49" y="99"/>
            <a:ext cx="463" cy="622"/>
            <a:chOff x="49" y="99"/>
            <a:chExt cx="463" cy="622"/>
          </a:xfrm>
        </xdr:grpSpPr>
        <xdr:grpSp>
          <xdr:nvGrpSpPr>
            <xdr:cNvPr id="27817" name="Group 47"/>
            <xdr:cNvGrpSpPr>
              <a:grpSpLocks/>
            </xdr:cNvGrpSpPr>
          </xdr:nvGrpSpPr>
          <xdr:grpSpPr bwMode="auto">
            <a:xfrm>
              <a:off x="49" y="99"/>
              <a:ext cx="463" cy="622"/>
              <a:chOff x="80" y="80"/>
              <a:chExt cx="463" cy="622"/>
            </a:xfrm>
          </xdr:grpSpPr>
          <xdr:pic>
            <xdr:nvPicPr>
              <xdr:cNvPr id="27819" name="Picture 38" descr="25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0" y="80"/>
                <a:ext cx="463" cy="62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$R$28" fLocksText="0">
            <xdr:nvSpPr>
              <xdr:cNvPr id="27677" name="Text Box 29"/>
              <xdr:cNvSpPr txBox="1">
                <a:spLocks noChangeArrowheads="1" noTextEdit="1"/>
              </xdr:cNvSpPr>
            </xdr:nvSpPr>
            <xdr:spPr bwMode="auto">
              <a:xfrm>
                <a:off x="464" y="147"/>
                <a:ext cx="61" cy="2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fld id="{3D0035C6-3806-4C95-9BBF-02E9EABA5FB4}" type="TxLink">
                  <a:rPr lang="en-SG" sz="1100" b="0" i="0" u="none" strike="noStrike" baseline="0">
                    <a:solidFill>
                      <a:srgbClr val="339966"/>
                    </a:solidFill>
                    <a:latin typeface="Comic Sans MS"/>
                  </a:rPr>
                  <a:pPr algn="l" rtl="0">
                    <a:defRPr sz="1000"/>
                  </a:pPr>
                  <a:t>??</a:t>
                </a:fld>
                <a:endParaRPr lang="en-SG" sz="1100" b="0" i="0" u="none" strike="noStrike" baseline="0">
                  <a:solidFill>
                    <a:srgbClr val="339966"/>
                  </a:solidFill>
                  <a:latin typeface="Comic Sans MS"/>
                </a:endParaRPr>
              </a:p>
            </xdr:txBody>
          </xdr:sp>
          <xdr:sp macro="" textlink="Sheet1!$D$16">
            <xdr:nvSpPr>
              <xdr:cNvPr id="27679" name="Text Box 31"/>
              <xdr:cNvSpPr txBox="1">
                <a:spLocks noChangeArrowheads="1" noTextEdit="1"/>
              </xdr:cNvSpPr>
            </xdr:nvSpPr>
            <xdr:spPr bwMode="auto">
              <a:xfrm>
                <a:off x="223" y="451"/>
                <a:ext cx="61" cy="2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36576" bIns="0" anchor="t" upright="1"/>
              <a:lstStyle/>
              <a:p>
                <a:pPr algn="ctr" rtl="0">
                  <a:defRPr sz="1000"/>
                </a:pPr>
                <a:fld id="{AB518CEE-20D3-400F-BE26-AB572198BBD1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ctr" rtl="0">
                    <a:defRPr sz="1000"/>
                  </a:pPr>
                  <a:t>8776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$O$1">
            <xdr:nvSpPr>
              <xdr:cNvPr id="27680" name="Text Box 32"/>
              <xdr:cNvSpPr txBox="1">
                <a:spLocks noChangeArrowheads="1" noTextEdit="1"/>
              </xdr:cNvSpPr>
            </xdr:nvSpPr>
            <xdr:spPr bwMode="auto">
              <a:xfrm>
                <a:off x="173" y="451"/>
                <a:ext cx="30" cy="3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0" bIns="0" anchor="t" upright="1"/>
              <a:lstStyle/>
              <a:p>
                <a:pPr algn="l" rtl="0">
                  <a:defRPr sz="1000"/>
                </a:pPr>
                <a:fld id="{F8CDFCB4-42E2-4263-BA74-6EEB844EC746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R-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Sheet1!I13">
            <xdr:nvSpPr>
              <xdr:cNvPr id="27687" name="Text Box 39"/>
              <xdr:cNvSpPr txBox="1">
                <a:spLocks noChangeArrowheads="1" noTextEdit="1"/>
              </xdr:cNvSpPr>
            </xdr:nvSpPr>
            <xdr:spPr bwMode="auto">
              <a:xfrm>
                <a:off x="408" y="97"/>
                <a:ext cx="61" cy="2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fld id="{CB20060D-2151-42E4-8C0D-81E521A6B344}" type="TxLink">
                  <a:rPr lang="en-SG" sz="1100" b="0" i="0" u="none" strike="noStrike" baseline="0">
                    <a:solidFill>
                      <a:srgbClr val="0000FF"/>
                    </a:solidFill>
                    <a:latin typeface="Comic Sans MS"/>
                  </a:rPr>
                  <a:pPr algn="l" rtl="0">
                    <a:defRPr sz="1000"/>
                  </a:pPr>
                  <a:t>46.83</a:t>
                </a:fld>
                <a:endParaRPr lang="en-SG" sz="1100" b="0" i="0" u="none" strike="noStrike" baseline="0">
                  <a:solidFill>
                    <a:srgbClr val="0000FF"/>
                  </a:solidFill>
                  <a:latin typeface="Comic Sans MS"/>
                </a:endParaRPr>
              </a:p>
            </xdr:txBody>
          </xdr:sp>
          <xdr:sp macro="" textlink="">
            <xdr:nvSpPr>
              <xdr:cNvPr id="27824" name="Line 41"/>
              <xdr:cNvSpPr>
                <a:spLocks noChangeShapeType="1"/>
              </xdr:cNvSpPr>
            </xdr:nvSpPr>
            <xdr:spPr bwMode="auto">
              <a:xfrm>
                <a:off x="174" y="473"/>
                <a:ext cx="32" cy="0"/>
              </a:xfrm>
              <a:prstGeom prst="line">
                <a:avLst/>
              </a:prstGeom>
              <a:noFill/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  <xdr:sp macro="" textlink="">
            <xdr:nvSpPr>
              <xdr:cNvPr id="27693" name="Text Box 45"/>
              <xdr:cNvSpPr txBox="1">
                <a:spLocks noChangeArrowheads="1"/>
              </xdr:cNvSpPr>
            </xdr:nvSpPr>
            <xdr:spPr bwMode="auto">
              <a:xfrm>
                <a:off x="394" y="147"/>
                <a:ext cx="30" cy="2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en-SG" sz="1000" b="0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W</a:t>
                </a:r>
              </a:p>
            </xdr:txBody>
          </xdr:sp>
        </xdr:grpSp>
        <xdr:sp macro="" textlink="">
          <xdr:nvSpPr>
            <xdr:cNvPr id="27818" name="Text Box 48"/>
            <xdr:cNvSpPr txBox="1">
              <a:spLocks noChangeArrowheads="1"/>
            </xdr:cNvSpPr>
          </xdr:nvSpPr>
          <xdr:spPr bwMode="auto">
            <a:xfrm>
              <a:off x="141" y="490"/>
              <a:ext cx="137" cy="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  <xdr:sp macro="" textlink="">
        <xdr:nvSpPr>
          <xdr:cNvPr id="27816" name="Line 50"/>
          <xdr:cNvSpPr>
            <a:spLocks noChangeShapeType="1"/>
          </xdr:cNvSpPr>
        </xdr:nvSpPr>
        <xdr:spPr bwMode="auto">
          <a:xfrm>
            <a:off x="142" y="493"/>
            <a:ext cx="136" cy="0"/>
          </a:xfrm>
          <a:prstGeom prst="line">
            <a:avLst/>
          </a:prstGeom>
          <a:noFill/>
          <a:ln w="9525">
            <a:solidFill>
              <a:srgbClr val="333333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1447800</xdr:colOff>
      <xdr:row>82</xdr:row>
      <xdr:rowOff>38100</xdr:rowOff>
    </xdr:from>
    <xdr:to>
      <xdr:col>11</xdr:col>
      <xdr:colOff>9525</xdr:colOff>
      <xdr:row>84</xdr:row>
      <xdr:rowOff>85725</xdr:rowOff>
    </xdr:to>
    <xdr:grpSp>
      <xdr:nvGrpSpPr>
        <xdr:cNvPr id="33914" name="Group 1"/>
        <xdr:cNvGrpSpPr>
          <a:grpSpLocks/>
        </xdr:cNvGrpSpPr>
      </xdr:nvGrpSpPr>
      <xdr:grpSpPr bwMode="auto">
        <a:xfrm>
          <a:off x="2600325" y="13620750"/>
          <a:ext cx="2400300" cy="371475"/>
          <a:chOff x="919" y="1110"/>
          <a:chExt cx="293" cy="40"/>
        </a:xfrm>
      </xdr:grpSpPr>
      <xdr:pic>
        <xdr:nvPicPr>
          <xdr:cNvPr id="33931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9" y="1110"/>
            <a:ext cx="88" cy="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33795" name="Text Box 3"/>
          <xdr:cNvSpPr txBox="1">
            <a:spLocks noChangeArrowheads="1"/>
          </xdr:cNvSpPr>
        </xdr:nvSpPr>
        <xdr:spPr bwMode="auto">
          <a:xfrm>
            <a:off x="993" y="1116"/>
            <a:ext cx="219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SG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NOK ASIA CO. PTE. LTD.</a:t>
            </a:r>
          </a:p>
        </xdr:txBody>
      </xdr:sp>
    </xdr:grpSp>
    <xdr:clientData/>
  </xdr:twoCellAnchor>
  <xdr:twoCellAnchor>
    <xdr:from>
      <xdr:col>3</xdr:col>
      <xdr:colOff>855345</xdr:colOff>
      <xdr:row>55</xdr:row>
      <xdr:rowOff>83820</xdr:rowOff>
    </xdr:from>
    <xdr:to>
      <xdr:col>7</xdr:col>
      <xdr:colOff>83820</xdr:colOff>
      <xdr:row>56</xdr:row>
      <xdr:rowOff>182880</xdr:rowOff>
    </xdr:to>
    <xdr:sp macro="" textlink="Sheet1!$F$3">
      <xdr:nvSpPr>
        <xdr:cNvPr id="33796" name="Text Box 4"/>
        <xdr:cNvSpPr txBox="1">
          <a:spLocks noChangeArrowheads="1" noTextEdit="1"/>
        </xdr:cNvSpPr>
      </xdr:nvSpPr>
      <xdr:spPr bwMode="auto">
        <a:xfrm>
          <a:off x="2537460" y="9144000"/>
          <a:ext cx="1470660" cy="297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5720" rIns="0" bIns="0" anchor="t" upright="1"/>
        <a:lstStyle/>
        <a:p>
          <a:pPr algn="l" rtl="0">
            <a:defRPr sz="1000"/>
          </a:pPr>
          <a:fld id="{4BED3D49-6E79-4AF7-AE9B-EF50B3223CD8}" type="TxLink">
            <a:rPr lang="en-SG" sz="1400" b="0" i="0" u="none" strike="noStrike" baseline="0">
              <a:solidFill>
                <a:srgbClr val="0000FF"/>
              </a:solidFill>
              <a:latin typeface="Comic Sans MS"/>
            </a:rPr>
            <a:pPr algn="l" rtl="0">
              <a:defRPr sz="1000"/>
            </a:pPr>
            <a:t>NAH 0609 A</a:t>
          </a:fld>
          <a:endParaRPr lang="en-SG" sz="1400" b="0" i="0" u="none" strike="noStrike" baseline="0">
            <a:solidFill>
              <a:srgbClr val="0000FF"/>
            </a:solidFill>
            <a:latin typeface="Comic Sans MS"/>
          </a:endParaRPr>
        </a:p>
      </xdr:txBody>
    </xdr:sp>
    <xdr:clientData/>
  </xdr:twoCellAnchor>
  <xdr:twoCellAnchor>
    <xdr:from>
      <xdr:col>9</xdr:col>
      <xdr:colOff>123825</xdr:colOff>
      <xdr:row>56</xdr:row>
      <xdr:rowOff>57150</xdr:rowOff>
    </xdr:from>
    <xdr:to>
      <xdr:col>14</xdr:col>
      <xdr:colOff>161925</xdr:colOff>
      <xdr:row>57</xdr:row>
      <xdr:rowOff>114300</xdr:rowOff>
    </xdr:to>
    <xdr:grpSp>
      <xdr:nvGrpSpPr>
        <xdr:cNvPr id="33916" name="Group 5"/>
        <xdr:cNvGrpSpPr>
          <a:grpSpLocks/>
        </xdr:cNvGrpSpPr>
      </xdr:nvGrpSpPr>
      <xdr:grpSpPr bwMode="auto">
        <a:xfrm>
          <a:off x="4505325" y="9401175"/>
          <a:ext cx="2019300" cy="295275"/>
          <a:chOff x="1030" y="391"/>
          <a:chExt cx="191" cy="26"/>
        </a:xfrm>
      </xdr:grpSpPr>
      <xdr:sp macro="" textlink="Sheet1!$D$16">
        <xdr:nvSpPr>
          <xdr:cNvPr id="33798" name="Text Box 6"/>
          <xdr:cNvSpPr txBox="1">
            <a:spLocks noChangeArrowheads="1" noTextEdit="1"/>
          </xdr:cNvSpPr>
        </xdr:nvSpPr>
        <xdr:spPr bwMode="auto">
          <a:xfrm>
            <a:off x="1103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B6D46A63-D4E6-4D07-BE1A-9CF4EC06B37E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8776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O$1">
        <xdr:nvSpPr>
          <xdr:cNvPr id="33799" name="Text Box 7"/>
          <xdr:cNvSpPr txBox="1">
            <a:spLocks noChangeArrowheads="1" noTextEdit="1"/>
          </xdr:cNvSpPr>
        </xdr:nvSpPr>
        <xdr:spPr bwMode="auto">
          <a:xfrm>
            <a:off x="1030" y="391"/>
            <a:ext cx="33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F20A4EC6-6661-43FB-9E13-691BA3977E00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C$16">
        <xdr:nvSpPr>
          <xdr:cNvPr id="33800" name="Text Box 8"/>
          <xdr:cNvSpPr txBox="1">
            <a:spLocks noChangeArrowheads="1" noTextEdit="1"/>
          </xdr:cNvSpPr>
        </xdr:nvSpPr>
        <xdr:spPr bwMode="auto">
          <a:xfrm>
            <a:off x="1061" y="392"/>
            <a:ext cx="43" cy="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fld id="{FAD3662B-93C8-4F0E-A3FB-30C40AE272B4}" type="TxLink"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R-FDB</a:t>
            </a:fld>
            <a:endParaRPr lang="en-SG" sz="14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">
        <xdr:nvSpPr>
          <xdr:cNvPr id="33801" name="Text Box 9"/>
          <xdr:cNvSpPr txBox="1">
            <a:spLocks noChangeArrowheads="1"/>
          </xdr:cNvSpPr>
        </xdr:nvSpPr>
        <xdr:spPr bwMode="auto">
          <a:xfrm>
            <a:off x="1154" y="392"/>
            <a:ext cx="67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0" bIns="0" anchor="t" upright="1"/>
          <a:lstStyle/>
          <a:p>
            <a:pPr algn="l" rtl="0">
              <a:defRPr sz="1000"/>
            </a:pPr>
            <a:r>
              <a:rPr lang="en-SG" sz="1400" b="0" i="0" u="none" strike="noStrike" baseline="0">
                <a:solidFill>
                  <a:srgbClr val="0000FF"/>
                </a:solidFill>
                <a:latin typeface="Comic Sans MS"/>
              </a:rPr>
              <a:t>-14</a:t>
            </a:r>
          </a:p>
        </xdr:txBody>
      </xdr:sp>
    </xdr:grpSp>
    <xdr:clientData/>
  </xdr:twoCellAnchor>
  <xdr:twoCellAnchor editAs="oneCell">
    <xdr:from>
      <xdr:col>7</xdr:col>
      <xdr:colOff>57150</xdr:colOff>
      <xdr:row>48</xdr:row>
      <xdr:rowOff>9525</xdr:rowOff>
    </xdr:from>
    <xdr:to>
      <xdr:col>13</xdr:col>
      <xdr:colOff>409575</xdr:colOff>
      <xdr:row>52</xdr:row>
      <xdr:rowOff>76200</xdr:rowOff>
    </xdr:to>
    <xdr:pic>
      <xdr:nvPicPr>
        <xdr:cNvPr id="33917" name="Picture 10" descr="IP H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6675" y="7781925"/>
          <a:ext cx="24384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495300</xdr:colOff>
      <xdr:row>28</xdr:row>
      <xdr:rowOff>152400</xdr:rowOff>
    </xdr:from>
    <xdr:to>
      <xdr:col>3</xdr:col>
      <xdr:colOff>57150</xdr:colOff>
      <xdr:row>28</xdr:row>
      <xdr:rowOff>152400</xdr:rowOff>
    </xdr:to>
    <xdr:sp macro="" textlink="">
      <xdr:nvSpPr>
        <xdr:cNvPr id="33918" name="Line 19"/>
        <xdr:cNvSpPr>
          <a:spLocks noChangeShapeType="1"/>
        </xdr:cNvSpPr>
      </xdr:nvSpPr>
      <xdr:spPr bwMode="auto">
        <a:xfrm>
          <a:off x="1362075" y="468630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476250</xdr:colOff>
      <xdr:row>28</xdr:row>
      <xdr:rowOff>133350</xdr:rowOff>
    </xdr:from>
    <xdr:to>
      <xdr:col>4</xdr:col>
      <xdr:colOff>47625</xdr:colOff>
      <xdr:row>29</xdr:row>
      <xdr:rowOff>47625</xdr:rowOff>
    </xdr:to>
    <xdr:sp macro="" textlink="">
      <xdr:nvSpPr>
        <xdr:cNvPr id="33919" name="Text Box 21"/>
        <xdr:cNvSpPr txBox="1">
          <a:spLocks noChangeArrowheads="1"/>
        </xdr:cNvSpPr>
      </xdr:nvSpPr>
      <xdr:spPr bwMode="auto">
        <a:xfrm>
          <a:off x="1343025" y="4667250"/>
          <a:ext cx="130492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104775</xdr:colOff>
      <xdr:row>0</xdr:row>
      <xdr:rowOff>47625</xdr:rowOff>
    </xdr:from>
    <xdr:to>
      <xdr:col>12</xdr:col>
      <xdr:colOff>371475</xdr:colOff>
      <xdr:row>46</xdr:row>
      <xdr:rowOff>85725</xdr:rowOff>
    </xdr:to>
    <xdr:grpSp>
      <xdr:nvGrpSpPr>
        <xdr:cNvPr id="33920" name="Group 26"/>
        <xdr:cNvGrpSpPr>
          <a:grpSpLocks/>
        </xdr:cNvGrpSpPr>
      </xdr:nvGrpSpPr>
      <xdr:grpSpPr bwMode="auto">
        <a:xfrm>
          <a:off x="523875" y="47625"/>
          <a:ext cx="5295900" cy="7486650"/>
          <a:chOff x="55" y="5"/>
          <a:chExt cx="556" cy="786"/>
        </a:xfrm>
      </xdr:grpSpPr>
      <xdr:pic>
        <xdr:nvPicPr>
          <xdr:cNvPr id="33921" name="Picture 24" descr="FDB     -14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" y="5"/>
            <a:ext cx="556" cy="7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R$13" fLocksText="0">
        <xdr:nvSpPr>
          <xdr:cNvPr id="33807" name="Text Box 15"/>
          <xdr:cNvSpPr txBox="1">
            <a:spLocks noChangeArrowheads="1" noTextEdit="1"/>
          </xdr:cNvSpPr>
        </xdr:nvSpPr>
        <xdr:spPr bwMode="auto">
          <a:xfrm>
            <a:off x="419" y="143"/>
            <a:ext cx="60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39251F6F-E164-481A-9B8F-C4C1B2315071}" type="TxLink">
              <a:rPr lang="en-SG" sz="11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pPr algn="l" rtl="0">
                <a:defRPr sz="1000"/>
              </a:pPr>
              <a:t>41.17</a:t>
            </a:fld>
            <a:endParaRPr lang="en-SG" sz="1100" b="0" i="0" u="none" strike="noStrike" baseline="0">
              <a:solidFill>
                <a:srgbClr val="0000FF"/>
              </a:solidFill>
              <a:latin typeface="Arial"/>
              <a:cs typeface="Arial"/>
            </a:endParaRPr>
          </a:p>
        </xdr:txBody>
      </xdr:sp>
      <xdr:sp macro="" textlink="Sheet1!$D$16">
        <xdr:nvSpPr>
          <xdr:cNvPr id="33808" name="Text Box 16"/>
          <xdr:cNvSpPr txBox="1">
            <a:spLocks noChangeArrowheads="1" noTextEdit="1"/>
          </xdr:cNvSpPr>
        </xdr:nvSpPr>
        <xdr:spPr bwMode="auto">
          <a:xfrm>
            <a:off x="163" y="384"/>
            <a:ext cx="61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36576" bIns="0" anchor="t" upright="1"/>
          <a:lstStyle/>
          <a:p>
            <a:pPr algn="ctr" rtl="0">
              <a:defRPr sz="1000"/>
            </a:pPr>
            <a:fld id="{947C1B0A-BD90-4669-9564-4B11F5807438}" type="TxLink">
              <a:rPr lang="en-SG" sz="1100" b="0" i="0" u="none" strike="noStrike" baseline="0">
                <a:solidFill>
                  <a:srgbClr val="0000FF"/>
                </a:solidFill>
                <a:latin typeface="Comic Sans MS"/>
              </a:rPr>
              <a:pPr algn="ctr" rtl="0">
                <a:defRPr sz="1000"/>
              </a:pPr>
              <a:t>8776</a:t>
            </a:fld>
            <a:endParaRPr lang="en-SG" sz="11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$O$1">
        <xdr:nvSpPr>
          <xdr:cNvPr id="33809" name="Text Box 17"/>
          <xdr:cNvSpPr txBox="1">
            <a:spLocks noChangeArrowheads="1" noTextEdit="1"/>
          </xdr:cNvSpPr>
        </xdr:nvSpPr>
        <xdr:spPr bwMode="auto">
          <a:xfrm>
            <a:off x="111" y="384"/>
            <a:ext cx="31" cy="3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0" anchor="t" upright="1"/>
          <a:lstStyle/>
          <a:p>
            <a:pPr algn="l" rtl="0">
              <a:defRPr sz="1000"/>
            </a:pPr>
            <a:fld id="{4DA58C9B-7507-4074-A37F-61604B6EACB7}" type="TxLink">
              <a:rPr lang="en-SG" sz="11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R-</a:t>
            </a:fld>
            <a:endParaRPr lang="en-SG" sz="11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Sheet1!I13">
        <xdr:nvSpPr>
          <xdr:cNvPr id="33810" name="Text Box 18"/>
          <xdr:cNvSpPr txBox="1">
            <a:spLocks noChangeArrowheads="1" noTextEdit="1"/>
          </xdr:cNvSpPr>
        </xdr:nvSpPr>
        <xdr:spPr bwMode="auto">
          <a:xfrm>
            <a:off x="382" y="95"/>
            <a:ext cx="63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D839F6E2-989A-4B08-96E6-21EACF87B43F}" type="TxLink">
              <a:rPr lang="en-SG" sz="1100" b="0" i="0" u="none" strike="noStrike" baseline="0">
                <a:solidFill>
                  <a:srgbClr val="0000FF"/>
                </a:solidFill>
                <a:latin typeface="Comic Sans MS"/>
              </a:rPr>
              <a:pPr algn="l" rtl="0">
                <a:defRPr sz="1000"/>
              </a:pPr>
              <a:t>46.83</a:t>
            </a:fld>
            <a:endParaRPr lang="en-SG" sz="1100" b="0" i="0" u="none" strike="noStrike" baseline="0">
              <a:solidFill>
                <a:srgbClr val="0000FF"/>
              </a:solidFill>
              <a:latin typeface="Comic Sans MS"/>
            </a:endParaRPr>
          </a:p>
        </xdr:txBody>
      </xdr:sp>
      <xdr:sp macro="" textlink="$R$28" fLocksText="0">
        <xdr:nvSpPr>
          <xdr:cNvPr id="33817" name="Text Box 25"/>
          <xdr:cNvSpPr txBox="1">
            <a:spLocks noChangeArrowheads="1" noTextEdit="1"/>
          </xdr:cNvSpPr>
        </xdr:nvSpPr>
        <xdr:spPr bwMode="auto">
          <a:xfrm>
            <a:off x="193" y="193"/>
            <a:ext cx="60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6576" rIns="0" bIns="36576" anchor="ctr" upright="1"/>
          <a:lstStyle/>
          <a:p>
            <a:pPr algn="l" rtl="0">
              <a:defRPr sz="1000"/>
            </a:pPr>
            <a:fld id="{6702741F-3546-4A55-961E-72716070BED2}" type="TxLink">
              <a:rPr lang="en-SG" sz="1100" b="0" i="0" u="none" strike="noStrike" baseline="0">
                <a:solidFill>
                  <a:srgbClr val="339966"/>
                </a:solidFill>
                <a:latin typeface="Comic Sans MS"/>
              </a:rPr>
              <a:pPr algn="l" rtl="0">
                <a:defRPr sz="1000"/>
              </a:pPr>
              <a:t>??</a:t>
            </a:fld>
            <a:endParaRPr lang="en-SG" sz="1100" b="0" i="0" u="none" strike="noStrike" baseline="0">
              <a:solidFill>
                <a:srgbClr val="339966"/>
              </a:solidFill>
              <a:latin typeface="Comic Sans MS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A38"/>
  <sheetViews>
    <sheetView tabSelected="1" workbookViewId="0">
      <selection activeCell="N20" sqref="N20"/>
    </sheetView>
  </sheetViews>
  <sheetFormatPr defaultRowHeight="12.75" x14ac:dyDescent="0.2"/>
  <cols>
    <col min="1" max="1" width="2.140625" style="73" customWidth="1"/>
    <col min="2" max="2" width="45" style="73" customWidth="1"/>
    <col min="3" max="3" width="12.28515625" style="115" customWidth="1"/>
    <col min="4" max="4" width="10.7109375" style="73" customWidth="1"/>
    <col min="5" max="5" width="14.85546875" style="73" customWidth="1"/>
    <col min="6" max="6" width="22.140625" style="115" customWidth="1"/>
    <col min="7" max="7" width="3.5703125" style="73" customWidth="1"/>
    <col min="8" max="8" width="16.140625" style="73" customWidth="1"/>
    <col min="9" max="9" width="1.5703125" style="73" customWidth="1"/>
    <col min="10" max="10" width="11.85546875" style="73" customWidth="1"/>
    <col min="11" max="11" width="2" style="73" customWidth="1"/>
    <col min="12" max="12" width="9" style="73" customWidth="1"/>
    <col min="13" max="13" width="9.140625" style="73"/>
    <col min="14" max="14" width="9.140625" style="197"/>
    <col min="15" max="15" width="9.140625" style="198"/>
    <col min="16" max="17" width="9.140625" style="199"/>
    <col min="18" max="19" width="9.140625" style="200"/>
    <col min="20" max="23" width="9.140625" style="197"/>
    <col min="24" max="24" width="9.140625" style="200"/>
    <col min="25" max="27" width="9.140625" style="197"/>
    <col min="28" max="16384" width="9.140625" style="73"/>
  </cols>
  <sheetData>
    <row r="1" spans="2:27" ht="32.25" customHeight="1" x14ac:dyDescent="0.6">
      <c r="B1" s="292" t="s">
        <v>96</v>
      </c>
      <c r="C1" s="292"/>
      <c r="D1" s="292"/>
      <c r="E1" s="292"/>
      <c r="F1" s="292"/>
      <c r="G1" s="292"/>
      <c r="H1" s="74" t="s">
        <v>35</v>
      </c>
      <c r="I1" s="74"/>
      <c r="J1" s="299">
        <f ca="1">NOW()</f>
        <v>43987.692111226854</v>
      </c>
      <c r="K1" s="299"/>
      <c r="L1" s="75"/>
      <c r="M1" s="75"/>
      <c r="O1" s="211" t="str">
        <f>IF(LEFT(C3,1)="N","R-","")</f>
        <v>R-</v>
      </c>
    </row>
    <row r="2" spans="2:27" ht="6.75" customHeight="1" x14ac:dyDescent="0.5">
      <c r="B2" s="76"/>
      <c r="C2" s="77"/>
      <c r="D2" s="78"/>
      <c r="E2" s="75"/>
      <c r="F2" s="79"/>
      <c r="G2" s="75"/>
      <c r="H2" s="75"/>
      <c r="I2" s="75"/>
      <c r="J2" s="80"/>
      <c r="K2" s="75"/>
      <c r="L2" s="75"/>
      <c r="M2" s="75"/>
      <c r="O2" s="282" t="str">
        <f>IF(C15&gt;110.55,Sheet2!B10,IF(C15&gt;100.55,"FDH",IF(C15&gt;90.45,"FDG",IF(C15&gt;80.45,"FDF",IF(C15&gt;70.45,"FDE",IF(C15&gt;60.45,"FDD",IF(C15&gt;50.45,"FDC",IF(C15&gt;40.45,"FDB",Sheet2!B9))))))))</f>
        <v>FDB</v>
      </c>
    </row>
    <row r="3" spans="2:27" ht="19.5" customHeight="1" x14ac:dyDescent="0.4">
      <c r="B3" s="74" t="s">
        <v>36</v>
      </c>
      <c r="C3" s="306" t="s">
        <v>163</v>
      </c>
      <c r="D3" s="306"/>
      <c r="E3" s="306"/>
      <c r="F3" s="81" t="str">
        <f>REPLACE(C3,11,2,"")</f>
        <v>NAH 0609 A</v>
      </c>
      <c r="G3" s="75"/>
      <c r="H3" s="135" t="str">
        <f>IF(OR(C16="R-FDB",C16="FDB")," ","This template is only for FDB")</f>
        <v xml:space="preserve"> </v>
      </c>
      <c r="I3" s="75"/>
      <c r="J3" s="80"/>
      <c r="K3" s="75"/>
      <c r="L3" s="75"/>
      <c r="M3" s="75"/>
      <c r="O3" s="282"/>
    </row>
    <row r="4" spans="2:27" s="82" customFormat="1" ht="16.5" x14ac:dyDescent="0.3">
      <c r="B4" s="83"/>
      <c r="C4" s="84"/>
      <c r="D4" s="83"/>
      <c r="E4" s="85" t="s">
        <v>13</v>
      </c>
      <c r="F4" s="86"/>
      <c r="G4" s="83"/>
      <c r="H4" s="85" t="s">
        <v>19</v>
      </c>
      <c r="I4" s="85"/>
      <c r="J4" s="83"/>
      <c r="K4" s="83"/>
      <c r="L4" s="83"/>
      <c r="M4" s="83"/>
      <c r="N4" s="201"/>
      <c r="O4" s="212" t="str">
        <f>CONCATENATE(O1,O2)</f>
        <v>R-FDB</v>
      </c>
      <c r="P4" s="203"/>
      <c r="Q4" s="203"/>
      <c r="R4" s="204"/>
      <c r="S4" s="204"/>
      <c r="T4" s="201"/>
      <c r="U4" s="201"/>
      <c r="V4" s="201"/>
      <c r="W4" s="201"/>
      <c r="X4" s="204"/>
      <c r="Y4" s="201"/>
      <c r="Z4" s="201"/>
      <c r="AA4" s="201"/>
    </row>
    <row r="5" spans="2:27" s="82" customFormat="1" ht="16.5" x14ac:dyDescent="0.3">
      <c r="B5" s="136" t="s">
        <v>0</v>
      </c>
      <c r="C5" s="136" t="s">
        <v>1</v>
      </c>
      <c r="D5" s="83"/>
      <c r="E5" s="136" t="s">
        <v>0</v>
      </c>
      <c r="F5" s="136" t="s">
        <v>1</v>
      </c>
      <c r="G5" s="83"/>
      <c r="H5" s="136" t="s">
        <v>0</v>
      </c>
      <c r="I5" s="303" t="s">
        <v>1</v>
      </c>
      <c r="J5" s="303"/>
      <c r="K5" s="303"/>
      <c r="L5" s="303"/>
      <c r="M5" s="83"/>
      <c r="N5" s="201"/>
      <c r="O5" s="202"/>
      <c r="P5" s="203"/>
      <c r="Q5" s="203"/>
      <c r="R5" s="204"/>
      <c r="S5" s="204"/>
      <c r="T5" s="201"/>
      <c r="U5" s="201"/>
      <c r="V5" s="201"/>
      <c r="W5" s="201"/>
      <c r="X5" s="204"/>
      <c r="Y5" s="201"/>
      <c r="Z5" s="201"/>
      <c r="AA5" s="201"/>
    </row>
    <row r="6" spans="2:27" s="82" customFormat="1" ht="18.75" x14ac:dyDescent="0.4">
      <c r="B6" s="87" t="s">
        <v>3</v>
      </c>
      <c r="C6" s="71">
        <v>46.8</v>
      </c>
      <c r="D6" s="83"/>
      <c r="E6" s="89" t="s">
        <v>10</v>
      </c>
      <c r="F6" s="88">
        <f>C7+0.05</f>
        <v>41.05</v>
      </c>
      <c r="G6" s="83"/>
      <c r="H6" s="89" t="s">
        <v>10</v>
      </c>
      <c r="I6" s="297">
        <f>C21</f>
        <v>56.4</v>
      </c>
      <c r="J6" s="297"/>
      <c r="K6" s="297"/>
      <c r="L6" s="297"/>
      <c r="M6" s="83"/>
      <c r="N6" s="201"/>
      <c r="O6" s="202"/>
      <c r="P6" s="205"/>
      <c r="Q6" s="203"/>
      <c r="R6" s="204"/>
      <c r="S6" s="204"/>
      <c r="T6" s="201"/>
      <c r="U6" s="201"/>
      <c r="V6" s="201"/>
      <c r="W6" s="201"/>
      <c r="X6" s="204"/>
      <c r="Y6" s="201"/>
      <c r="Z6" s="201"/>
      <c r="AA6" s="201"/>
    </row>
    <row r="7" spans="2:27" s="82" customFormat="1" ht="18.75" x14ac:dyDescent="0.4">
      <c r="B7" s="87" t="s">
        <v>4</v>
      </c>
      <c r="C7" s="72">
        <v>41</v>
      </c>
      <c r="D7" s="83"/>
      <c r="E7" s="89" t="s">
        <v>11</v>
      </c>
      <c r="F7" s="91">
        <f>IF(C7&gt;125,C7-30,IF(C7&gt;95,C7-25,IF(C7&gt;65,C7-20,IF(C7&gt;45,C7-12,IF(C7&gt;35,C7-8,IF(C7&gt;28,C7-5,"No Need"))))))</f>
        <v>33</v>
      </c>
      <c r="G7" s="83"/>
      <c r="H7" s="89" t="s">
        <v>11</v>
      </c>
      <c r="I7" s="297">
        <f>I13</f>
        <v>46.83</v>
      </c>
      <c r="J7" s="297"/>
      <c r="K7" s="297"/>
      <c r="L7" s="297"/>
      <c r="M7" s="83"/>
      <c r="N7" s="201"/>
      <c r="O7" s="202"/>
      <c r="P7" s="203"/>
      <c r="Q7" s="203"/>
      <c r="R7" s="204"/>
      <c r="S7" s="204"/>
      <c r="T7" s="201"/>
      <c r="U7" s="201"/>
      <c r="V7" s="201"/>
      <c r="W7" s="201"/>
      <c r="X7" s="204"/>
      <c r="Y7" s="201"/>
      <c r="Z7" s="201"/>
      <c r="AA7" s="201"/>
    </row>
    <row r="8" spans="2:27" s="82" customFormat="1" ht="18.75" x14ac:dyDescent="0.4">
      <c r="B8" s="87" t="s">
        <v>5</v>
      </c>
      <c r="C8" s="71">
        <v>5.7</v>
      </c>
      <c r="D8" s="83"/>
      <c r="E8" s="83"/>
      <c r="F8" s="84"/>
      <c r="G8" s="83"/>
      <c r="H8" s="89" t="s">
        <v>14</v>
      </c>
      <c r="I8" s="298">
        <f>I15</f>
        <v>51</v>
      </c>
      <c r="J8" s="298"/>
      <c r="K8" s="298"/>
      <c r="L8" s="298"/>
      <c r="M8" s="83"/>
      <c r="N8" s="201"/>
      <c r="O8" s="202"/>
      <c r="P8" s="203"/>
      <c r="Q8" s="203"/>
      <c r="R8" s="204"/>
      <c r="S8" s="204"/>
      <c r="T8" s="201"/>
      <c r="U8" s="201"/>
      <c r="V8" s="201"/>
      <c r="W8" s="201"/>
      <c r="X8" s="204"/>
      <c r="Y8" s="201"/>
      <c r="Z8" s="201"/>
      <c r="AA8" s="201"/>
    </row>
    <row r="9" spans="2:27" s="82" customFormat="1" ht="18.75" x14ac:dyDescent="0.4">
      <c r="B9" s="87" t="s">
        <v>6</v>
      </c>
      <c r="C9" s="71">
        <v>0.8</v>
      </c>
      <c r="D9" s="83"/>
      <c r="E9" s="85" t="s">
        <v>12</v>
      </c>
      <c r="F9" s="84"/>
      <c r="G9" s="83"/>
      <c r="H9" s="83"/>
      <c r="I9" s="83"/>
      <c r="J9" s="83"/>
      <c r="K9" s="83"/>
      <c r="L9" s="83"/>
      <c r="M9" s="83"/>
      <c r="N9" s="201"/>
      <c r="O9" s="202"/>
      <c r="P9" s="203"/>
      <c r="Q9" s="203"/>
      <c r="R9" s="204"/>
      <c r="S9" s="204"/>
      <c r="T9" s="201"/>
      <c r="U9" s="201"/>
      <c r="V9" s="201"/>
      <c r="W9" s="201"/>
      <c r="X9" s="204"/>
      <c r="Y9" s="201"/>
      <c r="Z9" s="201"/>
      <c r="AA9" s="201"/>
    </row>
    <row r="10" spans="2:27" s="82" customFormat="1" ht="18" x14ac:dyDescent="0.35">
      <c r="B10" s="92" t="s">
        <v>33</v>
      </c>
      <c r="C10" s="71" t="s">
        <v>145</v>
      </c>
      <c r="D10" s="83"/>
      <c r="E10" s="136" t="s">
        <v>0</v>
      </c>
      <c r="F10" s="136" t="s">
        <v>1</v>
      </c>
      <c r="G10" s="83"/>
      <c r="H10" s="85" t="s">
        <v>20</v>
      </c>
      <c r="I10" s="85"/>
      <c r="J10" s="83"/>
      <c r="K10" s="83"/>
      <c r="L10" s="83"/>
      <c r="M10" s="83"/>
      <c r="N10" s="201"/>
      <c r="O10" s="202"/>
      <c r="P10" s="203"/>
      <c r="Q10" s="203"/>
      <c r="R10" s="204"/>
      <c r="S10" s="204"/>
      <c r="T10" s="201"/>
      <c r="U10" s="201"/>
      <c r="V10" s="201"/>
      <c r="W10" s="201"/>
      <c r="X10" s="204"/>
      <c r="Y10" s="201"/>
      <c r="Z10" s="201"/>
      <c r="AA10" s="201"/>
    </row>
    <row r="11" spans="2:27" s="82" customFormat="1" ht="19.5" customHeight="1" x14ac:dyDescent="0.4">
      <c r="B11" s="286" t="s">
        <v>49</v>
      </c>
      <c r="C11" s="289">
        <v>1</v>
      </c>
      <c r="D11" s="83"/>
      <c r="E11" s="89" t="s">
        <v>10</v>
      </c>
      <c r="F11" s="88">
        <f>F6</f>
        <v>41.05</v>
      </c>
      <c r="G11" s="83"/>
      <c r="H11" s="136" t="s">
        <v>0</v>
      </c>
      <c r="I11" s="303" t="s">
        <v>1</v>
      </c>
      <c r="J11" s="303"/>
      <c r="K11" s="303"/>
      <c r="L11" s="303"/>
      <c r="M11" s="83"/>
      <c r="N11" s="201"/>
      <c r="O11" s="202"/>
      <c r="P11" s="203"/>
      <c r="Q11" s="203"/>
      <c r="R11" s="204"/>
      <c r="S11" s="204"/>
      <c r="T11" s="201"/>
      <c r="U11" s="201"/>
      <c r="V11" s="201"/>
      <c r="W11" s="201"/>
      <c r="X11" s="204"/>
      <c r="Y11" s="201"/>
      <c r="Z11" s="201"/>
      <c r="AA11" s="201"/>
    </row>
    <row r="12" spans="2:27" s="82" customFormat="1" ht="18.75" x14ac:dyDescent="0.4">
      <c r="B12" s="287"/>
      <c r="C12" s="290"/>
      <c r="D12" s="83"/>
      <c r="E12" s="89" t="s">
        <v>11</v>
      </c>
      <c r="F12" s="88">
        <f>F17</f>
        <v>48.39</v>
      </c>
      <c r="G12" s="83"/>
      <c r="H12" s="89" t="s">
        <v>10</v>
      </c>
      <c r="I12" s="297">
        <f>C7+0.05+(0.15*C9)</f>
        <v>41.169999999999995</v>
      </c>
      <c r="J12" s="297"/>
      <c r="K12" s="297"/>
      <c r="L12" s="297"/>
      <c r="M12" s="83"/>
      <c r="N12" s="201"/>
      <c r="O12" s="202"/>
      <c r="P12" s="203"/>
      <c r="Q12" s="203"/>
      <c r="R12" s="204"/>
      <c r="S12" s="204"/>
      <c r="T12" s="201"/>
      <c r="U12" s="201"/>
      <c r="V12" s="201"/>
      <c r="W12" s="201"/>
      <c r="X12" s="204"/>
      <c r="Y12" s="201"/>
      <c r="Z12" s="201"/>
      <c r="AA12" s="201"/>
    </row>
    <row r="13" spans="2:27" s="82" customFormat="1" ht="18.75" x14ac:dyDescent="0.4">
      <c r="B13" s="288"/>
      <c r="C13" s="291"/>
      <c r="D13" s="83"/>
      <c r="E13" s="93"/>
      <c r="F13" s="84"/>
      <c r="G13" s="83"/>
      <c r="H13" s="89" t="s">
        <v>11</v>
      </c>
      <c r="I13" s="298">
        <f>IF(C11=1,C6+0.03,IF(C11=2,C6-0.02+0.1*C9,IF(C11=3,C6+0.05+0.05*C9,IF(C11=4,C6-0.1+0.05*C9,IF(C11=5,C6,IF(C11=6,C6+0.05+0.1*C9,"???"))))))</f>
        <v>46.83</v>
      </c>
      <c r="J13" s="298"/>
      <c r="K13" s="298"/>
      <c r="L13" s="298"/>
      <c r="M13" s="83"/>
      <c r="N13" s="201"/>
      <c r="O13" s="202"/>
      <c r="P13" s="203"/>
      <c r="Q13" s="203"/>
      <c r="R13" s="204"/>
      <c r="S13" s="204"/>
      <c r="T13" s="201"/>
      <c r="U13" s="201"/>
      <c r="V13" s="201"/>
      <c r="W13" s="201"/>
      <c r="X13" s="204"/>
      <c r="Y13" s="201"/>
      <c r="Z13" s="201"/>
      <c r="AA13" s="201"/>
    </row>
    <row r="14" spans="2:27" s="82" customFormat="1" ht="18.75" x14ac:dyDescent="0.4">
      <c r="B14" s="88" t="s">
        <v>100</v>
      </c>
      <c r="C14" s="71">
        <v>0</v>
      </c>
      <c r="D14" s="264" t="str">
        <f>IF(C14=0,"C-Value : 0","C-Value : "&amp;Sheet2!M10)</f>
        <v>C-Value : 0</v>
      </c>
      <c r="E14" s="85" t="s">
        <v>16</v>
      </c>
      <c r="F14" s="84"/>
      <c r="G14" s="83"/>
      <c r="H14" s="305" t="str">
        <f>IF(C11=1,"SP=Dp+0.03",IF(C11=2,"SP=Dp-0.02+0.10t (10% IRONING)",IF(C11=3,"SP=Dp+0.10t (10% IRONING)",IF(C11=4,"SP=Dp-0.1+0.05t (5% IRONING)",IF(C11=5,"SP=Dp",IF(C11=6,"SP=Dp+0.10t+0.05(10% IRONING)","???"))))))</f>
        <v>SP=Dp+0.03</v>
      </c>
      <c r="I14" s="305"/>
      <c r="J14" s="305"/>
      <c r="K14" s="305"/>
      <c r="L14" s="305"/>
      <c r="M14" s="83"/>
      <c r="N14" s="201"/>
      <c r="O14" s="202"/>
      <c r="P14" s="203"/>
      <c r="Q14" s="203"/>
      <c r="R14" s="204"/>
      <c r="S14" s="204"/>
      <c r="T14" s="201"/>
      <c r="U14" s="201"/>
      <c r="V14" s="201"/>
      <c r="W14" s="201"/>
      <c r="X14" s="204"/>
      <c r="Y14" s="201"/>
      <c r="Z14" s="201"/>
      <c r="AA14" s="201"/>
    </row>
    <row r="15" spans="2:27" s="82" customFormat="1" ht="18.75" x14ac:dyDescent="0.4">
      <c r="B15" s="87" t="s">
        <v>2</v>
      </c>
      <c r="C15" s="88">
        <f>C6+2*C9</f>
        <v>48.4</v>
      </c>
      <c r="D15" s="83"/>
      <c r="E15" s="136" t="s">
        <v>0</v>
      </c>
      <c r="F15" s="136" t="s">
        <v>1</v>
      </c>
      <c r="G15" s="83"/>
      <c r="H15" s="89" t="s">
        <v>14</v>
      </c>
      <c r="I15" s="298">
        <f>ROUND((I13+4),0)</f>
        <v>51</v>
      </c>
      <c r="J15" s="298"/>
      <c r="K15" s="298"/>
      <c r="L15" s="298"/>
      <c r="M15" s="83"/>
      <c r="N15" s="201"/>
      <c r="O15" s="202"/>
      <c r="P15" s="203"/>
      <c r="Q15" s="203"/>
      <c r="R15" s="204"/>
      <c r="S15" s="204"/>
      <c r="T15" s="201"/>
      <c r="U15" s="201"/>
      <c r="V15" s="201"/>
      <c r="W15" s="201"/>
      <c r="X15" s="204"/>
      <c r="Y15" s="201"/>
      <c r="Z15" s="201"/>
      <c r="AA15" s="201"/>
    </row>
    <row r="16" spans="2:27" s="82" customFormat="1" ht="18.75" x14ac:dyDescent="0.4">
      <c r="B16" s="87" t="s">
        <v>37</v>
      </c>
      <c r="C16" s="213" t="str">
        <f>O4</f>
        <v>R-FDB</v>
      </c>
      <c r="D16" s="214">
        <v>8776</v>
      </c>
      <c r="E16" s="94" t="s">
        <v>10</v>
      </c>
      <c r="F16" s="95">
        <f>C21-(0.15*C9)</f>
        <v>56.28</v>
      </c>
      <c r="G16" s="83"/>
      <c r="H16" s="83"/>
      <c r="I16" s="83"/>
      <c r="J16" s="83"/>
      <c r="K16" s="83"/>
      <c r="L16" s="83"/>
      <c r="M16" s="83"/>
      <c r="N16" s="201"/>
      <c r="O16" s="202"/>
      <c r="P16" s="203"/>
      <c r="Q16" s="203"/>
      <c r="R16" s="204"/>
      <c r="S16" s="204"/>
      <c r="T16" s="201"/>
      <c r="U16" s="201"/>
      <c r="V16" s="201"/>
      <c r="W16" s="201"/>
      <c r="X16" s="204"/>
      <c r="Y16" s="201"/>
      <c r="Z16" s="201"/>
      <c r="AA16" s="201"/>
    </row>
    <row r="17" spans="2:27" s="82" customFormat="1" ht="18.75" x14ac:dyDescent="0.4">
      <c r="B17" s="87" t="s">
        <v>22</v>
      </c>
      <c r="C17" s="91">
        <f>AVERAGE(Sheet2!B5,Sheet2!B6)</f>
        <v>60</v>
      </c>
      <c r="D17" s="83"/>
      <c r="E17" s="89" t="s">
        <v>11</v>
      </c>
      <c r="F17" s="88">
        <f>IF(C11=1,C15+0.03-0.05*C9,IF(C11=2,C15-0.02,IF(C11=3,C15,IF(C11=4,C15-0.1,IF(C11=5,C15-0.05*C9,IF(C11=6,C15+0.05,"???"))))))</f>
        <v>48.39</v>
      </c>
      <c r="G17" s="293"/>
      <c r="H17" s="307" t="str">
        <f>IF(AND(C10="y",C15&gt;=25,C15&lt;=69),"I4 - TRIMMER"," ")</f>
        <v xml:space="preserve"> </v>
      </c>
      <c r="I17" s="307"/>
      <c r="J17" s="307"/>
      <c r="K17" s="188"/>
      <c r="L17" s="188"/>
      <c r="M17" s="96"/>
      <c r="N17" s="201"/>
      <c r="O17" s="202" t="s">
        <v>142</v>
      </c>
      <c r="P17" s="203" t="b">
        <f>$C$8&lt;4</f>
        <v>0</v>
      </c>
      <c r="Q17" s="203"/>
      <c r="R17" s="204" t="s">
        <v>142</v>
      </c>
      <c r="S17" s="204" t="b">
        <f>$C$8&lt;5</f>
        <v>0</v>
      </c>
      <c r="T17" s="308" t="str">
        <f>IF(OR(S17=TRUE,S18=TRUE,S19=TRUE,S20=TRUE),"TRUE","FALSE")</f>
        <v>TRUE</v>
      </c>
      <c r="U17" s="204" t="s">
        <v>142</v>
      </c>
      <c r="V17" s="204" t="b">
        <f>$C$8&lt;4</f>
        <v>0</v>
      </c>
      <c r="W17" s="308" t="str">
        <f>IF(OR(V17=TRUE,V18=TRUE,V19=TRUE,V20=TRUE),"TRUE","FALSE")</f>
        <v>TRUE</v>
      </c>
      <c r="X17" s="206" t="s">
        <v>142</v>
      </c>
      <c r="Y17" s="206" t="b">
        <f>$C$8&lt;5</f>
        <v>0</v>
      </c>
      <c r="Z17" s="308" t="str">
        <f>IF(OR(Y17=TRUE,Y18=TRUE,Y19=TRUE,Y20=TRUE,Y21=TRUE),"TRUE","FALSE")</f>
        <v>TRUE</v>
      </c>
      <c r="AA17" s="201"/>
    </row>
    <row r="18" spans="2:27" s="82" customFormat="1" ht="21" x14ac:dyDescent="0.4">
      <c r="B18" s="97" t="s">
        <v>7</v>
      </c>
      <c r="C18" s="300">
        <f>IF(C14=0,D18,D19)</f>
        <v>56.412764513007154</v>
      </c>
      <c r="D18" s="248">
        <f>IF(C15&gt;100.55,SQRT((C6*C6)+(4*(Sheet2!B11-C9)*C6))+0.45*C9,SQRT((C6*C6)+(4*(Sheet2!B11-(C9/2))*C6)))</f>
        <v>56.412764513007154</v>
      </c>
      <c r="E18" s="295" t="str">
        <f>IF(C11=1,"OP = Dd+0.03-0.05t  (5% IRONING)",IF(C11=2,"OP = Dd-0.02",IF(C11=3,"OP = Dd",IF(C11=4,"OP = Dd-0.1",IF(C11=5,"OP = Dd-0.05t   (5% IRONING)",IF(C11=6,"OP = Dd+0.05","???"))))))</f>
        <v>OP = Dd+0.03-0.05t  (5% IRONING)</v>
      </c>
      <c r="F18" s="296"/>
      <c r="G18" s="294"/>
      <c r="H18" s="189" t="str">
        <f>IF(AND(C10="y",C15&gt;=25,C15&lt;=69),"I4C"," ")</f>
        <v xml:space="preserve"> </v>
      </c>
      <c r="I18" s="189" t="str">
        <f>IF(AND(C10="y",C15&gt;=25,C15&lt;=69),"-"," ")</f>
        <v xml:space="preserve"> </v>
      </c>
      <c r="J18" s="190" t="str">
        <f>IF(AND(C10="y",C15&gt;=25,C15&lt;=69),AVERAGE(ROUND(C15+0.025,1),ROUND(C15-0.025,1))," ")</f>
        <v xml:space="preserve"> </v>
      </c>
      <c r="K18" s="191"/>
      <c r="L18" s="190"/>
      <c r="M18" s="114"/>
      <c r="N18" s="201"/>
      <c r="O18" s="202" t="s">
        <v>143</v>
      </c>
      <c r="P18" s="203" t="b">
        <f>AND($C$8&gt;=4,$C$8&lt;5)</f>
        <v>0</v>
      </c>
      <c r="Q18" s="283" t="str">
        <f>IF(OR(P18=TRUE,P19=TRUE,P20=TRUE,P21=TRUE,P22=TRUE),"TRUE","FALSE")</f>
        <v>TRUE</v>
      </c>
      <c r="R18" s="204">
        <v>1</v>
      </c>
      <c r="S18" s="203" t="b">
        <f>AND($C$8&gt;=5,$C$8&lt;6)</f>
        <v>1</v>
      </c>
      <c r="T18" s="308"/>
      <c r="U18" s="204" t="s">
        <v>144</v>
      </c>
      <c r="V18" s="203" t="b">
        <f>AND($C$8&gt;=4,$C$8&lt;5)</f>
        <v>0</v>
      </c>
      <c r="W18" s="308"/>
      <c r="X18" s="206">
        <v>1</v>
      </c>
      <c r="Y18" s="207" t="b">
        <f>AND($C$8&gt;=5,$C$8&lt;6)</f>
        <v>1</v>
      </c>
      <c r="Z18" s="308"/>
      <c r="AA18" s="201"/>
    </row>
    <row r="19" spans="2:27" s="82" customFormat="1" ht="18" customHeight="1" x14ac:dyDescent="0.4">
      <c r="B19" s="284" t="str">
        <f>IF(AND(C14="0",C10="Y"),Sheet2!F5,IF(AND(C10="Y",C14&lt;&gt;"0"),Sheet2!F11,IF(AND(C10="N",C14&lt;&gt;"0"),Sheet2!F6,IF(AND(C10="N",C14="0"),Sheet2!F4               ))))</f>
        <v xml:space="preserve"> B.P = Dp2 + 4 (H - t/2 + C )Dp </v>
      </c>
      <c r="C19" s="301"/>
      <c r="D19" s="248">
        <f>IF(C15&gt;100.55,SQRT((C6*C6)+(4*(Sheet2!B11-C9+Sheet2!M10)*C6))+0.45*C9,SQRT((C6*C6)+(4*(Sheet2!B11-(C9/2)+Sheet2!M10)*C6)))</f>
        <v>57.072585362851747</v>
      </c>
      <c r="E19" s="93"/>
      <c r="F19" s="84"/>
      <c r="G19" s="83"/>
      <c r="H19" s="189" t="str">
        <f>IF(AND(C10="y",C15&gt;=25,C15&lt;=69),"I4S"," ")</f>
        <v xml:space="preserve"> </v>
      </c>
      <c r="I19" s="189" t="str">
        <f>IF(AND(C10="y",C15&gt;=25,C15&lt;=69),"-"," ")</f>
        <v xml:space="preserve"> </v>
      </c>
      <c r="J19" s="190" t="str">
        <f>IF(AND(C10="Y",C15&gt;=25,C15&lt;=69),IF(Q18="TRUE",IF(P18=TRUE,"1S",IF(P19=TRUE,"1",IF(P20=TRUE,"2",IF(P21=TRUE,"3",IF(P22=TRUE,"4",""))))),IF(P23=TRUE,"5",IF(P24=TRUE,"6",IF(P25=TRUE,"7",IF(P26=TRUE,"8",IF(P27=TRUE,"9",IF(C10="Y","ITEMIZE STOPPER"," ")))))))," ")</f>
        <v xml:space="preserve"> </v>
      </c>
      <c r="K19" s="190"/>
      <c r="L19" s="192"/>
      <c r="M19" s="75"/>
      <c r="N19" s="201"/>
      <c r="O19" s="202">
        <v>1</v>
      </c>
      <c r="P19" s="203" t="b">
        <f>AND($C$8&gt;=5,$C$8&lt;6)</f>
        <v>1</v>
      </c>
      <c r="Q19" s="283"/>
      <c r="R19" s="204">
        <v>2</v>
      </c>
      <c r="S19" s="203" t="b">
        <f>AND($C$8&gt;=6,$C$8&lt;7)</f>
        <v>0</v>
      </c>
      <c r="T19" s="308"/>
      <c r="U19" s="204">
        <v>1</v>
      </c>
      <c r="V19" s="203" t="b">
        <f>AND($C$8&gt;=5,$C$8&lt;6)</f>
        <v>1</v>
      </c>
      <c r="W19" s="308"/>
      <c r="X19" s="206">
        <v>2</v>
      </c>
      <c r="Y19" s="207" t="b">
        <f>AND($C$8&gt;=6,$C$8&lt;7)</f>
        <v>0</v>
      </c>
      <c r="Z19" s="308"/>
      <c r="AA19" s="201"/>
    </row>
    <row r="20" spans="2:27" s="82" customFormat="1" ht="16.5" x14ac:dyDescent="0.3">
      <c r="B20" s="285"/>
      <c r="C20" s="302"/>
      <c r="D20" s="249" t="str">
        <f>IF(AND(C15&lt;100.55,C10="N"),Sheet2!F4,IF(AND(C15&lt;100.55,C10="Y"),Sheet2!F5,IF(AND(C15&gt;100.55,C10="N"),Sheet2!F8,IF(AND(C15&gt;100.55,C10="Y"),Sheet2!F9))))</f>
        <v xml:space="preserve"> B.P = Dp2 + 4 (H - t/2) Dp </v>
      </c>
      <c r="E20" s="85" t="s">
        <v>17</v>
      </c>
      <c r="F20" s="84"/>
      <c r="G20" s="83"/>
      <c r="H20" s="189"/>
      <c r="I20" s="189"/>
      <c r="J20" s="193"/>
      <c r="K20" s="190"/>
      <c r="L20" s="190"/>
      <c r="M20" s="75"/>
      <c r="N20" s="201"/>
      <c r="O20" s="202">
        <v>2</v>
      </c>
      <c r="P20" s="203" t="b">
        <f>AND($C$8&gt;=6,$C$8&lt;7)</f>
        <v>0</v>
      </c>
      <c r="Q20" s="283"/>
      <c r="R20" s="204">
        <v>3</v>
      </c>
      <c r="S20" s="203" t="b">
        <f>AND($C$8&gt;=7,$C$8&lt;8)</f>
        <v>0</v>
      </c>
      <c r="T20" s="308"/>
      <c r="U20" s="204">
        <v>2</v>
      </c>
      <c r="V20" s="203" t="b">
        <f>AND($C$8&gt;=6,$C$8&lt;7)</f>
        <v>0</v>
      </c>
      <c r="W20" s="308"/>
      <c r="X20" s="206">
        <v>3</v>
      </c>
      <c r="Y20" s="207" t="b">
        <f>AND($C$8&gt;=7,$C$8&lt;8)</f>
        <v>0</v>
      </c>
      <c r="Z20" s="308"/>
      <c r="AA20" s="201"/>
    </row>
    <row r="21" spans="2:27" s="82" customFormat="1" ht="18.75" x14ac:dyDescent="0.4">
      <c r="B21" s="87" t="s">
        <v>21</v>
      </c>
      <c r="C21" s="90">
        <f>AVERAGE(Sheet2!B2,Sheet2!B3)</f>
        <v>56.4</v>
      </c>
      <c r="D21" s="83"/>
      <c r="E21" s="136" t="s">
        <v>0</v>
      </c>
      <c r="F21" s="136" t="s">
        <v>1</v>
      </c>
      <c r="G21" s="83"/>
      <c r="H21" s="307" t="str">
        <f>IF(AND(C10="y",C15&gt;=69,C15&lt;=120),"I5 - TRIMMER"," ")</f>
        <v xml:space="preserve"> </v>
      </c>
      <c r="I21" s="307"/>
      <c r="J21" s="307"/>
      <c r="K21" s="194"/>
      <c r="L21" s="194"/>
      <c r="M21" s="100"/>
      <c r="N21" s="201"/>
      <c r="O21" s="202">
        <v>3</v>
      </c>
      <c r="P21" s="203" t="b">
        <f>AND($C$8&gt;=7,$C$8&lt;8)</f>
        <v>0</v>
      </c>
      <c r="Q21" s="283"/>
      <c r="R21" s="204">
        <v>4</v>
      </c>
      <c r="S21" s="203" t="b">
        <f>AND($C$8&gt;=8,$C$8&lt;11)</f>
        <v>0</v>
      </c>
      <c r="T21" s="308" t="str">
        <f>IF(OR(S21=TRUE,S22=TRUE,S23=TRUE,S24=TRUE),"TRUE","FALSE")</f>
        <v>FALSE</v>
      </c>
      <c r="U21" s="204">
        <v>3</v>
      </c>
      <c r="V21" s="203" t="b">
        <f>AND($C$8&gt;=7,$C$8&lt;8)</f>
        <v>0</v>
      </c>
      <c r="W21" s="308" t="str">
        <f>IF(OR(V21=TRUE,V22=TRUE,V23=TRUE),"TRUE","FALSE")</f>
        <v>FALSE</v>
      </c>
      <c r="X21" s="206">
        <v>4</v>
      </c>
      <c r="Y21" s="207" t="b">
        <f>AND($C$8&gt;=8,$C$8&lt;10)</f>
        <v>0</v>
      </c>
      <c r="Z21" s="309"/>
      <c r="AA21" s="201"/>
    </row>
    <row r="22" spans="2:27" s="82" customFormat="1" ht="18.75" x14ac:dyDescent="0.4">
      <c r="B22" s="87" t="s">
        <v>8</v>
      </c>
      <c r="C22" s="88">
        <f>(C6-C7)</f>
        <v>5.7999999999999972</v>
      </c>
      <c r="D22" s="83"/>
      <c r="E22" s="89" t="s">
        <v>10</v>
      </c>
      <c r="F22" s="91">
        <f>C17+0.5</f>
        <v>60.5</v>
      </c>
      <c r="G22" s="83"/>
      <c r="H22" s="189" t="str">
        <f>IF(AND(C10="y",C15&gt;=69,C15&lt;=120),"I5C"," ")</f>
        <v xml:space="preserve"> </v>
      </c>
      <c r="I22" s="189" t="str">
        <f>IF(AND(C10="y",C15&gt;=69,C15&lt;=120),"-"," ")</f>
        <v xml:space="preserve"> </v>
      </c>
      <c r="J22" s="195" t="str">
        <f>IF(AND(C10="y",C15&gt;=69,C15&lt;=120),AVERAGE(ROUND(C15+0.025,1),ROUND(C15-0.025,1))," ")</f>
        <v xml:space="preserve"> </v>
      </c>
      <c r="K22" s="192"/>
      <c r="L22" s="192"/>
      <c r="N22" s="201"/>
      <c r="O22" s="202">
        <v>4</v>
      </c>
      <c r="P22" s="203" t="b">
        <f>AND($C$8&gt;=8,$C$8&lt;9)</f>
        <v>0</v>
      </c>
      <c r="Q22" s="283"/>
      <c r="R22" s="204">
        <v>5</v>
      </c>
      <c r="S22" s="203" t="b">
        <f>AND($C$8&gt;=11,$C$8&lt;16)</f>
        <v>0</v>
      </c>
      <c r="T22" s="308"/>
      <c r="U22" s="204">
        <v>4</v>
      </c>
      <c r="V22" s="203" t="b">
        <f>AND($C$8&gt;=8,$C$8&lt;11)</f>
        <v>0</v>
      </c>
      <c r="W22" s="308"/>
      <c r="X22" s="206">
        <v>5</v>
      </c>
      <c r="Y22" s="207" t="b">
        <f>AND($C$8&gt;=10,$C$8&lt;12)</f>
        <v>0</v>
      </c>
      <c r="Z22" s="310" t="str">
        <f>IF(OR(Y22=TRUE,Y23=TRUE,Y24=TRUE,Y25=TRUE,Y26=TRUE),"TRUE","FALSE")</f>
        <v>FALSE</v>
      </c>
      <c r="AA22" s="201"/>
    </row>
    <row r="23" spans="2:27" s="82" customFormat="1" ht="20.100000000000001" customHeight="1" x14ac:dyDescent="0.4">
      <c r="B23" s="87" t="s">
        <v>9</v>
      </c>
      <c r="C23" s="90">
        <f>C6/C21</f>
        <v>0.82978723404255317</v>
      </c>
      <c r="D23" s="83"/>
      <c r="E23" s="89" t="s">
        <v>11</v>
      </c>
      <c r="F23" s="91">
        <f>C17-1.5</f>
        <v>58.5</v>
      </c>
      <c r="G23" s="83"/>
      <c r="H23" s="189" t="str">
        <f>IF(AND(C10="y",C15&gt;=69,C15&lt;=120),"I5S"," ")</f>
        <v xml:space="preserve"> </v>
      </c>
      <c r="I23" s="189" t="str">
        <f>IF(AND(C10="y",C15&gt;=69,C15&lt;=120),"-"," ")</f>
        <v xml:space="preserve"> </v>
      </c>
      <c r="J23" s="99" t="str">
        <f>IF(AND(C10="Y",C15&gt;=69,C15&lt;120),IF(T17="TRUE",IF(S17=TRUE,"ITEMIZE STOPPER",IF(S18=TRUE,"1",IF(S19=TRUE,"2",IF(S20=TRUE,"3"," ")))),IF(S21=TRUE,"4",IF(S22=TRUE,"5",IF(S23=TRUE,"6",IF(S24=TRUE,"7"," ")))))," ")</f>
        <v xml:space="preserve"> </v>
      </c>
      <c r="K23" s="75"/>
      <c r="L23" s="75"/>
      <c r="N23" s="201"/>
      <c r="O23" s="202">
        <v>5</v>
      </c>
      <c r="P23" s="203" t="b">
        <f>AND($C$8&gt;=9,$C$8&lt;11)</f>
        <v>0</v>
      </c>
      <c r="Q23" s="283" t="str">
        <f>IF(OR(P23=TRUE,P24=TRUE,P25=TRUE,P26=TRUE,P27=TRUE),"TRUE","FALSE")</f>
        <v>FALSE</v>
      </c>
      <c r="R23" s="204">
        <v>6</v>
      </c>
      <c r="S23" s="203" t="b">
        <f>AND($C$8&gt;=16,$C$8&lt;18)</f>
        <v>0</v>
      </c>
      <c r="T23" s="308"/>
      <c r="U23" s="204">
        <v>5</v>
      </c>
      <c r="V23" s="203" t="b">
        <f>$C$8&gt;=11</f>
        <v>0</v>
      </c>
      <c r="W23" s="308"/>
      <c r="X23" s="206">
        <v>6</v>
      </c>
      <c r="Y23" s="207" t="b">
        <f>AND($C$8&gt;=12,$C$8&lt;13)</f>
        <v>0</v>
      </c>
      <c r="Z23" s="311"/>
      <c r="AA23" s="201"/>
    </row>
    <row r="24" spans="2:27" s="82" customFormat="1" ht="20.100000000000001" customHeight="1" x14ac:dyDescent="0.4">
      <c r="B24" s="83" t="str">
        <f>IF(Sheet2!B12="OP","NOTE :",IF(Sheet2!B13="OP","NOTE :",IF(Sheet2!B14="OP","NOTE :","")))</f>
        <v/>
      </c>
      <c r="C24" s="84"/>
      <c r="D24" s="83"/>
      <c r="E24" s="89" t="s">
        <v>14</v>
      </c>
      <c r="F24" s="102">
        <f>ROUND(F23-4,0)</f>
        <v>55</v>
      </c>
      <c r="G24" s="83"/>
      <c r="H24" s="98"/>
      <c r="I24" s="75"/>
      <c r="J24" s="99"/>
      <c r="K24" s="99"/>
      <c r="L24" s="75"/>
      <c r="M24" s="75"/>
      <c r="N24" s="201"/>
      <c r="O24" s="202">
        <v>6</v>
      </c>
      <c r="P24" s="203" t="b">
        <f>AND($C$8&gt;=11,$C$8&lt;12)</f>
        <v>0</v>
      </c>
      <c r="Q24" s="283"/>
      <c r="R24" s="204">
        <v>7</v>
      </c>
      <c r="S24" s="203" t="b">
        <f>$C$8&gt;=18</f>
        <v>0</v>
      </c>
      <c r="T24" s="308"/>
      <c r="U24" s="204"/>
      <c r="V24" s="203"/>
      <c r="W24" s="206"/>
      <c r="X24" s="206">
        <v>7</v>
      </c>
      <c r="Y24" s="207" t="b">
        <f>AND($C$8&gt;=13,$C$8&lt;14)</f>
        <v>0</v>
      </c>
      <c r="Z24" s="311"/>
      <c r="AA24" s="201"/>
    </row>
    <row r="25" spans="2:27" s="82" customFormat="1" ht="20.100000000000001" customHeight="1" x14ac:dyDescent="0.4">
      <c r="B25" s="69" t="str">
        <f>IF(Sheet2!B12="OP","OPPOSITE PIERCING",IF(Sheet2!B13="OP","OPPOSITE PIERCING",IF(Sheet2!B14="OP","OPPOSITE PIERCING","")))</f>
        <v/>
      </c>
      <c r="C25" s="84"/>
      <c r="D25" s="83"/>
      <c r="E25" s="89" t="s">
        <v>15</v>
      </c>
      <c r="F25" s="88">
        <v>18</v>
      </c>
      <c r="G25" s="83"/>
      <c r="H25" s="304" t="str">
        <f>IF((AND(C10="y",C15&gt;=30,C15&lt;=120)),"I6 - TRIMMER"," ")</f>
        <v xml:space="preserve"> </v>
      </c>
      <c r="I25" s="304"/>
      <c r="J25" s="304"/>
      <c r="K25" s="96"/>
      <c r="L25" s="96"/>
      <c r="M25" s="96"/>
      <c r="N25" s="201"/>
      <c r="O25" s="202">
        <v>7</v>
      </c>
      <c r="P25" s="203" t="b">
        <f>AND($C$8&gt;=12,$C$8&lt;13)</f>
        <v>0</v>
      </c>
      <c r="Q25" s="283"/>
      <c r="R25" s="204"/>
      <c r="S25" s="204"/>
      <c r="T25" s="201"/>
      <c r="U25" s="201"/>
      <c r="V25" s="201"/>
      <c r="W25" s="201"/>
      <c r="X25" s="206">
        <v>8</v>
      </c>
      <c r="Y25" s="207" t="b">
        <f>AND($C$8&gt;=15,$C$8&lt;17)</f>
        <v>0</v>
      </c>
      <c r="Z25" s="311"/>
      <c r="AA25" s="201"/>
    </row>
    <row r="26" spans="2:27" s="82" customFormat="1" ht="22.5" customHeight="1" x14ac:dyDescent="0.4">
      <c r="B26" s="70" t="str">
        <f>IF(Sheet2!E13="NO MATERIAL AVAILABLE IN NAB"," NOTE :  NO MATERIAL AVAILABLE IN NAB","")</f>
        <v/>
      </c>
      <c r="C26" s="84"/>
      <c r="D26" s="83"/>
      <c r="E26" s="103"/>
      <c r="F26" s="104"/>
      <c r="G26" s="83"/>
      <c r="H26" s="98" t="str">
        <f>IF((AND(C10="y",C15&gt;=30,C15&lt;=120)),"I6"," ")</f>
        <v xml:space="preserve"> </v>
      </c>
      <c r="I26" s="75" t="str">
        <f>IF((AND(C10="y",C15&gt;=30,C15&lt;=120)),"-"," ")</f>
        <v xml:space="preserve"> </v>
      </c>
      <c r="J26" s="99" t="str">
        <f>IF((AND(C10="y",C15&gt;=30,C15&lt;=120)),ROUND((60-(C6/2))+5,1)," ")</f>
        <v xml:space="preserve"> </v>
      </c>
      <c r="K26" s="75" t="str">
        <f>IF((AND(C10="y",C15&gt;=30,C15&lt;=120)),"-"," ")</f>
        <v xml:space="preserve"> </v>
      </c>
      <c r="L26" s="99" t="str">
        <f>IF((AND(C10="y",C15&gt;=30,C15&lt;=120)),ROUND(140.5-71-C8-IF(C8&lt;5,"NA",IF(C8&lt;6,"51.5",IF(C8&lt;7,"51",IF(C8&lt;8,"50.5",IF(C8&lt;11,"49.5",IF(C8&gt;11,"48")))))),1)," ")</f>
        <v xml:space="preserve"> </v>
      </c>
      <c r="N26" s="201"/>
      <c r="O26" s="202">
        <v>8</v>
      </c>
      <c r="P26" s="203" t="b">
        <f>AND($C$8&gt;=13,$C$8&lt;15)</f>
        <v>0</v>
      </c>
      <c r="Q26" s="283"/>
      <c r="R26" s="204"/>
      <c r="S26" s="204"/>
      <c r="T26" s="201"/>
      <c r="U26" s="201"/>
      <c r="V26" s="201"/>
      <c r="W26" s="201"/>
      <c r="X26" s="206">
        <v>9</v>
      </c>
      <c r="Y26" s="207" t="b">
        <f>$C$8&gt;=17</f>
        <v>0</v>
      </c>
      <c r="Z26" s="311"/>
      <c r="AA26" s="201"/>
    </row>
    <row r="27" spans="2:27" s="82" customFormat="1" ht="20.100000000000001" customHeight="1" x14ac:dyDescent="0.35">
      <c r="B27" s="112" t="s">
        <v>50</v>
      </c>
      <c r="C27" s="113" t="s">
        <v>151</v>
      </c>
      <c r="D27" s="83"/>
      <c r="E27" s="85" t="s">
        <v>18</v>
      </c>
      <c r="F27" s="84"/>
      <c r="G27" s="83"/>
      <c r="H27" s="98" t="str">
        <f>IF((AND(C10="y",C15&gt;=30,C15&lt;=120)),"I6C"," ")</f>
        <v xml:space="preserve"> </v>
      </c>
      <c r="I27" s="75" t="str">
        <f>IF((AND(C10="y",C15&gt;=30,C15&lt;=120)),"-"," ")</f>
        <v xml:space="preserve"> </v>
      </c>
      <c r="J27" s="101" t="str">
        <f>IF((AND(C10="y",C15&gt;=30,C15&lt;=120)),AVERAGE(ROUND(C15+0.025,1),ROUND(C15-0.025,1))," ")</f>
        <v xml:space="preserve"> </v>
      </c>
      <c r="K27" s="75"/>
      <c r="L27" s="75"/>
      <c r="N27" s="201"/>
      <c r="O27" s="202">
        <v>9</v>
      </c>
      <c r="P27" s="203" t="b">
        <f>C8&gt;=15</f>
        <v>0</v>
      </c>
      <c r="Q27" s="283"/>
      <c r="R27" s="204"/>
      <c r="S27" s="204"/>
      <c r="T27" s="201"/>
      <c r="U27" s="201"/>
      <c r="V27" s="201"/>
      <c r="W27" s="201"/>
      <c r="X27" s="204"/>
      <c r="Y27" s="201"/>
      <c r="Z27" s="201"/>
      <c r="AA27" s="201"/>
    </row>
    <row r="28" spans="2:27" s="82" customFormat="1" ht="20.100000000000001" customHeight="1" x14ac:dyDescent="0.35">
      <c r="B28" s="112" t="s">
        <v>51</v>
      </c>
      <c r="C28" s="113" t="s">
        <v>128</v>
      </c>
      <c r="D28" s="83"/>
      <c r="E28" s="136" t="s">
        <v>0</v>
      </c>
      <c r="F28" s="136" t="s">
        <v>1</v>
      </c>
      <c r="G28" s="83"/>
      <c r="H28" s="98" t="str">
        <f>IF((AND(C10="y",C15&gt;=30,C15&lt;=120)),"I6P"," ")</f>
        <v xml:space="preserve"> </v>
      </c>
      <c r="I28" s="75" t="str">
        <f>IF((AND(C10="y",C15&gt;=30,C15&lt;=120)),"-"," ")</f>
        <v xml:space="preserve"> </v>
      </c>
      <c r="J28" s="105" t="str">
        <f>IF((AND(C10="y",C15&gt;=30,C15&lt;=120)),AVERAGE(ROUND(I13-0.5+0.025,1),ROUND(I13-0.5-0.025,1))," ")</f>
        <v xml:space="preserve"> </v>
      </c>
      <c r="K28" s="75"/>
      <c r="L28" s="75"/>
      <c r="N28" s="201"/>
      <c r="O28" s="202"/>
      <c r="P28" s="203"/>
      <c r="Q28" s="203"/>
      <c r="R28" s="204"/>
      <c r="S28" s="204"/>
      <c r="T28" s="201"/>
      <c r="U28" s="201"/>
      <c r="V28" s="201"/>
      <c r="W28" s="201"/>
      <c r="X28" s="204"/>
      <c r="Y28" s="201"/>
      <c r="Z28" s="201"/>
      <c r="AA28" s="201"/>
    </row>
    <row r="29" spans="2:27" s="82" customFormat="1" ht="20.100000000000001" customHeight="1" x14ac:dyDescent="0.4">
      <c r="B29" s="83"/>
      <c r="C29" s="84"/>
      <c r="D29" s="83"/>
      <c r="E29" s="89" t="s">
        <v>10</v>
      </c>
      <c r="F29" s="90">
        <f>C21</f>
        <v>56.4</v>
      </c>
      <c r="G29" s="83"/>
      <c r="H29" s="98" t="str">
        <f>IF((AND(C10="y",C15&gt;=30,C15&lt;=120)),"I6R"," ")</f>
        <v xml:space="preserve"> </v>
      </c>
      <c r="I29" s="75" t="str">
        <f>IF((AND(C10="y",C15&gt;=30,C15&lt;=120)),"-"," ")</f>
        <v xml:space="preserve"> </v>
      </c>
      <c r="J29" s="105" t="str">
        <f>IF((AND(C10="y",C15&gt;=30,C15&lt;=120)),AVERAGE(ROUND(C15+0.1+0.05,1),ROUND(C15+0.1-0.05,1))," ")</f>
        <v xml:space="preserve"> </v>
      </c>
      <c r="K29" s="75"/>
      <c r="L29" s="75"/>
      <c r="N29" s="201"/>
      <c r="O29" s="202"/>
      <c r="P29" s="203"/>
      <c r="Q29" s="203"/>
      <c r="R29" s="204"/>
      <c r="S29" s="204"/>
      <c r="T29" s="201"/>
      <c r="U29" s="201"/>
      <c r="V29" s="201"/>
      <c r="W29" s="201"/>
      <c r="X29" s="204"/>
      <c r="Y29" s="201"/>
      <c r="Z29" s="201"/>
      <c r="AA29" s="201"/>
    </row>
    <row r="30" spans="2:27" s="82" customFormat="1" ht="16.5" x14ac:dyDescent="0.3">
      <c r="B30" s="106"/>
      <c r="C30" s="107"/>
      <c r="D30" s="83"/>
      <c r="E30" s="75"/>
      <c r="F30" s="79"/>
      <c r="G30" s="83"/>
      <c r="H30" s="98" t="str">
        <f>IF((AND(C10="y",C15&gt;=30,C15&lt;=120)),"I6S"," ")</f>
        <v xml:space="preserve"> </v>
      </c>
      <c r="I30" s="75" t="str">
        <f>IF((AND(C10="y",C15&gt;=30,C15&lt;=120)),"-"," ")</f>
        <v xml:space="preserve"> </v>
      </c>
      <c r="J30" s="196" t="str">
        <f>IF(AND(C10="Y",C15&gt;=30,C15&lt;=60),IF(W17="TRUE",IF(V17=TRUE,"ITEMIZE STOPPER",IF(V18=TRUE,"1S",IF(V19=TRUE,"1",IF(V20=TRUE,"2"," ")))),IF(V21=TRUE,"3",IF(V22=TRUE,"4",IF(V23=TRUE,"5"," ")))),IF(AND(C10="Y",Z17="TRUE"),IF(Y17=TRUE,"ITEMIZE STOPPER",IF(Y18=TRUE,"1",IF(Y19=TRUE,"2",IF(Y20=TRUE,"3",IF(Y21=TRUE,"4"," "))))),IF(AND(C10="Y",Y22=TRUE),"5",IF(AND(C10="Y",Y23=TRUE),"6",IF(AND(C10="Y",Y24=TRUE),"7",IF(AND(C10="Y",Y25=TRUE),"8",IF(AND(C10="Y",Y26=TRUE),"9"," ")))))))</f>
        <v xml:space="preserve"> </v>
      </c>
      <c r="K30" s="75"/>
      <c r="L30" s="75"/>
      <c r="N30" s="201"/>
      <c r="O30" s="202"/>
      <c r="P30" s="203"/>
      <c r="Q30" s="203"/>
      <c r="R30" s="204"/>
      <c r="S30" s="204"/>
      <c r="T30" s="201"/>
      <c r="U30" s="201"/>
      <c r="V30" s="201"/>
      <c r="W30" s="201"/>
      <c r="X30" s="204"/>
      <c r="Y30" s="201"/>
      <c r="Z30" s="201"/>
      <c r="AA30" s="201"/>
    </row>
    <row r="31" spans="2:27" s="82" customFormat="1" ht="16.5" x14ac:dyDescent="0.3">
      <c r="B31" s="106"/>
      <c r="C31" s="107"/>
      <c r="D31" s="106"/>
      <c r="E31" s="108"/>
      <c r="F31" s="109"/>
      <c r="G31" s="106"/>
      <c r="H31" s="75"/>
      <c r="I31" s="75"/>
      <c r="J31" s="75"/>
      <c r="K31" s="99"/>
      <c r="L31" s="75"/>
      <c r="M31" s="75"/>
      <c r="N31" s="197"/>
      <c r="O31" s="198"/>
      <c r="P31" s="203"/>
      <c r="Q31" s="203"/>
      <c r="R31" s="204"/>
      <c r="S31" s="204"/>
      <c r="T31" s="201"/>
      <c r="U31" s="201"/>
      <c r="V31" s="201"/>
      <c r="W31" s="201"/>
      <c r="X31" s="204"/>
      <c r="Y31" s="201"/>
      <c r="Z31" s="201"/>
      <c r="AA31" s="201"/>
    </row>
    <row r="32" spans="2:27" s="82" customFormat="1" ht="17.25" x14ac:dyDescent="0.35">
      <c r="B32" s="106"/>
      <c r="C32" s="107"/>
      <c r="D32" s="106"/>
      <c r="E32" s="108"/>
      <c r="F32" s="109"/>
      <c r="G32" s="106"/>
      <c r="H32" s="304" t="str">
        <f>IF(AND(C10="y",C15&gt;=70,C15&lt;=170),"K1 - TRIMMER"," ")</f>
        <v xml:space="preserve"> </v>
      </c>
      <c r="I32" s="304"/>
      <c r="J32" s="304"/>
      <c r="K32" s="100"/>
      <c r="L32" s="100"/>
      <c r="M32" s="100"/>
      <c r="N32" s="197"/>
      <c r="O32" s="198"/>
      <c r="P32" s="199"/>
      <c r="Q32" s="203"/>
      <c r="R32" s="204"/>
      <c r="S32" s="204"/>
      <c r="T32" s="201"/>
      <c r="U32" s="201"/>
      <c r="V32" s="201"/>
      <c r="W32" s="201"/>
      <c r="X32" s="204"/>
      <c r="Y32" s="201"/>
      <c r="Z32" s="201"/>
      <c r="AA32" s="201"/>
    </row>
    <row r="33" spans="2:27" s="82" customFormat="1" ht="16.5" x14ac:dyDescent="0.3">
      <c r="B33" s="106"/>
      <c r="C33" s="107"/>
      <c r="D33" s="106"/>
      <c r="E33" s="108"/>
      <c r="F33" s="109"/>
      <c r="G33" s="106"/>
      <c r="H33" s="98" t="str">
        <f>IF(AND(C10="y",C15&gt;=70,C15&lt;=170),"SG"," ")</f>
        <v xml:space="preserve"> </v>
      </c>
      <c r="I33" s="75" t="str">
        <f>IF(AND(C10="y",C15&gt;=70,C15&lt;=170),"-"," ")</f>
        <v xml:space="preserve"> </v>
      </c>
      <c r="J33" s="101" t="str">
        <f>IF(AND(C10="y",C15&gt;=70,C15&lt;=170),AVERAGE(ROUND(I13-0.15+0.025,1),ROUND(I13-0.15-0.025,1))," ")</f>
        <v xml:space="preserve"> </v>
      </c>
      <c r="K33" s="75" t="str">
        <f>IF(AND(C10="y",C15&gt;=70,C15&lt;=170),"-"," ")</f>
        <v xml:space="preserve"> </v>
      </c>
      <c r="L33" s="99" t="str">
        <f>IF(AND(C10="y",C15&gt;=70,C15&lt;=170),AVERAGE(ROUND(C8-C9-0.9+0.025,1),ROUND(C8-C9-1.3-0.025,1))," ")</f>
        <v xml:space="preserve"> </v>
      </c>
      <c r="M33" s="110"/>
      <c r="N33" s="197"/>
      <c r="O33" s="198"/>
      <c r="P33" s="203"/>
      <c r="Q33" s="203"/>
      <c r="R33" s="204"/>
      <c r="S33" s="204"/>
      <c r="T33" s="201"/>
      <c r="U33" s="201"/>
      <c r="V33" s="201"/>
      <c r="W33" s="201"/>
      <c r="X33" s="204"/>
      <c r="Y33" s="201"/>
      <c r="Z33" s="201"/>
      <c r="AA33" s="201"/>
    </row>
    <row r="34" spans="2:27" s="82" customFormat="1" ht="16.5" x14ac:dyDescent="0.3">
      <c r="B34" s="108"/>
      <c r="C34" s="109"/>
      <c r="D34" s="106"/>
      <c r="E34" s="110"/>
      <c r="F34" s="111"/>
      <c r="G34" s="106"/>
      <c r="H34" s="98" t="str">
        <f>IF(AND(C10="y",C15&gt;=70,C15&lt;=170),"SR"," ")</f>
        <v xml:space="preserve"> </v>
      </c>
      <c r="I34" s="75" t="str">
        <f>IF(AND(C10="y",C15&gt;=70,C15&lt;=170),"-"," ")</f>
        <v xml:space="preserve"> </v>
      </c>
      <c r="J34" s="99" t="str">
        <f>IF(AND(C10="y",C15&gt;=70,C15&lt;=170),ROUND((IF(C15&lt;120,"120",IF(C15&gt;120,"170"))-C15)/2+IF(C9=0.5,"NA",IF(C9=0.6,"0.3",IF(C9=0.8,"0.5",IF(C9=1,"0.7",IF(C9=1.2,"0.8",IF(C9=1.5,"1"))))))+5,2)," ")</f>
        <v xml:space="preserve"> </v>
      </c>
      <c r="K34" s="75"/>
      <c r="L34" s="75"/>
      <c r="M34" s="110"/>
      <c r="N34" s="197"/>
      <c r="O34" s="198"/>
      <c r="P34" s="203"/>
      <c r="Q34" s="203"/>
      <c r="R34" s="204"/>
      <c r="S34" s="204"/>
      <c r="T34" s="201"/>
      <c r="U34" s="201"/>
      <c r="V34" s="201"/>
      <c r="W34" s="201"/>
      <c r="X34" s="204"/>
      <c r="Y34" s="201"/>
      <c r="Z34" s="201"/>
      <c r="AA34" s="201"/>
    </row>
    <row r="35" spans="2:27" ht="16.5" customHeight="1" x14ac:dyDescent="0.3">
      <c r="B35" s="108"/>
      <c r="C35" s="109"/>
      <c r="D35" s="108"/>
      <c r="E35" s="110"/>
      <c r="F35" s="111"/>
      <c r="G35" s="108"/>
      <c r="H35" s="98" t="str">
        <f>IF(AND(C10="y",C15&gt;=70,C15&lt;=170),"SS"," ")</f>
        <v xml:space="preserve"> </v>
      </c>
      <c r="I35" s="75" t="str">
        <f>IF(AND(C10="y",C15&gt;=70,C15&lt;=170),"-"," ")</f>
        <v xml:space="preserve"> </v>
      </c>
      <c r="J35" s="99" t="str">
        <f>IF(AND(C10="y",C15&gt;=70,C15&lt;=170),C8," ")</f>
        <v xml:space="preserve"> </v>
      </c>
      <c r="K35" s="75"/>
      <c r="L35" s="75"/>
      <c r="M35" s="110"/>
    </row>
    <row r="36" spans="2:27" ht="15" x14ac:dyDescent="0.3">
      <c r="B36" s="108"/>
      <c r="C36" s="109"/>
      <c r="D36" s="108"/>
      <c r="G36" s="108"/>
    </row>
    <row r="37" spans="2:27" ht="15" x14ac:dyDescent="0.3">
      <c r="B37" s="108"/>
      <c r="C37" s="109"/>
      <c r="D37" s="108"/>
      <c r="G37" s="108"/>
    </row>
    <row r="38" spans="2:27" ht="15" x14ac:dyDescent="0.3">
      <c r="D38" s="108"/>
      <c r="G38" s="108"/>
    </row>
  </sheetData>
  <sheetProtection selectLockedCells="1"/>
  <mergeCells count="31">
    <mergeCell ref="Z17:Z21"/>
    <mergeCell ref="Z22:Z26"/>
    <mergeCell ref="W17:W20"/>
    <mergeCell ref="W21:W23"/>
    <mergeCell ref="H21:J21"/>
    <mergeCell ref="T17:T20"/>
    <mergeCell ref="T21:T24"/>
    <mergeCell ref="H32:J32"/>
    <mergeCell ref="H14:L14"/>
    <mergeCell ref="H25:J25"/>
    <mergeCell ref="C3:E3"/>
    <mergeCell ref="I15:L15"/>
    <mergeCell ref="H17:J17"/>
    <mergeCell ref="I5:L5"/>
    <mergeCell ref="I6:L6"/>
    <mergeCell ref="I7:L7"/>
    <mergeCell ref="B1:G1"/>
    <mergeCell ref="G17:G18"/>
    <mergeCell ref="E18:F18"/>
    <mergeCell ref="I12:L12"/>
    <mergeCell ref="I13:L13"/>
    <mergeCell ref="J1:K1"/>
    <mergeCell ref="C18:C20"/>
    <mergeCell ref="I8:L8"/>
    <mergeCell ref="I11:L11"/>
    <mergeCell ref="O2:O3"/>
    <mergeCell ref="Q18:Q22"/>
    <mergeCell ref="Q23:Q27"/>
    <mergeCell ref="B19:B20"/>
    <mergeCell ref="B11:B13"/>
    <mergeCell ref="C11:C13"/>
  </mergeCells>
  <phoneticPr fontId="0" type="noConversion"/>
  <dataValidations disablePrompts="1" count="1">
    <dataValidation type="textLength" operator="equal" allowBlank="1" showInputMessage="1" showErrorMessage="1" errorTitle="Error" error="Please enter the Product Code as follows:_x000a__x000a_Example1: NAH[ ]0753[ ]A00 _x000a_Example2: ACC[ ][ ]236[ ]A00_x000a_" sqref="C3:E3">
      <formula1>12</formula1>
    </dataValidation>
  </dataValidations>
  <printOptions horizontalCentered="1" verticalCentered="1"/>
  <pageMargins left="0" right="0" top="0" bottom="0" header="0" footer="0"/>
  <pageSetup paperSize="9" scale="9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1">
          <controlPr defaultSize="0" print="0" autoLine="0" r:id="rId5">
            <anchor moveWithCells="1">
              <from>
                <xdr:col>3</xdr:col>
                <xdr:colOff>685800</xdr:colOff>
                <xdr:row>2</xdr:row>
                <xdr:rowOff>180975</xdr:rowOff>
              </from>
              <to>
                <xdr:col>6</xdr:col>
                <xdr:colOff>38100</xdr:colOff>
                <xdr:row>4</xdr:row>
                <xdr:rowOff>9525</xdr:rowOff>
              </to>
            </anchor>
          </controlPr>
        </control>
      </mc:Choice>
      <mc:Fallback>
        <control shapeId="1031" r:id="rId4" name="CommandButton1"/>
      </mc:Fallback>
    </mc:AlternateContent>
    <mc:AlternateContent xmlns:mc="http://schemas.openxmlformats.org/markup-compatibility/2006">
      <mc:Choice Requires="x14">
        <control shapeId="1032" r:id="rId6" name="CommandButton2">
          <controlPr defaultSize="0" print="0" autoLine="0" r:id="rId7">
            <anchor moveWithCells="1">
              <from>
                <xdr:col>3</xdr:col>
                <xdr:colOff>695325</xdr:colOff>
                <xdr:row>7</xdr:row>
                <xdr:rowOff>123825</xdr:rowOff>
              </from>
              <to>
                <xdr:col>6</xdr:col>
                <xdr:colOff>38100</xdr:colOff>
                <xdr:row>8</xdr:row>
                <xdr:rowOff>228600</xdr:rowOff>
              </to>
            </anchor>
          </controlPr>
        </control>
      </mc:Choice>
      <mc:Fallback>
        <control shapeId="1032" r:id="rId6" name="CommandButton2"/>
      </mc:Fallback>
    </mc:AlternateContent>
    <mc:AlternateContent xmlns:mc="http://schemas.openxmlformats.org/markup-compatibility/2006">
      <mc:Choice Requires="x14">
        <control shapeId="1033" r:id="rId8" name="CommandButton3">
          <controlPr defaultSize="0" print="0" autoLine="0" r:id="rId9">
            <anchor moveWithCells="1">
              <from>
                <xdr:col>3</xdr:col>
                <xdr:colOff>695325</xdr:colOff>
                <xdr:row>12</xdr:row>
                <xdr:rowOff>114300</xdr:rowOff>
              </from>
              <to>
                <xdr:col>6</xdr:col>
                <xdr:colOff>28575</xdr:colOff>
                <xdr:row>13</xdr:row>
                <xdr:rowOff>228600</xdr:rowOff>
              </to>
            </anchor>
          </controlPr>
        </control>
      </mc:Choice>
      <mc:Fallback>
        <control shapeId="1033" r:id="rId8" name="CommandButton3"/>
      </mc:Fallback>
    </mc:AlternateContent>
    <mc:AlternateContent xmlns:mc="http://schemas.openxmlformats.org/markup-compatibility/2006">
      <mc:Choice Requires="x14">
        <control shapeId="1034" r:id="rId10" name="CommandButton4">
          <controlPr defaultSize="0" print="0" autoLine="0" r:id="rId11">
            <anchor moveWithCells="1">
              <from>
                <xdr:col>3</xdr:col>
                <xdr:colOff>695325</xdr:colOff>
                <xdr:row>18</xdr:row>
                <xdr:rowOff>104775</xdr:rowOff>
              </from>
              <to>
                <xdr:col>6</xdr:col>
                <xdr:colOff>19050</xdr:colOff>
                <xdr:row>20</xdr:row>
                <xdr:rowOff>9525</xdr:rowOff>
              </to>
            </anchor>
          </controlPr>
        </control>
      </mc:Choice>
      <mc:Fallback>
        <control shapeId="1034" r:id="rId10" name="CommandButton4"/>
      </mc:Fallback>
    </mc:AlternateContent>
    <mc:AlternateContent xmlns:mc="http://schemas.openxmlformats.org/markup-compatibility/2006">
      <mc:Choice Requires="x14">
        <control shapeId="1035" r:id="rId12" name="CommandButton5">
          <controlPr defaultSize="0" print="0" autoLine="0" r:id="rId13">
            <anchor moveWithCells="1">
              <from>
                <xdr:col>3</xdr:col>
                <xdr:colOff>704850</xdr:colOff>
                <xdr:row>25</xdr:row>
                <xdr:rowOff>190500</xdr:rowOff>
              </from>
              <to>
                <xdr:col>6</xdr:col>
                <xdr:colOff>28575</xdr:colOff>
                <xdr:row>27</xdr:row>
                <xdr:rowOff>9525</xdr:rowOff>
              </to>
            </anchor>
          </controlPr>
        </control>
      </mc:Choice>
      <mc:Fallback>
        <control shapeId="1035" r:id="rId12" name="CommandButton5"/>
      </mc:Fallback>
    </mc:AlternateContent>
    <mc:AlternateContent xmlns:mc="http://schemas.openxmlformats.org/markup-compatibility/2006">
      <mc:Choice Requires="x14">
        <control shapeId="1036" r:id="rId14" name="CommandButton6">
          <controlPr defaultSize="0" print="0" autoLine="0" r:id="rId15">
            <anchor moveWithCells="1">
              <from>
                <xdr:col>6</xdr:col>
                <xdr:colOff>228600</xdr:colOff>
                <xdr:row>2</xdr:row>
                <xdr:rowOff>123825</xdr:rowOff>
              </from>
              <to>
                <xdr:col>12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1036" r:id="rId14" name="CommandButton6"/>
      </mc:Fallback>
    </mc:AlternateContent>
    <mc:AlternateContent xmlns:mc="http://schemas.openxmlformats.org/markup-compatibility/2006">
      <mc:Choice Requires="x14">
        <control shapeId="1037" r:id="rId16" name="CommandButton7">
          <controlPr defaultSize="0" print="0" autoLine="0" r:id="rId17">
            <anchor moveWithCells="1">
              <from>
                <xdr:col>6</xdr:col>
                <xdr:colOff>228600</xdr:colOff>
                <xdr:row>8</xdr:row>
                <xdr:rowOff>114300</xdr:rowOff>
              </from>
              <to>
                <xdr:col>12</xdr:col>
                <xdr:colOff>19050</xdr:colOff>
                <xdr:row>10</xdr:row>
                <xdr:rowOff>0</xdr:rowOff>
              </to>
            </anchor>
          </controlPr>
        </control>
      </mc:Choice>
      <mc:Fallback>
        <control shapeId="1037" r:id="rId16" name="CommandButton7"/>
      </mc:Fallback>
    </mc:AlternateContent>
    <mc:AlternateContent xmlns:mc="http://schemas.openxmlformats.org/markup-compatibility/2006">
      <mc:Choice Requires="x14">
        <control shapeId="1044" r:id="rId18" name="CommandButton9">
          <controlPr defaultSize="0" print="0" autoFill="0" autoLine="0" r:id="rId19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1</xdr:col>
                <xdr:colOff>504825</xdr:colOff>
                <xdr:row>28</xdr:row>
                <xdr:rowOff>9525</xdr:rowOff>
              </to>
            </anchor>
          </controlPr>
        </control>
      </mc:Choice>
      <mc:Fallback>
        <control shapeId="1044" r:id="rId18" name="CommandButton9"/>
      </mc:Fallback>
    </mc:AlternateContent>
    <mc:AlternateContent xmlns:mc="http://schemas.openxmlformats.org/markup-compatibility/2006">
      <mc:Choice Requires="x14">
        <control shapeId="1046" r:id="rId20" name="CommandButton10">
          <controlPr defaultSize="0" print="0" autoLine="0" r:id="rId21">
            <anchor moveWithCells="1">
              <from>
                <xdr:col>6</xdr:col>
                <xdr:colOff>219075</xdr:colOff>
                <xdr:row>15</xdr:row>
                <xdr:rowOff>0</xdr:rowOff>
              </from>
              <to>
                <xdr:col>12</xdr:col>
                <xdr:colOff>28575</xdr:colOff>
                <xdr:row>16</xdr:row>
                <xdr:rowOff>47625</xdr:rowOff>
              </to>
            </anchor>
          </controlPr>
        </control>
      </mc:Choice>
      <mc:Fallback>
        <control shapeId="1046" r:id="rId20" name="CommandButton10"/>
      </mc:Fallback>
    </mc:AlternateContent>
    <mc:AlternateContent xmlns:mc="http://schemas.openxmlformats.org/markup-compatibility/2006">
      <mc:Choice Requires="x14">
        <control shapeId="1083" r:id="rId22" name="Button 59">
          <controlPr defaultSize="0" print="0" autoFill="0" autoPict="0" macro="[0]!OpenDieLedger">
            <anchor moveWithCells="1" sizeWithCells="1">
              <from>
                <xdr:col>1</xdr:col>
                <xdr:colOff>1600200</xdr:colOff>
                <xdr:row>15</xdr:row>
                <xdr:rowOff>0</xdr:rowOff>
              </from>
              <to>
                <xdr:col>1</xdr:col>
                <xdr:colOff>2686050</xdr:colOff>
                <xdr:row>16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indexed="11"/>
  </sheetPr>
  <dimension ref="A1:V120"/>
  <sheetViews>
    <sheetView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7" width="9.140625" style="121"/>
    <col min="18" max="18" width="20.7109375" style="121" customWidth="1"/>
    <col min="19" max="16384" width="9.140625" style="121"/>
  </cols>
  <sheetData>
    <row r="1" spans="1:22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2" s="12" customFormat="1" ht="15.75" x14ac:dyDescent="0.25">
      <c r="A2" s="11"/>
      <c r="G2" s="381"/>
      <c r="H2" s="381"/>
      <c r="I2" s="381"/>
      <c r="J2" s="381"/>
      <c r="K2" s="13"/>
      <c r="L2" s="14"/>
      <c r="N2" s="15"/>
      <c r="P2" s="210" t="str">
        <f>IF(R15=TRUE,"","TEMPLATE FOR OTHER DESIGN")</f>
        <v/>
      </c>
    </row>
    <row r="3" spans="1:22" s="12" customFormat="1" x14ac:dyDescent="0.2">
      <c r="A3" s="11"/>
      <c r="D3" s="16"/>
      <c r="N3" s="15"/>
    </row>
    <row r="4" spans="1:22" s="12" customFormat="1" x14ac:dyDescent="0.2">
      <c r="A4" s="11"/>
      <c r="N4" s="15"/>
    </row>
    <row r="5" spans="1:22" s="12" customFormat="1" x14ac:dyDescent="0.2">
      <c r="A5" s="11"/>
      <c r="N5" s="15"/>
    </row>
    <row r="6" spans="1:22" s="12" customFormat="1" ht="9" customHeight="1" x14ac:dyDescent="0.2">
      <c r="A6" s="11"/>
      <c r="N6" s="15"/>
    </row>
    <row r="7" spans="1:22" s="12" customFormat="1" x14ac:dyDescent="0.2">
      <c r="A7" s="11"/>
      <c r="N7" s="15"/>
    </row>
    <row r="8" spans="1:22" s="12" customFormat="1" x14ac:dyDescent="0.2">
      <c r="A8" s="11"/>
      <c r="N8" s="15"/>
    </row>
    <row r="9" spans="1:22" s="12" customFormat="1" x14ac:dyDescent="0.2">
      <c r="A9" s="11"/>
      <c r="N9" s="15"/>
    </row>
    <row r="10" spans="1:22" s="12" customFormat="1" ht="13.5" thickBot="1" x14ac:dyDescent="0.25">
      <c r="A10" s="11"/>
      <c r="N10" s="15"/>
    </row>
    <row r="11" spans="1:22" s="12" customFormat="1" ht="13.5" thickTop="1" x14ac:dyDescent="0.2">
      <c r="A11" s="11"/>
      <c r="N11" s="15"/>
      <c r="P11" s="374" t="s">
        <v>148</v>
      </c>
      <c r="Q11" s="375"/>
      <c r="R11" s="376"/>
    </row>
    <row r="12" spans="1:22" s="12" customFormat="1" ht="15.75" x14ac:dyDescent="0.2">
      <c r="A12" s="11"/>
      <c r="N12" s="15"/>
      <c r="P12" s="377" t="s">
        <v>147</v>
      </c>
      <c r="Q12" s="378"/>
      <c r="R12" s="225" t="str">
        <f>LEFT(S12,10)</f>
        <v>NAH 0609 A</v>
      </c>
      <c r="S12" s="210" t="str">
        <f>Sheet1!C3</f>
        <v>NAH 0609 A01</v>
      </c>
      <c r="T12" s="210"/>
      <c r="U12" s="210"/>
      <c r="V12" s="210"/>
    </row>
    <row r="13" spans="1:22" s="12" customFormat="1" ht="15.75" x14ac:dyDescent="0.2">
      <c r="A13" s="11"/>
      <c r="N13" s="15"/>
      <c r="P13" s="379" t="s">
        <v>146</v>
      </c>
      <c r="Q13" s="380"/>
      <c r="R13" s="226" t="str">
        <f>U13</f>
        <v>R-FDB 8776</v>
      </c>
      <c r="S13" s="217" t="str">
        <f>Sheet1!C16</f>
        <v>R-FDB</v>
      </c>
      <c r="T13" s="217">
        <f>Sheet1!D16</f>
        <v>8776</v>
      </c>
      <c r="U13" s="210" t="str">
        <f>CONCATENATE(S13," ",T13)</f>
        <v>R-FDB 8776</v>
      </c>
      <c r="V13" s="210"/>
    </row>
    <row r="14" spans="1:22" s="12" customFormat="1" x14ac:dyDescent="0.2">
      <c r="A14" s="11"/>
      <c r="N14" s="15"/>
      <c r="P14" s="384" t="s">
        <v>71</v>
      </c>
      <c r="Q14" s="385"/>
      <c r="R14" s="227">
        <f>Sheet1!$C$7</f>
        <v>41</v>
      </c>
    </row>
    <row r="15" spans="1:22" s="12" customFormat="1" ht="13.5" thickBot="1" x14ac:dyDescent="0.25">
      <c r="A15" s="11"/>
      <c r="N15" s="15"/>
      <c r="P15" s="382" t="s">
        <v>99</v>
      </c>
      <c r="Q15" s="383"/>
      <c r="R15" s="230" t="b">
        <f>32&lt;R14</f>
        <v>1</v>
      </c>
    </row>
    <row r="16" spans="1:22" s="12" customFormat="1" ht="13.5" thickTop="1" x14ac:dyDescent="0.2">
      <c r="A16" s="11"/>
      <c r="N16" s="15"/>
    </row>
    <row r="17" spans="1:19" s="12" customFormat="1" x14ac:dyDescent="0.2">
      <c r="A17" s="11"/>
      <c r="N17" s="15"/>
      <c r="S17" s="119"/>
    </row>
    <row r="18" spans="1:19" s="12" customFormat="1" x14ac:dyDescent="0.2">
      <c r="A18" s="11"/>
      <c r="N18" s="15"/>
    </row>
    <row r="19" spans="1:19" s="12" customFormat="1" x14ac:dyDescent="0.2">
      <c r="A19" s="11"/>
      <c r="N19" s="15"/>
    </row>
    <row r="20" spans="1:19" s="12" customFormat="1" x14ac:dyDescent="0.2">
      <c r="A20" s="11"/>
      <c r="N20" s="15"/>
    </row>
    <row r="21" spans="1:19" s="12" customFormat="1" x14ac:dyDescent="0.2">
      <c r="A21" s="11"/>
      <c r="N21" s="15"/>
    </row>
    <row r="22" spans="1:19" s="12" customFormat="1" x14ac:dyDescent="0.2">
      <c r="A22" s="11"/>
      <c r="N22" s="15"/>
      <c r="R22" s="119"/>
    </row>
    <row r="23" spans="1:19" s="12" customFormat="1" x14ac:dyDescent="0.2">
      <c r="A23" s="11"/>
      <c r="N23" s="15"/>
    </row>
    <row r="24" spans="1:19" s="12" customFormat="1" x14ac:dyDescent="0.2">
      <c r="A24" s="11"/>
      <c r="N24" s="15"/>
      <c r="P24" s="120"/>
    </row>
    <row r="25" spans="1:19" s="12" customFormat="1" x14ac:dyDescent="0.2">
      <c r="A25" s="11"/>
      <c r="N25" s="15"/>
    </row>
    <row r="26" spans="1:19" s="12" customFormat="1" x14ac:dyDescent="0.2">
      <c r="A26" s="11"/>
      <c r="N26" s="15"/>
    </row>
    <row r="27" spans="1:19" s="12" customFormat="1" x14ac:dyDescent="0.2">
      <c r="A27" s="11"/>
      <c r="N27" s="15"/>
    </row>
    <row r="28" spans="1:19" s="12" customFormat="1" x14ac:dyDescent="0.2">
      <c r="A28" s="11"/>
      <c r="N28" s="15"/>
    </row>
    <row r="29" spans="1:19" s="12" customFormat="1" x14ac:dyDescent="0.2">
      <c r="A29" s="11"/>
      <c r="N29" s="15"/>
    </row>
    <row r="30" spans="1:19" s="12" customFormat="1" x14ac:dyDescent="0.2">
      <c r="A30" s="11"/>
      <c r="N30" s="15"/>
    </row>
    <row r="31" spans="1:19" s="12" customFormat="1" x14ac:dyDescent="0.2">
      <c r="A31" s="11"/>
      <c r="N31" s="15"/>
    </row>
    <row r="32" spans="1:19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78"/>
      <c r="B51" s="361"/>
      <c r="C51" s="362"/>
      <c r="D51" s="363"/>
      <c r="E51" s="278"/>
      <c r="F51" s="279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97</v>
      </c>
      <c r="E55" s="341"/>
      <c r="F55" s="341"/>
      <c r="G55" s="341"/>
      <c r="H55" s="341"/>
      <c r="I55" s="342"/>
      <c r="J55" s="318" t="s">
        <v>98</v>
      </c>
      <c r="K55" s="370"/>
      <c r="L55" s="371"/>
      <c r="M55" s="318">
        <v>1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23" t="str">
        <f>Sheet1!$C$27</f>
        <v>KEE</v>
      </c>
      <c r="B59" s="324"/>
      <c r="C59" s="32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">
      <c r="A60" s="326"/>
      <c r="B60" s="327"/>
      <c r="C60" s="328"/>
      <c r="D60" s="337">
        <f ca="1">Sheet1!$J$1</f>
        <v>43987.692111226854</v>
      </c>
      <c r="E60" s="338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126"/>
      <c r="L61" s="364" t="s">
        <v>124</v>
      </c>
      <c r="M61" s="364"/>
      <c r="N61" s="364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2">
    <mergeCell ref="P11:R11"/>
    <mergeCell ref="P12:Q12"/>
    <mergeCell ref="P13:Q13"/>
    <mergeCell ref="G2:J2"/>
    <mergeCell ref="B49:D49"/>
    <mergeCell ref="P15:Q15"/>
    <mergeCell ref="P14:Q14"/>
    <mergeCell ref="B50:D50"/>
    <mergeCell ref="B51:D51"/>
    <mergeCell ref="L61:N61"/>
    <mergeCell ref="M57:N57"/>
    <mergeCell ref="A55:C55"/>
    <mergeCell ref="J56:N56"/>
    <mergeCell ref="J55:L55"/>
    <mergeCell ref="B52:D52"/>
    <mergeCell ref="J57:K57"/>
    <mergeCell ref="M62:N62"/>
    <mergeCell ref="A53:F53"/>
    <mergeCell ref="F59:G59"/>
    <mergeCell ref="M55:N55"/>
    <mergeCell ref="A58:C58"/>
    <mergeCell ref="A59:C60"/>
    <mergeCell ref="J54:L54"/>
    <mergeCell ref="A57:C57"/>
    <mergeCell ref="A54:C54"/>
    <mergeCell ref="D60:E60"/>
    <mergeCell ref="J60:L60"/>
    <mergeCell ref="D55:I55"/>
    <mergeCell ref="D56:I56"/>
    <mergeCell ref="A56:C56"/>
    <mergeCell ref="F60:I60"/>
    <mergeCell ref="J58:N59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indexed="46"/>
  </sheetPr>
  <dimension ref="A1:U120"/>
  <sheetViews>
    <sheetView topLeftCell="A4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7" width="9.140625" style="121"/>
    <col min="18" max="18" width="15.7109375" style="121" customWidth="1"/>
    <col min="19" max="16384" width="9.140625" style="121"/>
  </cols>
  <sheetData>
    <row r="1" spans="1:21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1" s="12" customFormat="1" ht="15.75" x14ac:dyDescent="0.25">
      <c r="A2" s="11"/>
      <c r="G2" s="381"/>
      <c r="H2" s="381"/>
      <c r="I2" s="381"/>
      <c r="J2" s="381"/>
      <c r="K2" s="13"/>
      <c r="L2" s="14"/>
      <c r="N2" s="15"/>
      <c r="P2" s="210" t="str">
        <f>IF(R15=TRUE,"","TEMPLATE FOR OTHER DESIGN")</f>
        <v/>
      </c>
    </row>
    <row r="3" spans="1:21" s="12" customFormat="1" x14ac:dyDescent="0.2">
      <c r="A3" s="11"/>
      <c r="D3" s="16"/>
      <c r="N3" s="15"/>
    </row>
    <row r="4" spans="1:21" s="12" customFormat="1" x14ac:dyDescent="0.2">
      <c r="A4" s="11"/>
      <c r="N4" s="15"/>
    </row>
    <row r="5" spans="1:21" s="12" customFormat="1" x14ac:dyDescent="0.2">
      <c r="A5" s="11"/>
      <c r="N5" s="15"/>
    </row>
    <row r="6" spans="1:21" s="12" customFormat="1" ht="9" customHeight="1" x14ac:dyDescent="0.2">
      <c r="A6" s="11"/>
      <c r="N6" s="15"/>
    </row>
    <row r="7" spans="1:21" s="12" customFormat="1" x14ac:dyDescent="0.2">
      <c r="A7" s="11"/>
      <c r="N7" s="15"/>
    </row>
    <row r="8" spans="1:21" s="12" customFormat="1" x14ac:dyDescent="0.2">
      <c r="A8" s="11"/>
      <c r="N8" s="15"/>
    </row>
    <row r="9" spans="1:21" s="12" customFormat="1" x14ac:dyDescent="0.2">
      <c r="A9" s="11"/>
      <c r="N9" s="15"/>
    </row>
    <row r="10" spans="1:21" s="12" customFormat="1" ht="13.5" thickBot="1" x14ac:dyDescent="0.25">
      <c r="A10" s="11"/>
      <c r="N10" s="15"/>
    </row>
    <row r="11" spans="1:21" s="12" customFormat="1" ht="13.5" customHeight="1" thickTop="1" x14ac:dyDescent="0.2">
      <c r="A11" s="11"/>
      <c r="N11" s="15"/>
      <c r="P11" s="374" t="s">
        <v>148</v>
      </c>
      <c r="Q11" s="375"/>
      <c r="R11" s="376"/>
    </row>
    <row r="12" spans="1:21" s="12" customFormat="1" ht="15.75" x14ac:dyDescent="0.2">
      <c r="A12" s="11"/>
      <c r="N12" s="15"/>
      <c r="P12" s="386" t="s">
        <v>147</v>
      </c>
      <c r="Q12" s="387"/>
      <c r="R12" s="225" t="str">
        <f>LEFT(S12,10)</f>
        <v>NAH 0609 A</v>
      </c>
      <c r="S12" s="210" t="str">
        <f>Sheet1!C3</f>
        <v>NAH 0609 A01</v>
      </c>
    </row>
    <row r="13" spans="1:21" s="12" customFormat="1" ht="15.75" x14ac:dyDescent="0.25">
      <c r="A13" s="11"/>
      <c r="N13" s="15"/>
      <c r="P13" s="386" t="s">
        <v>146</v>
      </c>
      <c r="Q13" s="387"/>
      <c r="R13" s="231" t="str">
        <f>CONCATENATE(T13," ",U13,"- 02 ")</f>
        <v xml:space="preserve">R-FDB 8776- 02 </v>
      </c>
      <c r="S13" s="210" t="str">
        <f>IF(LEFT(R12,1)="N","R-","")</f>
        <v>R-</v>
      </c>
      <c r="T13" s="209" t="str">
        <f>Sheet1!C16</f>
        <v>R-FDB</v>
      </c>
      <c r="U13" s="209">
        <f>Sheet1!D16</f>
        <v>8776</v>
      </c>
    </row>
    <row r="14" spans="1:21" s="12" customFormat="1" x14ac:dyDescent="0.2">
      <c r="A14" s="11"/>
      <c r="N14" s="15"/>
      <c r="P14" s="384" t="s">
        <v>71</v>
      </c>
      <c r="Q14" s="385"/>
      <c r="R14" s="227">
        <f>Sheet1!$C$7</f>
        <v>41</v>
      </c>
    </row>
    <row r="15" spans="1:21" s="12" customFormat="1" x14ac:dyDescent="0.2">
      <c r="A15" s="11"/>
      <c r="N15" s="15"/>
      <c r="P15" s="388" t="s">
        <v>99</v>
      </c>
      <c r="Q15" s="389"/>
      <c r="R15" s="228" t="b">
        <f>32&lt;R14</f>
        <v>1</v>
      </c>
    </row>
    <row r="16" spans="1:21" s="12" customFormat="1" x14ac:dyDescent="0.2">
      <c r="A16" s="11"/>
      <c r="N16" s="15"/>
      <c r="P16" s="232"/>
      <c r="Q16" s="224" t="s">
        <v>72</v>
      </c>
      <c r="R16" s="227">
        <f>Sheet1!$F$6</f>
        <v>41.05</v>
      </c>
    </row>
    <row r="17" spans="1:19" s="12" customFormat="1" x14ac:dyDescent="0.2">
      <c r="A17" s="11"/>
      <c r="N17" s="15"/>
      <c r="P17" s="232"/>
      <c r="Q17" s="224" t="s">
        <v>125</v>
      </c>
      <c r="R17" s="233">
        <f>Sheet1!$F$7</f>
        <v>33</v>
      </c>
      <c r="S17" s="119"/>
    </row>
    <row r="18" spans="1:19" s="12" customFormat="1" ht="13.5" thickBot="1" x14ac:dyDescent="0.25">
      <c r="A18" s="11"/>
      <c r="N18" s="15"/>
      <c r="P18" s="234"/>
      <c r="Q18" s="235" t="s">
        <v>73</v>
      </c>
      <c r="R18" s="236">
        <f>$R$14</f>
        <v>41</v>
      </c>
    </row>
    <row r="19" spans="1:19" s="12" customFormat="1" ht="13.5" thickTop="1" x14ac:dyDescent="0.2">
      <c r="A19" s="11"/>
      <c r="N19" s="15"/>
    </row>
    <row r="20" spans="1:19" s="12" customFormat="1" x14ac:dyDescent="0.2">
      <c r="A20" s="11"/>
      <c r="N20" s="15"/>
    </row>
    <row r="21" spans="1:19" s="12" customFormat="1" x14ac:dyDescent="0.2">
      <c r="A21" s="11"/>
      <c r="N21" s="15"/>
    </row>
    <row r="22" spans="1:19" s="12" customFormat="1" x14ac:dyDescent="0.2">
      <c r="A22" s="11"/>
      <c r="N22" s="15"/>
      <c r="R22" s="119"/>
    </row>
    <row r="23" spans="1:19" s="12" customFormat="1" x14ac:dyDescent="0.2">
      <c r="A23" s="11"/>
      <c r="N23" s="15"/>
    </row>
    <row r="24" spans="1:19" s="12" customFormat="1" x14ac:dyDescent="0.2">
      <c r="A24" s="11"/>
      <c r="N24" s="15"/>
      <c r="P24" s="120"/>
    </row>
    <row r="25" spans="1:19" s="12" customFormat="1" x14ac:dyDescent="0.2">
      <c r="A25" s="11"/>
      <c r="N25" s="15"/>
    </row>
    <row r="26" spans="1:19" s="12" customFormat="1" x14ac:dyDescent="0.2">
      <c r="A26" s="11"/>
      <c r="N26" s="15"/>
    </row>
    <row r="27" spans="1:19" s="12" customFormat="1" x14ac:dyDescent="0.2">
      <c r="A27" s="11"/>
      <c r="N27" s="15"/>
    </row>
    <row r="28" spans="1:19" s="12" customFormat="1" x14ac:dyDescent="0.2">
      <c r="A28" s="11"/>
      <c r="N28" s="15"/>
    </row>
    <row r="29" spans="1:19" s="12" customFormat="1" x14ac:dyDescent="0.2">
      <c r="A29" s="11"/>
      <c r="N29" s="15"/>
    </row>
    <row r="30" spans="1:19" s="12" customFormat="1" x14ac:dyDescent="0.2">
      <c r="A30" s="11"/>
      <c r="N30" s="15"/>
    </row>
    <row r="31" spans="1:19" s="12" customFormat="1" x14ac:dyDescent="0.2">
      <c r="A31" s="11"/>
      <c r="N31" s="15"/>
    </row>
    <row r="32" spans="1:19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78"/>
      <c r="B51" s="361"/>
      <c r="C51" s="362"/>
      <c r="D51" s="363"/>
      <c r="E51" s="278"/>
      <c r="F51" s="279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75</v>
      </c>
      <c r="E55" s="341"/>
      <c r="F55" s="341"/>
      <c r="G55" s="341"/>
      <c r="H55" s="341"/>
      <c r="I55" s="342"/>
      <c r="J55" s="318" t="s">
        <v>74</v>
      </c>
      <c r="K55" s="370"/>
      <c r="L55" s="371"/>
      <c r="M55" s="318">
        <v>3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23" t="str">
        <f>Sheet1!$C$27</f>
        <v>KEE</v>
      </c>
      <c r="B59" s="324"/>
      <c r="C59" s="32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5">
      <c r="A60" s="326"/>
      <c r="B60" s="327"/>
      <c r="C60" s="328"/>
      <c r="D60" s="391">
        <f ca="1">Sheet1!$J$1</f>
        <v>43987.692111226854</v>
      </c>
      <c r="E60" s="392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5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126"/>
      <c r="L61" s="390" t="s">
        <v>129</v>
      </c>
      <c r="M61" s="364"/>
      <c r="N61" s="364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2">
    <mergeCell ref="D55:I55"/>
    <mergeCell ref="D56:I56"/>
    <mergeCell ref="A56:C56"/>
    <mergeCell ref="A53:F53"/>
    <mergeCell ref="M62:N62"/>
    <mergeCell ref="F59:G59"/>
    <mergeCell ref="M57:N57"/>
    <mergeCell ref="L61:N61"/>
    <mergeCell ref="D60:E60"/>
    <mergeCell ref="A55:C55"/>
    <mergeCell ref="J56:N56"/>
    <mergeCell ref="J55:L55"/>
    <mergeCell ref="F60:I60"/>
    <mergeCell ref="A58:C58"/>
    <mergeCell ref="A59:C60"/>
    <mergeCell ref="A57:C57"/>
    <mergeCell ref="J60:L60"/>
    <mergeCell ref="M55:N55"/>
    <mergeCell ref="J58:N59"/>
    <mergeCell ref="J57:K57"/>
    <mergeCell ref="J54:L54"/>
    <mergeCell ref="P12:Q12"/>
    <mergeCell ref="A54:C54"/>
    <mergeCell ref="B52:D52"/>
    <mergeCell ref="G2:J2"/>
    <mergeCell ref="B49:D49"/>
    <mergeCell ref="B50:D50"/>
    <mergeCell ref="B51:D51"/>
    <mergeCell ref="P13:Q13"/>
    <mergeCell ref="P14:Q14"/>
    <mergeCell ref="P15:Q15"/>
    <mergeCell ref="P11:R11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indexed="46"/>
  </sheetPr>
  <dimension ref="A1:S120"/>
  <sheetViews>
    <sheetView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6" width="9.140625" style="121"/>
    <col min="17" max="17" width="10.85546875" style="121" customWidth="1"/>
    <col min="18" max="16384" width="9.140625" style="121"/>
  </cols>
  <sheetData>
    <row r="1" spans="1:18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18" s="12" customFormat="1" ht="15.75" x14ac:dyDescent="0.25">
      <c r="A2" s="11"/>
      <c r="G2" s="381"/>
      <c r="H2" s="381"/>
      <c r="I2" s="381"/>
      <c r="J2" s="381"/>
      <c r="K2" s="13"/>
      <c r="L2" s="14"/>
      <c r="N2" s="15"/>
    </row>
    <row r="3" spans="1:18" s="12" customFormat="1" x14ac:dyDescent="0.2">
      <c r="A3" s="11"/>
      <c r="D3" s="16"/>
      <c r="N3" s="15"/>
    </row>
    <row r="4" spans="1:18" s="12" customFormat="1" x14ac:dyDescent="0.2">
      <c r="A4" s="11"/>
      <c r="N4" s="15"/>
    </row>
    <row r="5" spans="1:18" s="12" customFormat="1" x14ac:dyDescent="0.2">
      <c r="A5" s="11"/>
      <c r="N5" s="15"/>
    </row>
    <row r="6" spans="1:18" s="12" customFormat="1" ht="9" customHeight="1" x14ac:dyDescent="0.2">
      <c r="A6" s="11"/>
      <c r="N6" s="15"/>
    </row>
    <row r="7" spans="1:18" s="12" customFormat="1" x14ac:dyDescent="0.2">
      <c r="A7" s="11"/>
      <c r="N7" s="15"/>
    </row>
    <row r="8" spans="1:18" s="12" customFormat="1" x14ac:dyDescent="0.2">
      <c r="A8" s="11"/>
      <c r="N8" s="15"/>
    </row>
    <row r="9" spans="1:18" s="12" customFormat="1" x14ac:dyDescent="0.2">
      <c r="A9" s="11"/>
      <c r="N9" s="15"/>
    </row>
    <row r="10" spans="1:18" s="12" customFormat="1" x14ac:dyDescent="0.2">
      <c r="A10" s="11"/>
      <c r="N10" s="15"/>
    </row>
    <row r="11" spans="1:18" s="12" customFormat="1" x14ac:dyDescent="0.2">
      <c r="A11" s="11"/>
      <c r="N11" s="15"/>
    </row>
    <row r="12" spans="1:18" s="12" customFormat="1" x14ac:dyDescent="0.2">
      <c r="A12" s="11"/>
      <c r="N12" s="15"/>
    </row>
    <row r="13" spans="1:18" s="12" customFormat="1" x14ac:dyDescent="0.2">
      <c r="A13" s="11"/>
      <c r="N13" s="15"/>
    </row>
    <row r="14" spans="1:18" s="12" customFormat="1" x14ac:dyDescent="0.2">
      <c r="A14" s="11"/>
      <c r="N14" s="15"/>
      <c r="P14" s="385" t="s">
        <v>71</v>
      </c>
      <c r="Q14" s="385"/>
      <c r="R14" s="117">
        <f>Sheet1!$C$7</f>
        <v>41</v>
      </c>
    </row>
    <row r="15" spans="1:18" s="12" customFormat="1" x14ac:dyDescent="0.2">
      <c r="A15" s="11"/>
      <c r="N15" s="15"/>
      <c r="P15" s="389" t="s">
        <v>111</v>
      </c>
      <c r="Q15" s="389"/>
      <c r="R15" s="67" t="b">
        <f>IF(R14&gt;18,IF(R14&lt;=32,TRUE))</f>
        <v>0</v>
      </c>
    </row>
    <row r="16" spans="1:18" s="12" customFormat="1" x14ac:dyDescent="0.2">
      <c r="A16" s="11"/>
      <c r="N16" s="15"/>
      <c r="P16" s="65"/>
      <c r="Q16" s="66" t="s">
        <v>72</v>
      </c>
      <c r="R16" s="117">
        <f>Sheet1!$F$6</f>
        <v>41.05</v>
      </c>
    </row>
    <row r="17" spans="1:19" s="12" customFormat="1" x14ac:dyDescent="0.2">
      <c r="A17" s="11"/>
      <c r="N17" s="15"/>
      <c r="S17" s="119"/>
    </row>
    <row r="18" spans="1:19" s="12" customFormat="1" x14ac:dyDescent="0.2">
      <c r="A18" s="11"/>
      <c r="N18" s="15"/>
    </row>
    <row r="19" spans="1:19" s="12" customFormat="1" x14ac:dyDescent="0.2">
      <c r="A19" s="11"/>
      <c r="N19" s="15"/>
    </row>
    <row r="20" spans="1:19" s="12" customFormat="1" x14ac:dyDescent="0.2">
      <c r="A20" s="11"/>
      <c r="N20" s="15"/>
    </row>
    <row r="21" spans="1:19" s="12" customFormat="1" x14ac:dyDescent="0.2">
      <c r="A21" s="11"/>
      <c r="N21" s="15"/>
    </row>
    <row r="22" spans="1:19" s="12" customFormat="1" x14ac:dyDescent="0.2">
      <c r="A22" s="11"/>
      <c r="N22" s="15"/>
    </row>
    <row r="23" spans="1:19" s="12" customFormat="1" x14ac:dyDescent="0.2">
      <c r="A23" s="11"/>
      <c r="N23" s="15"/>
    </row>
    <row r="24" spans="1:19" s="12" customFormat="1" x14ac:dyDescent="0.2">
      <c r="A24" s="11"/>
      <c r="N24" s="15"/>
      <c r="P24" s="120"/>
    </row>
    <row r="25" spans="1:19" s="12" customFormat="1" x14ac:dyDescent="0.2">
      <c r="A25" s="11"/>
      <c r="N25" s="15"/>
    </row>
    <row r="26" spans="1:19" s="12" customFormat="1" x14ac:dyDescent="0.2">
      <c r="A26" s="11"/>
      <c r="N26" s="15"/>
    </row>
    <row r="27" spans="1:19" s="12" customFormat="1" x14ac:dyDescent="0.2">
      <c r="A27" s="11"/>
      <c r="N27" s="15"/>
    </row>
    <row r="28" spans="1:19" s="12" customFormat="1" x14ac:dyDescent="0.2">
      <c r="A28" s="11"/>
      <c r="N28" s="15"/>
    </row>
    <row r="29" spans="1:19" s="12" customFormat="1" x14ac:dyDescent="0.2">
      <c r="A29" s="11"/>
      <c r="N29" s="15"/>
    </row>
    <row r="30" spans="1:19" s="12" customFormat="1" x14ac:dyDescent="0.2">
      <c r="A30" s="11"/>
      <c r="N30" s="15"/>
    </row>
    <row r="31" spans="1:19" s="12" customFormat="1" x14ac:dyDescent="0.2">
      <c r="A31" s="11"/>
      <c r="N31" s="15"/>
    </row>
    <row r="32" spans="1:19" s="12" customFormat="1" x14ac:dyDescent="0.2">
      <c r="A32" s="11"/>
      <c r="N32" s="15"/>
    </row>
    <row r="33" spans="1:17" s="12" customFormat="1" x14ac:dyDescent="0.2">
      <c r="A33" s="11"/>
      <c r="N33" s="15"/>
    </row>
    <row r="34" spans="1:17" s="12" customFormat="1" x14ac:dyDescent="0.2">
      <c r="A34" s="11"/>
      <c r="N34" s="15"/>
    </row>
    <row r="35" spans="1:17" s="12" customFormat="1" x14ac:dyDescent="0.2">
      <c r="A35" s="11"/>
      <c r="N35" s="15"/>
    </row>
    <row r="36" spans="1:17" s="12" customFormat="1" x14ac:dyDescent="0.2">
      <c r="A36" s="11"/>
      <c r="N36" s="15"/>
    </row>
    <row r="37" spans="1:17" s="12" customFormat="1" x14ac:dyDescent="0.2">
      <c r="A37" s="11"/>
      <c r="N37" s="15"/>
    </row>
    <row r="38" spans="1:17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  <c r="Q38" s="142"/>
    </row>
    <row r="39" spans="1:17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7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7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7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7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7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7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7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7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7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75</v>
      </c>
      <c r="E55" s="341"/>
      <c r="F55" s="341"/>
      <c r="G55" s="341"/>
      <c r="H55" s="341"/>
      <c r="I55" s="342"/>
      <c r="J55" s="318" t="s">
        <v>74</v>
      </c>
      <c r="K55" s="370"/>
      <c r="L55" s="371"/>
      <c r="M55" s="318">
        <v>3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93" t="str">
        <f>Sheet1!$C$27</f>
        <v>KEE</v>
      </c>
      <c r="B59" s="394"/>
      <c r="C59" s="39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">
      <c r="A60" s="331"/>
      <c r="B60" s="332"/>
      <c r="C60" s="333"/>
      <c r="D60" s="396">
        <f ca="1">Sheet1!$J$1</f>
        <v>43987.692111226854</v>
      </c>
      <c r="E60" s="397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5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126"/>
      <c r="L61" s="390" t="s">
        <v>130</v>
      </c>
      <c r="M61" s="364"/>
      <c r="N61" s="364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29">
    <mergeCell ref="M62:N62"/>
    <mergeCell ref="F59:G59"/>
    <mergeCell ref="M57:N57"/>
    <mergeCell ref="L61:N61"/>
    <mergeCell ref="P14:Q14"/>
    <mergeCell ref="J60:L60"/>
    <mergeCell ref="M55:N55"/>
    <mergeCell ref="J58:N59"/>
    <mergeCell ref="J57:K57"/>
    <mergeCell ref="D55:I55"/>
    <mergeCell ref="D56:I56"/>
    <mergeCell ref="A53:F53"/>
    <mergeCell ref="P15:Q15"/>
    <mergeCell ref="A55:C55"/>
    <mergeCell ref="J56:N56"/>
    <mergeCell ref="J55:L55"/>
    <mergeCell ref="F60:I60"/>
    <mergeCell ref="B52:D52"/>
    <mergeCell ref="A56:C56"/>
    <mergeCell ref="A59:C60"/>
    <mergeCell ref="J54:L54"/>
    <mergeCell ref="A57:C57"/>
    <mergeCell ref="A54:C54"/>
    <mergeCell ref="D60:E60"/>
    <mergeCell ref="G2:J2"/>
    <mergeCell ref="B49:D49"/>
    <mergeCell ref="B50:D50"/>
    <mergeCell ref="B51:D51"/>
    <mergeCell ref="A58:C58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indexed="41"/>
  </sheetPr>
  <dimension ref="A1:V120"/>
  <sheetViews>
    <sheetView topLeftCell="A4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5" width="9.140625" style="121"/>
    <col min="16" max="16" width="7.5703125" style="121" customWidth="1"/>
    <col min="17" max="17" width="7.28515625" style="121" customWidth="1"/>
    <col min="18" max="18" width="18.7109375" style="121" customWidth="1"/>
    <col min="19" max="16384" width="9.140625" style="121"/>
  </cols>
  <sheetData>
    <row r="1" spans="1:22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2" s="12" customFormat="1" ht="15.75" x14ac:dyDescent="0.25">
      <c r="A2" s="11"/>
      <c r="G2" s="381"/>
      <c r="H2" s="381"/>
      <c r="I2" s="381"/>
      <c r="J2" s="381"/>
      <c r="K2" s="13"/>
      <c r="L2" s="14"/>
      <c r="N2" s="15"/>
      <c r="P2" s="210" t="str">
        <f>IF(R22=TRUE,"","TEMPLATE FOR OTHER DESIGN")</f>
        <v/>
      </c>
    </row>
    <row r="3" spans="1:22" s="12" customFormat="1" x14ac:dyDescent="0.2">
      <c r="A3" s="11"/>
      <c r="D3" s="16"/>
      <c r="N3" s="15"/>
    </row>
    <row r="4" spans="1:22" s="12" customFormat="1" x14ac:dyDescent="0.2">
      <c r="A4" s="11"/>
      <c r="N4" s="15"/>
    </row>
    <row r="5" spans="1:22" s="12" customFormat="1" x14ac:dyDescent="0.2">
      <c r="A5" s="11"/>
      <c r="N5" s="15"/>
    </row>
    <row r="6" spans="1:22" s="12" customFormat="1" ht="9" customHeight="1" x14ac:dyDescent="0.2">
      <c r="A6" s="11"/>
      <c r="N6" s="15"/>
    </row>
    <row r="7" spans="1:22" s="12" customFormat="1" x14ac:dyDescent="0.2">
      <c r="A7" s="11"/>
      <c r="N7" s="15"/>
    </row>
    <row r="8" spans="1:22" s="12" customFormat="1" x14ac:dyDescent="0.2">
      <c r="A8" s="11"/>
      <c r="N8" s="15"/>
    </row>
    <row r="9" spans="1:22" s="12" customFormat="1" x14ac:dyDescent="0.2">
      <c r="A9" s="11"/>
      <c r="N9" s="15"/>
    </row>
    <row r="10" spans="1:22" s="12" customFormat="1" ht="13.5" thickBot="1" x14ac:dyDescent="0.25">
      <c r="A10" s="11"/>
      <c r="N10" s="15"/>
    </row>
    <row r="11" spans="1:22" s="12" customFormat="1" ht="13.5" thickTop="1" x14ac:dyDescent="0.2">
      <c r="A11" s="11"/>
      <c r="N11" s="15"/>
      <c r="P11" s="374" t="s">
        <v>148</v>
      </c>
      <c r="Q11" s="375"/>
      <c r="R11" s="376"/>
    </row>
    <row r="12" spans="1:22" s="12" customFormat="1" ht="15.75" x14ac:dyDescent="0.2">
      <c r="A12" s="11"/>
      <c r="N12" s="15"/>
      <c r="P12" s="377" t="s">
        <v>147</v>
      </c>
      <c r="Q12" s="378"/>
      <c r="R12" s="225" t="str">
        <f>LEFT(S12,10)</f>
        <v>NAH 0609 A</v>
      </c>
      <c r="S12" s="210" t="str">
        <f>Sheet1!C3</f>
        <v>NAH 0609 A01</v>
      </c>
      <c r="T12" s="210"/>
      <c r="U12" s="210"/>
      <c r="V12" s="210"/>
    </row>
    <row r="13" spans="1:22" s="12" customFormat="1" ht="15.75" x14ac:dyDescent="0.2">
      <c r="A13" s="11"/>
      <c r="N13" s="15"/>
      <c r="P13" s="379" t="s">
        <v>146</v>
      </c>
      <c r="Q13" s="380"/>
      <c r="R13" s="226" t="str">
        <f>U13</f>
        <v>R-FDB 8776 - 04</v>
      </c>
      <c r="S13" s="217" t="str">
        <f>Sheet1!C16</f>
        <v>R-FDB</v>
      </c>
      <c r="T13" s="217">
        <f>Sheet1!D16</f>
        <v>8776</v>
      </c>
      <c r="U13" s="210" t="str">
        <f>CONCATENATE(S13," ",T13," - 04")</f>
        <v>R-FDB 8776 - 04</v>
      </c>
      <c r="V13" s="210"/>
    </row>
    <row r="14" spans="1:22" s="12" customFormat="1" x14ac:dyDescent="0.2">
      <c r="A14" s="11"/>
      <c r="N14" s="15"/>
      <c r="P14" s="398" t="s">
        <v>10</v>
      </c>
      <c r="Q14" s="399"/>
      <c r="R14" s="227">
        <f>Sheet1!F11</f>
        <v>41.05</v>
      </c>
    </row>
    <row r="15" spans="1:22" s="12" customFormat="1" x14ac:dyDescent="0.2">
      <c r="A15" s="11"/>
      <c r="N15" s="15"/>
      <c r="P15" s="388" t="s">
        <v>11</v>
      </c>
      <c r="Q15" s="389"/>
      <c r="R15" s="227">
        <f>Sheet1!F12</f>
        <v>48.39</v>
      </c>
    </row>
    <row r="16" spans="1:22" s="12" customFormat="1" x14ac:dyDescent="0.2">
      <c r="A16" s="11"/>
      <c r="N16" s="15"/>
      <c r="P16" s="398" t="s">
        <v>6</v>
      </c>
      <c r="Q16" s="399"/>
      <c r="R16" s="227">
        <f>Sheet1!$C$9</f>
        <v>0.8</v>
      </c>
    </row>
    <row r="17" spans="1:20" s="12" customFormat="1" x14ac:dyDescent="0.2">
      <c r="A17" s="11"/>
      <c r="N17" s="15"/>
      <c r="P17" s="398" t="s">
        <v>76</v>
      </c>
      <c r="Q17" s="399"/>
      <c r="R17" s="237">
        <f>49-R16</f>
        <v>48.2</v>
      </c>
      <c r="S17" s="119"/>
    </row>
    <row r="18" spans="1:20" s="12" customFormat="1" x14ac:dyDescent="0.2">
      <c r="A18" s="11"/>
      <c r="N18" s="15"/>
      <c r="P18" s="398"/>
      <c r="Q18" s="399"/>
      <c r="R18" s="227"/>
      <c r="T18" s="129"/>
    </row>
    <row r="19" spans="1:20" s="12" customFormat="1" x14ac:dyDescent="0.2">
      <c r="A19" s="11"/>
      <c r="N19" s="15"/>
      <c r="P19" s="398"/>
      <c r="Q19" s="399"/>
      <c r="R19" s="237"/>
    </row>
    <row r="20" spans="1:20" s="12" customFormat="1" x14ac:dyDescent="0.2">
      <c r="A20" s="11"/>
      <c r="N20" s="15"/>
      <c r="P20" s="400" t="s">
        <v>4</v>
      </c>
      <c r="Q20" s="401"/>
      <c r="R20" s="227">
        <f>Sheet1!$C$7</f>
        <v>41</v>
      </c>
    </row>
    <row r="21" spans="1:20" s="12" customFormat="1" x14ac:dyDescent="0.2">
      <c r="A21" s="11"/>
      <c r="N21" s="15"/>
      <c r="P21" s="400" t="s">
        <v>77</v>
      </c>
      <c r="Q21" s="401"/>
      <c r="R21" s="227">
        <f>Sheet1!$C$22</f>
        <v>5.7999999999999972</v>
      </c>
    </row>
    <row r="22" spans="1:20" s="12" customFormat="1" ht="13.5" thickBot="1" x14ac:dyDescent="0.25">
      <c r="A22" s="11"/>
      <c r="N22" s="15"/>
      <c r="P22" s="402" t="s">
        <v>149</v>
      </c>
      <c r="Q22" s="403"/>
      <c r="R22" s="230" t="b">
        <f>32&lt;=R20</f>
        <v>1</v>
      </c>
    </row>
    <row r="23" spans="1:20" s="12" customFormat="1" ht="13.5" thickTop="1" x14ac:dyDescent="0.2">
      <c r="A23" s="11"/>
      <c r="N23" s="15"/>
    </row>
    <row r="24" spans="1:20" s="12" customFormat="1" x14ac:dyDescent="0.2">
      <c r="A24" s="11"/>
      <c r="N24" s="15"/>
    </row>
    <row r="25" spans="1:20" s="12" customFormat="1" x14ac:dyDescent="0.2">
      <c r="A25" s="11"/>
      <c r="N25" s="15"/>
    </row>
    <row r="26" spans="1:20" s="12" customFormat="1" x14ac:dyDescent="0.2">
      <c r="A26" s="11"/>
      <c r="N26" s="15"/>
    </row>
    <row r="27" spans="1:20" s="12" customFormat="1" x14ac:dyDescent="0.2">
      <c r="A27" s="11"/>
      <c r="N27" s="15"/>
    </row>
    <row r="28" spans="1:20" s="12" customFormat="1" x14ac:dyDescent="0.2">
      <c r="A28" s="11"/>
      <c r="N28" s="15"/>
    </row>
    <row r="29" spans="1:20" s="12" customFormat="1" x14ac:dyDescent="0.2">
      <c r="A29" s="11"/>
      <c r="N29" s="15"/>
    </row>
    <row r="30" spans="1:20" s="12" customFormat="1" x14ac:dyDescent="0.2">
      <c r="A30" s="11"/>
      <c r="N30" s="15"/>
    </row>
    <row r="31" spans="1:20" s="12" customFormat="1" x14ac:dyDescent="0.2">
      <c r="A31" s="11"/>
      <c r="N31" s="15"/>
    </row>
    <row r="32" spans="1:20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280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61</v>
      </c>
      <c r="E55" s="341"/>
      <c r="F55" s="341"/>
      <c r="G55" s="341"/>
      <c r="H55" s="341"/>
      <c r="I55" s="342"/>
      <c r="J55" s="318" t="s">
        <v>98</v>
      </c>
      <c r="K55" s="370"/>
      <c r="L55" s="371"/>
      <c r="M55" s="318">
        <v>2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23" t="str">
        <f>Sheet1!$C$27</f>
        <v>KEE</v>
      </c>
      <c r="B59" s="324"/>
      <c r="C59" s="32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5">
      <c r="A60" s="326"/>
      <c r="B60" s="327"/>
      <c r="C60" s="328"/>
      <c r="D60" s="391">
        <f ca="1">Sheet1!$J$1</f>
        <v>43987.692111226854</v>
      </c>
      <c r="E60" s="392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364" t="s">
        <v>150</v>
      </c>
      <c r="L61" s="364"/>
      <c r="M61" s="364"/>
      <c r="N61" s="364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9">
    <mergeCell ref="J57:K57"/>
    <mergeCell ref="K61:N61"/>
    <mergeCell ref="P16:Q16"/>
    <mergeCell ref="P17:Q17"/>
    <mergeCell ref="P20:Q20"/>
    <mergeCell ref="P21:Q21"/>
    <mergeCell ref="P22:Q22"/>
    <mergeCell ref="M57:N57"/>
    <mergeCell ref="P18:Q18"/>
    <mergeCell ref="P19:Q19"/>
    <mergeCell ref="M62:N62"/>
    <mergeCell ref="A53:F53"/>
    <mergeCell ref="F59:G59"/>
    <mergeCell ref="M55:N55"/>
    <mergeCell ref="A58:C58"/>
    <mergeCell ref="A59:C60"/>
    <mergeCell ref="J54:L54"/>
    <mergeCell ref="A57:C57"/>
    <mergeCell ref="A54:C54"/>
    <mergeCell ref="D60:E60"/>
    <mergeCell ref="J60:L60"/>
    <mergeCell ref="D55:I55"/>
    <mergeCell ref="D56:I56"/>
    <mergeCell ref="A56:C56"/>
    <mergeCell ref="F60:I60"/>
    <mergeCell ref="J58:N59"/>
    <mergeCell ref="G2:J2"/>
    <mergeCell ref="B49:D49"/>
    <mergeCell ref="B50:D50"/>
    <mergeCell ref="B51:D51"/>
    <mergeCell ref="J55:L55"/>
    <mergeCell ref="B52:D52"/>
    <mergeCell ref="P11:R11"/>
    <mergeCell ref="P12:Q12"/>
    <mergeCell ref="P13:Q13"/>
    <mergeCell ref="A55:C55"/>
    <mergeCell ref="J56:N56"/>
    <mergeCell ref="P15:Q15"/>
    <mergeCell ref="P14:Q14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indexed="41"/>
  </sheetPr>
  <dimension ref="A1:T120"/>
  <sheetViews>
    <sheetView topLeftCell="A11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6384" width="9.140625" style="121"/>
  </cols>
  <sheetData>
    <row r="1" spans="1:19" s="12" customFormat="1" ht="12.75" customHeigh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19" s="12" customFormat="1" ht="12.75" customHeight="1" x14ac:dyDescent="0.25">
      <c r="A2" s="11"/>
      <c r="G2" s="381"/>
      <c r="H2" s="381"/>
      <c r="I2" s="381"/>
      <c r="J2" s="381"/>
      <c r="K2" s="13"/>
      <c r="L2" s="14"/>
      <c r="N2" s="15"/>
    </row>
    <row r="3" spans="1:19" s="12" customFormat="1" ht="12.75" customHeight="1" x14ac:dyDescent="0.2">
      <c r="A3" s="11"/>
      <c r="D3" s="16"/>
      <c r="N3" s="15"/>
    </row>
    <row r="4" spans="1:19" s="12" customFormat="1" ht="12.75" customHeight="1" x14ac:dyDescent="0.2">
      <c r="A4" s="11"/>
      <c r="N4" s="15"/>
    </row>
    <row r="5" spans="1:19" s="12" customFormat="1" ht="12.75" customHeight="1" x14ac:dyDescent="0.2">
      <c r="A5" s="11"/>
      <c r="N5" s="15"/>
    </row>
    <row r="6" spans="1:19" s="12" customFormat="1" ht="12.75" customHeight="1" x14ac:dyDescent="0.2">
      <c r="A6" s="11"/>
      <c r="N6" s="15"/>
    </row>
    <row r="7" spans="1:19" s="12" customFormat="1" ht="12.75" customHeight="1" x14ac:dyDescent="0.2">
      <c r="A7" s="11"/>
      <c r="N7" s="15"/>
    </row>
    <row r="8" spans="1:19" s="12" customFormat="1" ht="12.75" customHeight="1" x14ac:dyDescent="0.2">
      <c r="A8" s="11"/>
      <c r="N8" s="15"/>
    </row>
    <row r="9" spans="1:19" s="12" customFormat="1" ht="12.75" customHeight="1" x14ac:dyDescent="0.2">
      <c r="A9" s="11"/>
      <c r="N9" s="15"/>
    </row>
    <row r="10" spans="1:19" s="12" customFormat="1" ht="12.75" customHeight="1" x14ac:dyDescent="0.2">
      <c r="A10" s="11"/>
      <c r="N10" s="15"/>
    </row>
    <row r="11" spans="1:19" s="12" customFormat="1" ht="12.75" customHeight="1" x14ac:dyDescent="0.2">
      <c r="A11" s="11"/>
      <c r="N11" s="15"/>
      <c r="P11" s="127"/>
    </row>
    <row r="12" spans="1:19" s="12" customFormat="1" ht="12.75" customHeight="1" x14ac:dyDescent="0.2">
      <c r="A12" s="11"/>
      <c r="N12" s="15"/>
      <c r="P12" s="127" t="s">
        <v>106</v>
      </c>
      <c r="R12" s="12" t="s">
        <v>107</v>
      </c>
    </row>
    <row r="13" spans="1:19" s="12" customFormat="1" ht="12.75" customHeight="1" x14ac:dyDescent="0.2">
      <c r="A13" s="11"/>
      <c r="N13" s="15"/>
      <c r="P13" s="127"/>
      <c r="Q13" s="127"/>
      <c r="R13" s="127"/>
      <c r="S13" s="129"/>
    </row>
    <row r="14" spans="1:19" s="12" customFormat="1" ht="12.75" customHeight="1" x14ac:dyDescent="0.2">
      <c r="A14" s="11"/>
      <c r="N14" s="15"/>
      <c r="P14" s="404" t="s">
        <v>10</v>
      </c>
      <c r="Q14" s="399"/>
      <c r="R14" s="117">
        <f>Sheet1!F11</f>
        <v>41.05</v>
      </c>
    </row>
    <row r="15" spans="1:19" s="12" customFormat="1" ht="12.75" customHeight="1" x14ac:dyDescent="0.2">
      <c r="A15" s="11"/>
      <c r="N15" s="15"/>
      <c r="P15" s="389" t="s">
        <v>73</v>
      </c>
      <c r="Q15" s="389"/>
      <c r="R15" s="117">
        <f>Sheet1!F12</f>
        <v>48.39</v>
      </c>
    </row>
    <row r="16" spans="1:19" s="12" customFormat="1" ht="12.75" customHeight="1" x14ac:dyDescent="0.2">
      <c r="A16" s="11"/>
      <c r="N16" s="15"/>
      <c r="P16" s="404" t="s">
        <v>6</v>
      </c>
      <c r="Q16" s="399"/>
      <c r="R16" s="117">
        <f>Sheet1!$C$9</f>
        <v>0.8</v>
      </c>
    </row>
    <row r="17" spans="1:20" s="12" customFormat="1" ht="12.75" customHeight="1" x14ac:dyDescent="0.2">
      <c r="A17" s="11"/>
      <c r="N17" s="15"/>
      <c r="P17" s="404" t="s">
        <v>76</v>
      </c>
      <c r="Q17" s="399"/>
      <c r="R17" s="267">
        <f>49-R16</f>
        <v>48.2</v>
      </c>
      <c r="S17" s="119"/>
    </row>
    <row r="18" spans="1:20" s="12" customFormat="1" ht="12.75" customHeight="1" x14ac:dyDescent="0.2">
      <c r="A18" s="11"/>
      <c r="N18" s="15"/>
      <c r="P18" s="127"/>
      <c r="Q18" s="127"/>
      <c r="R18" s="127"/>
      <c r="T18" s="129"/>
    </row>
    <row r="19" spans="1:20" s="12" customFormat="1" ht="12.75" customHeight="1" x14ac:dyDescent="0.2">
      <c r="A19" s="11"/>
      <c r="N19" s="15"/>
    </row>
    <row r="20" spans="1:20" s="12" customFormat="1" ht="12.75" customHeight="1" x14ac:dyDescent="0.2">
      <c r="A20" s="11"/>
      <c r="N20" s="15"/>
      <c r="P20" s="401" t="s">
        <v>4</v>
      </c>
      <c r="Q20" s="401"/>
      <c r="R20" s="117">
        <f>Sheet1!$C$7</f>
        <v>41</v>
      </c>
    </row>
    <row r="21" spans="1:20" s="12" customFormat="1" ht="12.75" customHeight="1" x14ac:dyDescent="0.2">
      <c r="A21" s="11"/>
      <c r="N21" s="15"/>
      <c r="P21" s="401" t="s">
        <v>77</v>
      </c>
      <c r="Q21" s="401"/>
      <c r="R21" s="117">
        <f>Sheet1!$C$22</f>
        <v>5.7999999999999972</v>
      </c>
    </row>
    <row r="22" spans="1:20" s="12" customFormat="1" ht="12.75" customHeight="1" x14ac:dyDescent="0.2">
      <c r="A22" s="11"/>
      <c r="N22" s="15"/>
      <c r="P22" s="401" t="s">
        <v>112</v>
      </c>
      <c r="Q22" s="401"/>
      <c r="R22" s="67" t="b">
        <f>R21&lt;=10</f>
        <v>1</v>
      </c>
    </row>
    <row r="23" spans="1:20" s="12" customFormat="1" ht="12.75" customHeight="1" x14ac:dyDescent="0.2">
      <c r="A23" s="11"/>
      <c r="N23" s="15"/>
      <c r="P23" s="127"/>
      <c r="Q23" s="127"/>
      <c r="R23" s="127"/>
    </row>
    <row r="24" spans="1:20" s="12" customFormat="1" ht="12.75" customHeight="1" x14ac:dyDescent="0.2">
      <c r="A24" s="11"/>
      <c r="N24" s="15"/>
      <c r="P24" s="127"/>
      <c r="Q24" s="127"/>
      <c r="R24" s="127"/>
    </row>
    <row r="25" spans="1:20" s="12" customFormat="1" ht="12.75" customHeight="1" x14ac:dyDescent="0.2">
      <c r="A25" s="11"/>
      <c r="N25" s="15"/>
    </row>
    <row r="26" spans="1:20" s="12" customFormat="1" ht="12.75" customHeight="1" thickBot="1" x14ac:dyDescent="0.25">
      <c r="A26" s="11"/>
      <c r="N26" s="15"/>
    </row>
    <row r="27" spans="1:20" s="12" customFormat="1" ht="12.75" customHeight="1" thickTop="1" x14ac:dyDescent="0.2">
      <c r="A27" s="11"/>
      <c r="N27" s="15"/>
      <c r="P27" s="405" t="s">
        <v>115</v>
      </c>
      <c r="Q27" s="406"/>
      <c r="R27" s="407"/>
    </row>
    <row r="28" spans="1:20" s="12" customFormat="1" ht="12.75" customHeight="1" x14ac:dyDescent="0.2">
      <c r="A28" s="11"/>
      <c r="N28" s="15"/>
      <c r="P28" s="408"/>
      <c r="Q28" s="409"/>
      <c r="R28" s="410"/>
    </row>
    <row r="29" spans="1:20" s="12" customFormat="1" ht="12.75" customHeight="1" x14ac:dyDescent="0.2">
      <c r="A29" s="11"/>
      <c r="N29" s="15"/>
      <c r="P29" s="411" t="s">
        <v>118</v>
      </c>
      <c r="Q29" s="412"/>
      <c r="R29" s="138">
        <v>36</v>
      </c>
    </row>
    <row r="30" spans="1:20" s="12" customFormat="1" ht="12.75" customHeight="1" x14ac:dyDescent="0.2">
      <c r="A30" s="11"/>
      <c r="N30" s="15"/>
      <c r="P30" s="411" t="s">
        <v>119</v>
      </c>
      <c r="Q30" s="412"/>
      <c r="R30" s="138">
        <v>37</v>
      </c>
    </row>
    <row r="31" spans="1:20" s="12" customFormat="1" ht="12.75" customHeight="1" x14ac:dyDescent="0.2">
      <c r="A31" s="11"/>
      <c r="N31" s="15"/>
      <c r="P31" s="413" t="s">
        <v>121</v>
      </c>
      <c r="Q31" s="140" t="s">
        <v>122</v>
      </c>
      <c r="R31" s="139">
        <v>45</v>
      </c>
    </row>
    <row r="32" spans="1:20" s="12" customFormat="1" ht="12.75" customHeight="1" thickBot="1" x14ac:dyDescent="0.25">
      <c r="A32" s="11"/>
      <c r="N32" s="15"/>
      <c r="P32" s="414"/>
      <c r="Q32" s="141" t="s">
        <v>123</v>
      </c>
      <c r="R32" s="137">
        <v>0</v>
      </c>
    </row>
    <row r="33" spans="1:14" s="12" customFormat="1" ht="12.75" customHeight="1" thickTop="1" x14ac:dyDescent="0.2">
      <c r="A33" s="11"/>
      <c r="N33" s="15"/>
    </row>
    <row r="34" spans="1:14" s="12" customFormat="1" ht="12.75" customHeight="1" x14ac:dyDescent="0.2">
      <c r="A34" s="11"/>
      <c r="N34" s="15"/>
    </row>
    <row r="35" spans="1:14" s="12" customFormat="1" ht="12.75" customHeight="1" x14ac:dyDescent="0.2">
      <c r="A35" s="11"/>
      <c r="N35" s="15"/>
    </row>
    <row r="36" spans="1:14" s="12" customFormat="1" ht="12.75" customHeight="1" x14ac:dyDescent="0.2">
      <c r="A36" s="11"/>
      <c r="N36" s="15"/>
    </row>
    <row r="37" spans="1:14" s="12" customFormat="1" ht="12.75" customHeight="1" x14ac:dyDescent="0.2">
      <c r="A37" s="11"/>
      <c r="N37" s="15"/>
    </row>
    <row r="38" spans="1:14" ht="12.75" customHeight="1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ht="12.75" customHeight="1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ht="12.75" customHeight="1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ht="12.75" customHeight="1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ht="12.75" customHeight="1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12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ht="12.75" customHeight="1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ht="12.75" customHeight="1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ht="12.75" customHeight="1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.75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.75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61</v>
      </c>
      <c r="E55" s="341"/>
      <c r="F55" s="341"/>
      <c r="G55" s="341"/>
      <c r="H55" s="341"/>
      <c r="I55" s="342"/>
      <c r="J55" s="318" t="s">
        <v>98</v>
      </c>
      <c r="K55" s="370"/>
      <c r="L55" s="371"/>
      <c r="M55" s="318">
        <v>2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93" t="str">
        <f>Sheet1!$C$27</f>
        <v>KEE</v>
      </c>
      <c r="B59" s="394"/>
      <c r="C59" s="39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">
      <c r="A60" s="331"/>
      <c r="B60" s="332"/>
      <c r="C60" s="333"/>
      <c r="D60" s="396">
        <f ca="1">Sheet1!$J$1</f>
        <v>43987.692111226854</v>
      </c>
      <c r="E60" s="397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364" t="s">
        <v>131</v>
      </c>
      <c r="L61" s="364"/>
      <c r="M61" s="364"/>
      <c r="N61" s="364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8">
    <mergeCell ref="G2:J2"/>
    <mergeCell ref="B49:D49"/>
    <mergeCell ref="P16:Q16"/>
    <mergeCell ref="P17:Q17"/>
    <mergeCell ref="P20:Q20"/>
    <mergeCell ref="P21:Q21"/>
    <mergeCell ref="P22:Q22"/>
    <mergeCell ref="P27:R28"/>
    <mergeCell ref="P29:Q29"/>
    <mergeCell ref="P30:Q30"/>
    <mergeCell ref="P15:Q15"/>
    <mergeCell ref="P14:Q14"/>
    <mergeCell ref="P31:P32"/>
    <mergeCell ref="J55:L55"/>
    <mergeCell ref="A54:C54"/>
    <mergeCell ref="M55:N55"/>
    <mergeCell ref="F60:I60"/>
    <mergeCell ref="J58:N59"/>
    <mergeCell ref="J57:K57"/>
    <mergeCell ref="F59:G59"/>
    <mergeCell ref="A59:C60"/>
    <mergeCell ref="J54:L54"/>
    <mergeCell ref="A58:C58"/>
    <mergeCell ref="B52:D52"/>
    <mergeCell ref="D55:I55"/>
    <mergeCell ref="A53:F53"/>
    <mergeCell ref="A57:C57"/>
    <mergeCell ref="B50:D50"/>
    <mergeCell ref="B51:D51"/>
    <mergeCell ref="A56:C56"/>
    <mergeCell ref="A55:C55"/>
    <mergeCell ref="M62:N62"/>
    <mergeCell ref="K61:N61"/>
    <mergeCell ref="M57:N57"/>
    <mergeCell ref="J60:L60"/>
    <mergeCell ref="D56:I56"/>
    <mergeCell ref="D60:E60"/>
    <mergeCell ref="J56:N56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indexed="41"/>
  </sheetPr>
  <dimension ref="A1:T120"/>
  <sheetViews>
    <sheetView topLeftCell="A4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6384" width="9.140625" style="121"/>
  </cols>
  <sheetData>
    <row r="1" spans="1:19" s="12" customFormat="1" ht="12.75" customHeigh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19" s="12" customFormat="1" ht="12.75" customHeight="1" x14ac:dyDescent="0.25">
      <c r="A2" s="11"/>
      <c r="G2" s="381"/>
      <c r="H2" s="381"/>
      <c r="I2" s="381"/>
      <c r="J2" s="381"/>
      <c r="K2" s="13"/>
      <c r="L2" s="14"/>
      <c r="N2" s="15"/>
    </row>
    <row r="3" spans="1:19" s="12" customFormat="1" ht="12.75" customHeight="1" x14ac:dyDescent="0.2">
      <c r="A3" s="11"/>
      <c r="D3" s="16"/>
      <c r="N3" s="15"/>
    </row>
    <row r="4" spans="1:19" s="12" customFormat="1" ht="12.75" customHeight="1" x14ac:dyDescent="0.2">
      <c r="A4" s="11"/>
      <c r="N4" s="15"/>
    </row>
    <row r="5" spans="1:19" s="12" customFormat="1" ht="12.75" customHeight="1" x14ac:dyDescent="0.2">
      <c r="A5" s="11"/>
      <c r="N5" s="15"/>
    </row>
    <row r="6" spans="1:19" s="12" customFormat="1" ht="12.75" customHeight="1" x14ac:dyDescent="0.2">
      <c r="A6" s="11"/>
      <c r="N6" s="15"/>
    </row>
    <row r="7" spans="1:19" s="12" customFormat="1" ht="12.75" customHeight="1" x14ac:dyDescent="0.2">
      <c r="A7" s="11"/>
      <c r="N7" s="15"/>
    </row>
    <row r="8" spans="1:19" s="12" customFormat="1" ht="12.75" customHeight="1" x14ac:dyDescent="0.2">
      <c r="A8" s="11"/>
      <c r="N8" s="15"/>
    </row>
    <row r="9" spans="1:19" s="12" customFormat="1" ht="12.75" customHeight="1" x14ac:dyDescent="0.2">
      <c r="A9" s="11"/>
      <c r="N9" s="15"/>
    </row>
    <row r="10" spans="1:19" s="12" customFormat="1" ht="12.75" customHeight="1" x14ac:dyDescent="0.2">
      <c r="A10" s="11"/>
      <c r="N10" s="15"/>
    </row>
    <row r="11" spans="1:19" s="12" customFormat="1" ht="12.75" customHeight="1" x14ac:dyDescent="0.2">
      <c r="A11" s="11"/>
      <c r="N11" s="15"/>
      <c r="P11" s="127"/>
    </row>
    <row r="12" spans="1:19" s="12" customFormat="1" ht="12.75" customHeight="1" x14ac:dyDescent="0.2">
      <c r="A12" s="11"/>
      <c r="N12" s="15"/>
      <c r="P12" s="127" t="s">
        <v>108</v>
      </c>
      <c r="R12" s="12" t="s">
        <v>109</v>
      </c>
    </row>
    <row r="13" spans="1:19" s="12" customFormat="1" ht="12.75" customHeight="1" x14ac:dyDescent="0.2">
      <c r="A13" s="11"/>
      <c r="N13" s="15"/>
      <c r="S13" s="129"/>
    </row>
    <row r="14" spans="1:19" s="12" customFormat="1" ht="12.75" customHeight="1" x14ac:dyDescent="0.2">
      <c r="A14" s="11"/>
      <c r="N14" s="15"/>
      <c r="P14" s="404" t="s">
        <v>10</v>
      </c>
      <c r="Q14" s="399"/>
      <c r="R14" s="117">
        <f>Sheet1!F11</f>
        <v>41.05</v>
      </c>
    </row>
    <row r="15" spans="1:19" s="12" customFormat="1" ht="12.75" customHeight="1" x14ac:dyDescent="0.2">
      <c r="A15" s="11"/>
      <c r="N15" s="15"/>
      <c r="P15" s="389" t="s">
        <v>73</v>
      </c>
      <c r="Q15" s="389"/>
      <c r="R15" s="117">
        <f>Sheet1!F12</f>
        <v>48.39</v>
      </c>
    </row>
    <row r="16" spans="1:19" s="12" customFormat="1" ht="12.75" customHeight="1" x14ac:dyDescent="0.2">
      <c r="A16" s="11"/>
      <c r="N16" s="15"/>
      <c r="P16" s="404" t="s">
        <v>6</v>
      </c>
      <c r="Q16" s="399"/>
      <c r="R16" s="117">
        <f>Sheet1!$C$9</f>
        <v>0.8</v>
      </c>
    </row>
    <row r="17" spans="1:20" s="12" customFormat="1" ht="12.75" customHeight="1" x14ac:dyDescent="0.2">
      <c r="A17" s="11"/>
      <c r="N17" s="15"/>
      <c r="S17" s="119"/>
    </row>
    <row r="18" spans="1:20" s="12" customFormat="1" ht="12.75" customHeight="1" x14ac:dyDescent="0.2">
      <c r="A18" s="11"/>
      <c r="N18" s="15"/>
      <c r="T18" s="129"/>
    </row>
    <row r="19" spans="1:20" s="12" customFormat="1" ht="12.75" customHeight="1" x14ac:dyDescent="0.2">
      <c r="A19" s="11"/>
      <c r="N19" s="15"/>
    </row>
    <row r="20" spans="1:20" s="12" customFormat="1" ht="12.75" customHeight="1" x14ac:dyDescent="0.2">
      <c r="A20" s="11"/>
      <c r="N20" s="15"/>
      <c r="P20" s="401" t="s">
        <v>4</v>
      </c>
      <c r="Q20" s="401"/>
      <c r="R20" s="117">
        <f>Sheet1!$C$7</f>
        <v>41</v>
      </c>
    </row>
    <row r="21" spans="1:20" s="12" customFormat="1" ht="12.75" customHeight="1" x14ac:dyDescent="0.2">
      <c r="A21" s="11"/>
      <c r="N21" s="15"/>
      <c r="P21" s="401" t="s">
        <v>77</v>
      </c>
      <c r="Q21" s="401"/>
      <c r="R21" s="117">
        <f>Sheet1!$C$22</f>
        <v>5.7999999999999972</v>
      </c>
    </row>
    <row r="22" spans="1:20" s="12" customFormat="1" ht="12.75" customHeight="1" x14ac:dyDescent="0.2">
      <c r="A22" s="11"/>
      <c r="N22" s="15"/>
      <c r="P22" s="401" t="s">
        <v>112</v>
      </c>
      <c r="Q22" s="401"/>
      <c r="R22" s="67" t="b">
        <f>R21&lt;=10</f>
        <v>1</v>
      </c>
    </row>
    <row r="23" spans="1:20" s="12" customFormat="1" ht="12.75" customHeight="1" x14ac:dyDescent="0.2">
      <c r="A23" s="11"/>
      <c r="N23" s="15"/>
    </row>
    <row r="24" spans="1:20" s="12" customFormat="1" ht="12.75" customHeight="1" x14ac:dyDescent="0.2">
      <c r="A24" s="11"/>
      <c r="N24" s="15"/>
    </row>
    <row r="25" spans="1:20" s="12" customFormat="1" ht="12.75" customHeight="1" x14ac:dyDescent="0.2">
      <c r="A25" s="11"/>
      <c r="N25" s="15"/>
    </row>
    <row r="26" spans="1:20" s="12" customFormat="1" ht="12.75" customHeight="1" thickBot="1" x14ac:dyDescent="0.25">
      <c r="A26" s="11"/>
      <c r="N26" s="15"/>
    </row>
    <row r="27" spans="1:20" s="12" customFormat="1" ht="12.75" customHeight="1" thickTop="1" x14ac:dyDescent="0.2">
      <c r="A27" s="11"/>
      <c r="N27" s="15"/>
      <c r="P27" s="405" t="s">
        <v>115</v>
      </c>
      <c r="Q27" s="406"/>
      <c r="R27" s="407"/>
    </row>
    <row r="28" spans="1:20" s="12" customFormat="1" ht="12.75" customHeight="1" x14ac:dyDescent="0.2">
      <c r="A28" s="11"/>
      <c r="N28" s="15"/>
      <c r="P28" s="408"/>
      <c r="Q28" s="409"/>
      <c r="R28" s="410"/>
    </row>
    <row r="29" spans="1:20" s="12" customFormat="1" ht="12.75" customHeight="1" x14ac:dyDescent="0.2">
      <c r="A29" s="11"/>
      <c r="N29" s="15"/>
      <c r="P29" s="411" t="s">
        <v>116</v>
      </c>
      <c r="Q29" s="412"/>
      <c r="R29" s="138" t="s">
        <v>117</v>
      </c>
    </row>
    <row r="30" spans="1:20" s="12" customFormat="1" ht="12.75" customHeight="1" x14ac:dyDescent="0.2">
      <c r="A30" s="11"/>
      <c r="N30" s="15"/>
      <c r="P30" s="411" t="s">
        <v>118</v>
      </c>
      <c r="Q30" s="412"/>
      <c r="R30" s="138" t="s">
        <v>117</v>
      </c>
    </row>
    <row r="31" spans="1:20" s="12" customFormat="1" ht="12.75" customHeight="1" x14ac:dyDescent="0.2">
      <c r="A31" s="11"/>
      <c r="N31" s="15"/>
      <c r="P31" s="411" t="s">
        <v>119</v>
      </c>
      <c r="Q31" s="412"/>
      <c r="R31" s="138" t="s">
        <v>117</v>
      </c>
    </row>
    <row r="32" spans="1:20" s="12" customFormat="1" ht="12.75" customHeight="1" x14ac:dyDescent="0.2">
      <c r="A32" s="11"/>
      <c r="N32" s="15"/>
      <c r="P32" s="411" t="s">
        <v>120</v>
      </c>
      <c r="Q32" s="412"/>
      <c r="R32" s="138" t="s">
        <v>117</v>
      </c>
    </row>
    <row r="33" spans="1:18" s="12" customFormat="1" ht="12.75" customHeight="1" x14ac:dyDescent="0.2">
      <c r="A33" s="11"/>
      <c r="N33" s="15"/>
      <c r="P33" s="413" t="s">
        <v>121</v>
      </c>
      <c r="Q33" s="143" t="s">
        <v>122</v>
      </c>
      <c r="R33" s="139" t="s">
        <v>117</v>
      </c>
    </row>
    <row r="34" spans="1:18" s="12" customFormat="1" ht="12.75" customHeight="1" thickBot="1" x14ac:dyDescent="0.25">
      <c r="A34" s="11"/>
      <c r="N34" s="15"/>
      <c r="P34" s="414"/>
      <c r="Q34" s="141" t="s">
        <v>123</v>
      </c>
      <c r="R34" s="137" t="s">
        <v>117</v>
      </c>
    </row>
    <row r="35" spans="1:18" s="12" customFormat="1" ht="12.75" customHeight="1" thickTop="1" x14ac:dyDescent="0.2">
      <c r="A35" s="11"/>
      <c r="N35" s="15"/>
    </row>
    <row r="36" spans="1:18" s="12" customFormat="1" ht="12.75" customHeight="1" x14ac:dyDescent="0.2">
      <c r="A36" s="11"/>
      <c r="N36" s="15"/>
    </row>
    <row r="37" spans="1:18" s="12" customFormat="1" ht="12.75" customHeight="1" x14ac:dyDescent="0.2">
      <c r="A37" s="11"/>
      <c r="N37" s="15"/>
    </row>
    <row r="38" spans="1:18" ht="12.75" customHeight="1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8" ht="12.75" customHeight="1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8" ht="12.75" customHeight="1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8" ht="12.75" customHeight="1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8" ht="12.75" customHeight="1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8" ht="12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8" ht="12.75" customHeight="1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8" ht="12.75" customHeight="1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8" ht="12.75" customHeight="1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8" ht="12.75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8" ht="12.75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61</v>
      </c>
      <c r="E55" s="341"/>
      <c r="F55" s="341"/>
      <c r="G55" s="341"/>
      <c r="H55" s="341"/>
      <c r="I55" s="342"/>
      <c r="J55" s="318" t="s">
        <v>98</v>
      </c>
      <c r="K55" s="370"/>
      <c r="L55" s="371"/>
      <c r="M55" s="318">
        <v>2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93" t="str">
        <f>Sheet1!$C$27</f>
        <v>KEE</v>
      </c>
      <c r="B59" s="394"/>
      <c r="C59" s="39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">
      <c r="A60" s="331"/>
      <c r="B60" s="332"/>
      <c r="C60" s="333"/>
      <c r="D60" s="396">
        <f ca="1">Sheet1!$J$1</f>
        <v>43987.692111226854</v>
      </c>
      <c r="E60" s="397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415"/>
      <c r="L61" s="416"/>
      <c r="M61" s="416"/>
      <c r="N61" s="416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9">
    <mergeCell ref="A55:C55"/>
    <mergeCell ref="K61:N61"/>
    <mergeCell ref="P16:Q16"/>
    <mergeCell ref="P20:Q20"/>
    <mergeCell ref="P21:Q21"/>
    <mergeCell ref="M57:N57"/>
    <mergeCell ref="J56:N56"/>
    <mergeCell ref="J55:L55"/>
    <mergeCell ref="P27:R28"/>
    <mergeCell ref="P29:Q29"/>
    <mergeCell ref="P30:Q30"/>
    <mergeCell ref="A54:C54"/>
    <mergeCell ref="B52:D52"/>
    <mergeCell ref="M62:N62"/>
    <mergeCell ref="A53:F53"/>
    <mergeCell ref="F59:G59"/>
    <mergeCell ref="M55:N55"/>
    <mergeCell ref="A58:C58"/>
    <mergeCell ref="A59:C60"/>
    <mergeCell ref="J54:L54"/>
    <mergeCell ref="A57:C57"/>
    <mergeCell ref="D60:E60"/>
    <mergeCell ref="J60:L60"/>
    <mergeCell ref="D55:I55"/>
    <mergeCell ref="D56:I56"/>
    <mergeCell ref="A56:C56"/>
    <mergeCell ref="F60:I60"/>
    <mergeCell ref="J58:N59"/>
    <mergeCell ref="J57:K57"/>
    <mergeCell ref="G2:J2"/>
    <mergeCell ref="B49:D49"/>
    <mergeCell ref="B50:D50"/>
    <mergeCell ref="B51:D51"/>
    <mergeCell ref="P15:Q15"/>
    <mergeCell ref="P14:Q14"/>
    <mergeCell ref="P31:Q31"/>
    <mergeCell ref="P32:Q32"/>
    <mergeCell ref="P22:Q22"/>
    <mergeCell ref="P33:P34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indexed="41"/>
  </sheetPr>
  <dimension ref="A1:T120"/>
  <sheetViews>
    <sheetView topLeftCell="A13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6384" width="9.140625" style="121"/>
  </cols>
  <sheetData>
    <row r="1" spans="1:19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19" s="12" customFormat="1" ht="15.75" x14ac:dyDescent="0.25">
      <c r="A2" s="11"/>
      <c r="G2" s="381"/>
      <c r="H2" s="381"/>
      <c r="I2" s="381"/>
      <c r="J2" s="381"/>
      <c r="K2" s="13"/>
      <c r="L2" s="14"/>
      <c r="N2" s="15"/>
    </row>
    <row r="3" spans="1:19" s="12" customFormat="1" x14ac:dyDescent="0.2">
      <c r="A3" s="11"/>
      <c r="D3" s="16"/>
      <c r="N3" s="15"/>
    </row>
    <row r="4" spans="1:19" s="12" customFormat="1" x14ac:dyDescent="0.2">
      <c r="A4" s="11"/>
      <c r="N4" s="15"/>
    </row>
    <row r="5" spans="1:19" s="12" customFormat="1" x14ac:dyDescent="0.2">
      <c r="A5" s="11"/>
      <c r="N5" s="15"/>
    </row>
    <row r="6" spans="1:19" s="12" customFormat="1" ht="9" customHeight="1" x14ac:dyDescent="0.2">
      <c r="A6" s="11"/>
      <c r="N6" s="15"/>
    </row>
    <row r="7" spans="1:19" s="12" customFormat="1" x14ac:dyDescent="0.2">
      <c r="A7" s="11"/>
      <c r="N7" s="15"/>
    </row>
    <row r="8" spans="1:19" s="12" customFormat="1" x14ac:dyDescent="0.2">
      <c r="A8" s="11"/>
      <c r="N8" s="15"/>
    </row>
    <row r="9" spans="1:19" s="12" customFormat="1" x14ac:dyDescent="0.2">
      <c r="A9" s="11"/>
      <c r="N9" s="15"/>
    </row>
    <row r="10" spans="1:19" s="12" customFormat="1" x14ac:dyDescent="0.2">
      <c r="A10" s="11"/>
      <c r="N10" s="15"/>
    </row>
    <row r="11" spans="1:19" s="12" customFormat="1" x14ac:dyDescent="0.2">
      <c r="A11" s="11"/>
      <c r="N11" s="15"/>
      <c r="P11" s="127"/>
    </row>
    <row r="12" spans="1:19" s="12" customFormat="1" x14ac:dyDescent="0.2">
      <c r="A12" s="11"/>
      <c r="N12" s="15"/>
    </row>
    <row r="13" spans="1:19" s="12" customFormat="1" x14ac:dyDescent="0.2">
      <c r="A13" s="11"/>
      <c r="N13" s="15"/>
      <c r="S13" s="129"/>
    </row>
    <row r="14" spans="1:19" s="12" customFormat="1" x14ac:dyDescent="0.2">
      <c r="A14" s="11"/>
      <c r="N14" s="15"/>
      <c r="P14" s="404" t="s">
        <v>10</v>
      </c>
      <c r="Q14" s="399"/>
      <c r="R14" s="117">
        <f>Sheet1!F11</f>
        <v>41.05</v>
      </c>
    </row>
    <row r="15" spans="1:19" s="12" customFormat="1" x14ac:dyDescent="0.2">
      <c r="A15" s="11"/>
      <c r="N15" s="15"/>
      <c r="P15" s="389" t="s">
        <v>73</v>
      </c>
      <c r="Q15" s="389"/>
      <c r="R15" s="117">
        <f>Sheet1!F12</f>
        <v>48.39</v>
      </c>
    </row>
    <row r="16" spans="1:19" s="12" customFormat="1" x14ac:dyDescent="0.2">
      <c r="A16" s="11"/>
      <c r="N16" s="15"/>
      <c r="P16" s="404" t="s">
        <v>6</v>
      </c>
      <c r="Q16" s="399"/>
      <c r="R16" s="117">
        <f>Sheet1!$C$9</f>
        <v>0.8</v>
      </c>
    </row>
    <row r="17" spans="1:20" s="12" customFormat="1" x14ac:dyDescent="0.2">
      <c r="A17" s="11"/>
      <c r="N17" s="15"/>
      <c r="P17" s="404" t="s">
        <v>76</v>
      </c>
      <c r="Q17" s="399"/>
      <c r="R17" s="128">
        <f>49-R16</f>
        <v>48.2</v>
      </c>
      <c r="S17" s="119"/>
    </row>
    <row r="18" spans="1:20" s="12" customFormat="1" x14ac:dyDescent="0.2">
      <c r="A18" s="11"/>
      <c r="N18" s="15"/>
      <c r="T18" s="129"/>
    </row>
    <row r="19" spans="1:20" s="12" customFormat="1" x14ac:dyDescent="0.2">
      <c r="A19" s="11"/>
      <c r="N19" s="15"/>
    </row>
    <row r="20" spans="1:20" s="12" customFormat="1" x14ac:dyDescent="0.2">
      <c r="A20" s="11"/>
      <c r="N20" s="15"/>
      <c r="P20" s="401" t="s">
        <v>4</v>
      </c>
      <c r="Q20" s="401"/>
      <c r="R20" s="117">
        <f>Sheet1!$C$7</f>
        <v>41</v>
      </c>
    </row>
    <row r="21" spans="1:20" s="12" customFormat="1" x14ac:dyDescent="0.2">
      <c r="A21" s="11"/>
      <c r="N21" s="15"/>
      <c r="P21" s="401" t="s">
        <v>77</v>
      </c>
      <c r="Q21" s="401"/>
      <c r="R21" s="117">
        <f>Sheet1!$C$22</f>
        <v>5.7999999999999972</v>
      </c>
    </row>
    <row r="22" spans="1:20" s="12" customFormat="1" x14ac:dyDescent="0.2">
      <c r="A22" s="11"/>
      <c r="N22" s="15"/>
      <c r="P22" s="401" t="s">
        <v>101</v>
      </c>
      <c r="Q22" s="401"/>
      <c r="R22" s="68" t="b">
        <f>R21&lt;=10</f>
        <v>1</v>
      </c>
    </row>
    <row r="23" spans="1:20" s="12" customFormat="1" x14ac:dyDescent="0.2">
      <c r="A23" s="11"/>
      <c r="N23" s="15"/>
      <c r="P23" s="401" t="s">
        <v>102</v>
      </c>
      <c r="Q23" s="401"/>
      <c r="R23" s="68" t="b">
        <f>IF(R20&gt;18,IF(R20&lt;32,TRUE))</f>
        <v>0</v>
      </c>
    </row>
    <row r="24" spans="1:20" s="12" customFormat="1" x14ac:dyDescent="0.2">
      <c r="A24" s="11"/>
      <c r="N24" s="15"/>
      <c r="P24" s="418" t="s">
        <v>52</v>
      </c>
      <c r="Q24" s="418"/>
      <c r="R24" s="67" t="b">
        <f>IF(R22=TRUE,IF(R23=TRUE,TRUE))</f>
        <v>0</v>
      </c>
    </row>
    <row r="25" spans="1:20" s="12" customFormat="1" x14ac:dyDescent="0.2">
      <c r="A25" s="11"/>
      <c r="N25" s="15"/>
    </row>
    <row r="26" spans="1:20" s="12" customFormat="1" x14ac:dyDescent="0.2">
      <c r="A26" s="11"/>
      <c r="N26" s="15"/>
    </row>
    <row r="27" spans="1:20" s="12" customFormat="1" x14ac:dyDescent="0.2">
      <c r="A27" s="11"/>
      <c r="N27" s="15"/>
    </row>
    <row r="28" spans="1:20" s="12" customFormat="1" x14ac:dyDescent="0.2">
      <c r="A28" s="11"/>
      <c r="N28" s="15"/>
    </row>
    <row r="29" spans="1:20" s="12" customFormat="1" x14ac:dyDescent="0.2">
      <c r="A29" s="11"/>
      <c r="N29" s="15"/>
    </row>
    <row r="30" spans="1:20" s="12" customFormat="1" x14ac:dyDescent="0.2">
      <c r="A30" s="11"/>
      <c r="N30" s="15"/>
    </row>
    <row r="31" spans="1:20" s="12" customFormat="1" x14ac:dyDescent="0.2">
      <c r="A31" s="11"/>
      <c r="N31" s="15"/>
    </row>
    <row r="32" spans="1:20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61</v>
      </c>
      <c r="E55" s="341"/>
      <c r="F55" s="341"/>
      <c r="G55" s="341"/>
      <c r="H55" s="341"/>
      <c r="I55" s="342"/>
      <c r="J55" s="318" t="s">
        <v>98</v>
      </c>
      <c r="K55" s="370"/>
      <c r="L55" s="371"/>
      <c r="M55" s="318">
        <v>2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93" t="str">
        <f>Sheet1!$C$27</f>
        <v>KEE</v>
      </c>
      <c r="B59" s="394"/>
      <c r="C59" s="39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">
      <c r="A60" s="331"/>
      <c r="B60" s="332"/>
      <c r="C60" s="333"/>
      <c r="D60" s="396">
        <f ca="1">Sheet1!$J$1</f>
        <v>43987.692111226854</v>
      </c>
      <c r="E60" s="397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417" t="s">
        <v>132</v>
      </c>
      <c r="L61" s="417"/>
      <c r="M61" s="417"/>
      <c r="N61" s="417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6">
    <mergeCell ref="P15:Q15"/>
    <mergeCell ref="P14:Q14"/>
    <mergeCell ref="G2:J2"/>
    <mergeCell ref="B49:D49"/>
    <mergeCell ref="P16:Q16"/>
    <mergeCell ref="P17:Q17"/>
    <mergeCell ref="P20:Q20"/>
    <mergeCell ref="P21:Q21"/>
    <mergeCell ref="P22:Q22"/>
    <mergeCell ref="P23:Q23"/>
    <mergeCell ref="P24:Q24"/>
    <mergeCell ref="A59:C60"/>
    <mergeCell ref="A57:C57"/>
    <mergeCell ref="B50:D50"/>
    <mergeCell ref="B51:D51"/>
    <mergeCell ref="A58:C58"/>
    <mergeCell ref="A55:C55"/>
    <mergeCell ref="A54:C54"/>
    <mergeCell ref="B52:D52"/>
    <mergeCell ref="D55:I55"/>
    <mergeCell ref="D56:I56"/>
    <mergeCell ref="A56:C56"/>
    <mergeCell ref="A53:F53"/>
    <mergeCell ref="M62:N62"/>
    <mergeCell ref="K61:N61"/>
    <mergeCell ref="J54:L54"/>
    <mergeCell ref="D60:E60"/>
    <mergeCell ref="J60:L60"/>
    <mergeCell ref="F60:I60"/>
    <mergeCell ref="J58:N59"/>
    <mergeCell ref="F59:G59"/>
    <mergeCell ref="M57:N57"/>
    <mergeCell ref="M55:N55"/>
    <mergeCell ref="J57:K57"/>
    <mergeCell ref="J56:N56"/>
    <mergeCell ref="J55:L55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indexed="41"/>
  </sheetPr>
  <dimension ref="A1:V120"/>
  <sheetViews>
    <sheetView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6" width="9.140625" style="121"/>
    <col min="17" max="17" width="10.28515625" style="121" customWidth="1"/>
    <col min="18" max="18" width="20.7109375" style="121" customWidth="1"/>
    <col min="19" max="16384" width="9.140625" style="121"/>
  </cols>
  <sheetData>
    <row r="1" spans="1:22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2" s="12" customFormat="1" ht="15.75" x14ac:dyDescent="0.25">
      <c r="A2" s="11"/>
      <c r="G2" s="381"/>
      <c r="H2" s="381"/>
      <c r="I2" s="381"/>
      <c r="J2" s="381"/>
      <c r="K2" s="13"/>
      <c r="L2" s="14"/>
      <c r="N2" s="15"/>
      <c r="P2" s="210" t="str">
        <f>IF(R24=TRUE,"","TEMPLATE FOR OTHER DESIGN")</f>
        <v>TEMPLATE FOR OTHER DESIGN</v>
      </c>
    </row>
    <row r="3" spans="1:22" s="12" customFormat="1" x14ac:dyDescent="0.2">
      <c r="A3" s="11"/>
      <c r="D3" s="16"/>
      <c r="N3" s="15"/>
    </row>
    <row r="4" spans="1:22" s="12" customFormat="1" x14ac:dyDescent="0.2">
      <c r="A4" s="11"/>
      <c r="N4" s="15"/>
    </row>
    <row r="5" spans="1:22" s="12" customFormat="1" x14ac:dyDescent="0.2">
      <c r="A5" s="11"/>
      <c r="N5" s="15"/>
    </row>
    <row r="6" spans="1:22" s="12" customFormat="1" ht="9" customHeight="1" x14ac:dyDescent="0.2">
      <c r="A6" s="11"/>
      <c r="N6" s="15"/>
    </row>
    <row r="7" spans="1:22" s="12" customFormat="1" x14ac:dyDescent="0.2">
      <c r="A7" s="11"/>
      <c r="N7" s="15"/>
    </row>
    <row r="8" spans="1:22" s="12" customFormat="1" x14ac:dyDescent="0.2">
      <c r="A8" s="11"/>
      <c r="N8" s="15"/>
    </row>
    <row r="9" spans="1:22" s="12" customFormat="1" x14ac:dyDescent="0.2">
      <c r="A9" s="11"/>
      <c r="N9" s="15"/>
    </row>
    <row r="10" spans="1:22" s="12" customFormat="1" ht="13.5" thickBot="1" x14ac:dyDescent="0.25">
      <c r="A10" s="11"/>
      <c r="N10" s="15"/>
    </row>
    <row r="11" spans="1:22" s="12" customFormat="1" ht="13.5" customHeight="1" thickTop="1" x14ac:dyDescent="0.2">
      <c r="A11" s="11"/>
      <c r="N11" s="15"/>
      <c r="P11" s="374" t="s">
        <v>148</v>
      </c>
      <c r="Q11" s="375"/>
      <c r="R11" s="376"/>
    </row>
    <row r="12" spans="1:22" s="12" customFormat="1" ht="15.75" customHeight="1" x14ac:dyDescent="0.2">
      <c r="A12" s="11"/>
      <c r="N12" s="15"/>
      <c r="P12" s="377" t="s">
        <v>147</v>
      </c>
      <c r="Q12" s="378"/>
      <c r="R12" s="225" t="str">
        <f>LEFT(S12,10)</f>
        <v>NAH 0609 A</v>
      </c>
      <c r="S12" s="210" t="str">
        <f>Sheet1!C3</f>
        <v>NAH 0609 A01</v>
      </c>
      <c r="T12" s="210"/>
      <c r="U12" s="210"/>
      <c r="V12" s="210"/>
    </row>
    <row r="13" spans="1:22" s="12" customFormat="1" ht="15.75" customHeight="1" x14ac:dyDescent="0.2">
      <c r="A13" s="11"/>
      <c r="N13" s="15"/>
      <c r="P13" s="379" t="s">
        <v>146</v>
      </c>
      <c r="Q13" s="380"/>
      <c r="R13" s="226" t="str">
        <f>U13</f>
        <v>R-FDB 8776 - 04</v>
      </c>
      <c r="S13" s="217" t="str">
        <f>Sheet1!C16</f>
        <v>R-FDB</v>
      </c>
      <c r="T13" s="217">
        <f>Sheet1!D16</f>
        <v>8776</v>
      </c>
      <c r="U13" s="210" t="str">
        <f>CONCATENATE(S13," ",T13," - 04")</f>
        <v>R-FDB 8776 - 04</v>
      </c>
      <c r="V13" s="210"/>
    </row>
    <row r="14" spans="1:22" s="12" customFormat="1" x14ac:dyDescent="0.2">
      <c r="A14" s="11"/>
      <c r="N14" s="15"/>
      <c r="P14" s="398" t="s">
        <v>10</v>
      </c>
      <c r="Q14" s="399"/>
      <c r="R14" s="227">
        <f>Sheet1!F11</f>
        <v>41.05</v>
      </c>
    </row>
    <row r="15" spans="1:22" s="12" customFormat="1" x14ac:dyDescent="0.2">
      <c r="A15" s="11"/>
      <c r="N15" s="15"/>
      <c r="P15" s="388" t="s">
        <v>73</v>
      </c>
      <c r="Q15" s="389"/>
      <c r="R15" s="227">
        <f>Sheet1!F12</f>
        <v>48.39</v>
      </c>
    </row>
    <row r="16" spans="1:22" s="12" customFormat="1" x14ac:dyDescent="0.2">
      <c r="A16" s="11"/>
      <c r="N16" s="15"/>
      <c r="P16" s="398" t="s">
        <v>6</v>
      </c>
      <c r="Q16" s="399"/>
      <c r="R16" s="227">
        <f>Sheet1!$C$9</f>
        <v>0.8</v>
      </c>
    </row>
    <row r="17" spans="1:20" s="12" customFormat="1" x14ac:dyDescent="0.2">
      <c r="A17" s="11"/>
      <c r="N17" s="15"/>
      <c r="P17" s="422" t="s">
        <v>76</v>
      </c>
      <c r="Q17" s="423"/>
      <c r="R17" s="266">
        <f>49-R16</f>
        <v>48.2</v>
      </c>
      <c r="S17" s="119"/>
    </row>
    <row r="18" spans="1:20" s="12" customFormat="1" x14ac:dyDescent="0.2">
      <c r="A18" s="11"/>
      <c r="N18" s="15"/>
      <c r="P18" s="420"/>
      <c r="Q18" s="421"/>
      <c r="R18" s="265"/>
      <c r="T18" s="129"/>
    </row>
    <row r="19" spans="1:20" s="12" customFormat="1" x14ac:dyDescent="0.2">
      <c r="A19" s="11"/>
      <c r="N19" s="15"/>
      <c r="P19" s="420"/>
      <c r="Q19" s="421"/>
      <c r="R19" s="265"/>
    </row>
    <row r="20" spans="1:20" s="12" customFormat="1" ht="13.5" thickBot="1" x14ac:dyDescent="0.25">
      <c r="A20" s="11"/>
      <c r="N20" s="15"/>
      <c r="P20" s="419" t="s">
        <v>4</v>
      </c>
      <c r="Q20" s="403"/>
      <c r="R20" s="229">
        <f>Sheet1!$C$7</f>
        <v>41</v>
      </c>
    </row>
    <row r="21" spans="1:20" s="12" customFormat="1" ht="13.5" thickTop="1" x14ac:dyDescent="0.2">
      <c r="A21" s="11"/>
      <c r="N21" s="15"/>
    </row>
    <row r="22" spans="1:20" s="12" customFormat="1" x14ac:dyDescent="0.2">
      <c r="A22" s="11"/>
      <c r="N22" s="15"/>
    </row>
    <row r="23" spans="1:20" s="12" customFormat="1" x14ac:dyDescent="0.2">
      <c r="A23" s="11"/>
      <c r="N23" s="15"/>
    </row>
    <row r="24" spans="1:20" s="12" customFormat="1" x14ac:dyDescent="0.2">
      <c r="A24" s="11"/>
      <c r="N24" s="15"/>
      <c r="P24" s="418" t="s">
        <v>103</v>
      </c>
      <c r="Q24" s="418"/>
      <c r="R24" s="67" t="b">
        <f>R20=0</f>
        <v>0</v>
      </c>
    </row>
    <row r="25" spans="1:20" s="12" customFormat="1" x14ac:dyDescent="0.2">
      <c r="A25" s="11"/>
      <c r="N25" s="15"/>
    </row>
    <row r="26" spans="1:20" s="12" customFormat="1" x14ac:dyDescent="0.2">
      <c r="A26" s="11"/>
      <c r="N26" s="15"/>
    </row>
    <row r="27" spans="1:20" s="12" customFormat="1" x14ac:dyDescent="0.2">
      <c r="A27" s="11"/>
      <c r="N27" s="15"/>
    </row>
    <row r="28" spans="1:20" s="12" customFormat="1" x14ac:dyDescent="0.2">
      <c r="A28" s="11"/>
      <c r="N28" s="15"/>
    </row>
    <row r="29" spans="1:20" s="12" customFormat="1" x14ac:dyDescent="0.2">
      <c r="A29" s="11"/>
      <c r="N29" s="15"/>
    </row>
    <row r="30" spans="1:20" s="12" customFormat="1" x14ac:dyDescent="0.2">
      <c r="A30" s="11"/>
      <c r="N30" s="15"/>
    </row>
    <row r="31" spans="1:20" s="12" customFormat="1" x14ac:dyDescent="0.2">
      <c r="A31" s="11"/>
      <c r="N31" s="15"/>
    </row>
    <row r="32" spans="1:20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61</v>
      </c>
      <c r="E55" s="341"/>
      <c r="F55" s="341"/>
      <c r="G55" s="341"/>
      <c r="H55" s="341"/>
      <c r="I55" s="342"/>
      <c r="J55" s="318" t="s">
        <v>98</v>
      </c>
      <c r="K55" s="370"/>
      <c r="L55" s="371"/>
      <c r="M55" s="318">
        <v>2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23" t="str">
        <f>Sheet1!$C$27</f>
        <v>KEE</v>
      </c>
      <c r="B59" s="324"/>
      <c r="C59" s="32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">
      <c r="A60" s="326"/>
      <c r="B60" s="327"/>
      <c r="C60" s="328"/>
      <c r="D60" s="396">
        <f ca="1">Sheet1!$J$1</f>
        <v>43987.692111226854</v>
      </c>
      <c r="E60" s="397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364" t="s">
        <v>78</v>
      </c>
      <c r="L61" s="364"/>
      <c r="M61" s="364"/>
      <c r="N61" s="364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8">
    <mergeCell ref="P11:R11"/>
    <mergeCell ref="P12:Q12"/>
    <mergeCell ref="P13:Q13"/>
    <mergeCell ref="P18:Q18"/>
    <mergeCell ref="P19:Q19"/>
    <mergeCell ref="P16:Q16"/>
    <mergeCell ref="P17:Q17"/>
    <mergeCell ref="P15:Q15"/>
    <mergeCell ref="P14:Q14"/>
    <mergeCell ref="J57:K57"/>
    <mergeCell ref="A55:C55"/>
    <mergeCell ref="K61:N61"/>
    <mergeCell ref="P20:Q20"/>
    <mergeCell ref="P24:Q24"/>
    <mergeCell ref="M57:N57"/>
    <mergeCell ref="J56:N56"/>
    <mergeCell ref="J55:L55"/>
    <mergeCell ref="M62:N62"/>
    <mergeCell ref="A53:F53"/>
    <mergeCell ref="F59:G59"/>
    <mergeCell ref="M55:N55"/>
    <mergeCell ref="A58:C58"/>
    <mergeCell ref="A59:C60"/>
    <mergeCell ref="J54:L54"/>
    <mergeCell ref="A57:C57"/>
    <mergeCell ref="D60:E60"/>
    <mergeCell ref="J60:L60"/>
    <mergeCell ref="D55:I55"/>
    <mergeCell ref="D56:I56"/>
    <mergeCell ref="A56:C56"/>
    <mergeCell ref="A54:C54"/>
    <mergeCell ref="F60:I60"/>
    <mergeCell ref="J58:N59"/>
    <mergeCell ref="G2:J2"/>
    <mergeCell ref="B49:D49"/>
    <mergeCell ref="B50:D50"/>
    <mergeCell ref="B51:D51"/>
    <mergeCell ref="B52:D52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indexed="47"/>
  </sheetPr>
  <dimension ref="A1:V120"/>
  <sheetViews>
    <sheetView view="pageBreakPreview" topLeftCell="A22" zoomScale="60" zoomScaleNormal="100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7" width="9.140625" style="121"/>
    <col min="18" max="18" width="18.7109375" style="121" customWidth="1"/>
    <col min="19" max="16384" width="9.140625" style="121"/>
  </cols>
  <sheetData>
    <row r="1" spans="1:22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2" s="12" customFormat="1" ht="15.75" x14ac:dyDescent="0.25">
      <c r="A2" s="11"/>
      <c r="G2" s="381"/>
      <c r="H2" s="381"/>
      <c r="I2" s="381"/>
      <c r="J2" s="381"/>
      <c r="K2" s="13"/>
      <c r="L2" s="14"/>
      <c r="N2" s="15"/>
    </row>
    <row r="3" spans="1:22" s="12" customFormat="1" x14ac:dyDescent="0.2">
      <c r="A3" s="11"/>
      <c r="D3" s="16"/>
      <c r="N3" s="15"/>
    </row>
    <row r="4" spans="1:22" s="12" customFormat="1" x14ac:dyDescent="0.2">
      <c r="A4" s="11"/>
      <c r="N4" s="15"/>
    </row>
    <row r="5" spans="1:22" s="12" customFormat="1" x14ac:dyDescent="0.2">
      <c r="A5" s="11"/>
      <c r="N5" s="15"/>
    </row>
    <row r="6" spans="1:22" s="12" customFormat="1" ht="9" customHeight="1" x14ac:dyDescent="0.2">
      <c r="A6" s="11"/>
      <c r="N6" s="15"/>
    </row>
    <row r="7" spans="1:22" s="12" customFormat="1" x14ac:dyDescent="0.2">
      <c r="A7" s="11"/>
      <c r="N7" s="15"/>
    </row>
    <row r="8" spans="1:22" s="12" customFormat="1" x14ac:dyDescent="0.2">
      <c r="A8" s="11"/>
      <c r="N8" s="15"/>
    </row>
    <row r="9" spans="1:22" s="12" customFormat="1" ht="13.5" thickBot="1" x14ac:dyDescent="0.25">
      <c r="A9" s="11"/>
      <c r="N9" s="15"/>
    </row>
    <row r="10" spans="1:22" s="12" customFormat="1" ht="13.5" thickTop="1" x14ac:dyDescent="0.2">
      <c r="A10" s="11"/>
      <c r="N10" s="15"/>
      <c r="P10" s="374" t="s">
        <v>148</v>
      </c>
      <c r="Q10" s="375"/>
      <c r="R10" s="376"/>
    </row>
    <row r="11" spans="1:22" s="12" customFormat="1" ht="15.75" x14ac:dyDescent="0.2">
      <c r="A11" s="11"/>
      <c r="N11" s="15"/>
      <c r="P11" s="377" t="s">
        <v>147</v>
      </c>
      <c r="Q11" s="378"/>
      <c r="R11" s="225" t="str">
        <f>LEFT(S11,10)</f>
        <v>NAH 0609 A</v>
      </c>
      <c r="S11" s="210" t="str">
        <f>Sheet1!C3</f>
        <v>NAH 0609 A01</v>
      </c>
      <c r="T11" s="210"/>
      <c r="U11" s="210"/>
      <c r="V11" s="210"/>
    </row>
    <row r="12" spans="1:22" s="12" customFormat="1" ht="15.75" x14ac:dyDescent="0.2">
      <c r="A12" s="11"/>
      <c r="N12" s="15"/>
      <c r="P12" s="379" t="s">
        <v>146</v>
      </c>
      <c r="Q12" s="380"/>
      <c r="R12" s="226" t="str">
        <f>U12</f>
        <v>R-FDB 8776 - 06</v>
      </c>
      <c r="S12" s="217" t="str">
        <f>Sheet1!C16</f>
        <v>R-FDB</v>
      </c>
      <c r="T12" s="217">
        <f>Sheet1!D16</f>
        <v>8776</v>
      </c>
      <c r="U12" s="210" t="str">
        <f>CONCATENATE(S12," ",T12," - 06")</f>
        <v>R-FDB 8776 - 06</v>
      </c>
      <c r="V12" s="210" t="str">
        <f>CONCATENATE(S12," ",T12," - 06  TR",R19)</f>
        <v>R-FDB 8776 - 06  TR3</v>
      </c>
    </row>
    <row r="13" spans="1:22" s="12" customFormat="1" x14ac:dyDescent="0.2">
      <c r="A13" s="11"/>
      <c r="N13" s="15"/>
      <c r="P13" s="400" t="s">
        <v>80</v>
      </c>
      <c r="Q13" s="401"/>
      <c r="R13" s="237">
        <f>Sheet1!$C$8</f>
        <v>5.7</v>
      </c>
      <c r="S13" s="129"/>
    </row>
    <row r="14" spans="1:22" s="12" customFormat="1" x14ac:dyDescent="0.2">
      <c r="A14" s="11"/>
      <c r="N14" s="15"/>
      <c r="P14" s="398" t="s">
        <v>72</v>
      </c>
      <c r="Q14" s="399"/>
      <c r="R14" s="244">
        <f>Sheet1!F16</f>
        <v>56.28</v>
      </c>
    </row>
    <row r="15" spans="1:22" s="12" customFormat="1" x14ac:dyDescent="0.2">
      <c r="A15" s="11"/>
      <c r="N15" s="15"/>
      <c r="P15" s="388" t="s">
        <v>73</v>
      </c>
      <c r="Q15" s="389"/>
      <c r="R15" s="239">
        <f>Sheet1!F17</f>
        <v>48.39</v>
      </c>
    </row>
    <row r="16" spans="1:22" s="12" customFormat="1" x14ac:dyDescent="0.2">
      <c r="A16" s="11"/>
      <c r="N16" s="15"/>
      <c r="P16" s="398" t="s">
        <v>79</v>
      </c>
      <c r="Q16" s="399"/>
      <c r="R16" s="240" t="str">
        <f>IF(R13&lt;3.5,"N/A",IF(R13&lt;=4,"57",IF(R13&lt;=5,"59",IF(R13&lt;=6,"60",IF(R13&lt;=7,"62",IF(R13&lt;=8,"63",IF(R13&lt;=9,"65",IF(R13&lt;=10,"66",S16))))))))</f>
        <v>60</v>
      </c>
      <c r="S16" s="238" t="str">
        <f>IF(R13&lt;10,"N/A",IF(R13&lt;=11,"67",IF(R13&lt;=12,"68","N/A")))</f>
        <v>N/A</v>
      </c>
    </row>
    <row r="17" spans="1:20" s="12" customFormat="1" x14ac:dyDescent="0.2">
      <c r="A17" s="11"/>
      <c r="N17" s="15"/>
      <c r="P17" s="398" t="s">
        <v>82</v>
      </c>
      <c r="Q17" s="399"/>
      <c r="R17" s="241">
        <f>R16-40</f>
        <v>20</v>
      </c>
      <c r="S17" s="132"/>
    </row>
    <row r="18" spans="1:20" s="12" customFormat="1" x14ac:dyDescent="0.2">
      <c r="A18" s="11"/>
      <c r="N18" s="15"/>
      <c r="P18" s="398" t="s">
        <v>81</v>
      </c>
      <c r="Q18" s="399"/>
      <c r="R18" s="241">
        <f>R17-2</f>
        <v>18</v>
      </c>
      <c r="S18" s="132"/>
      <c r="T18" s="129"/>
    </row>
    <row r="19" spans="1:20" s="12" customFormat="1" x14ac:dyDescent="0.2">
      <c r="A19" s="11"/>
      <c r="N19" s="15"/>
      <c r="P19" s="400" t="s">
        <v>84</v>
      </c>
      <c r="Q19" s="401"/>
      <c r="R19" s="227" t="str">
        <f>IF(R13&lt;3.5,"N/A",IF(R13&lt;=4,"2",IF(R13&lt;=5,"3",IF(R13&lt;=6,"3",IF(R13&lt;=7,"4",IF(R13&lt;=8,"4",IF(R13&lt;=9,"5",IF(R13&lt;=12,"5","N/A"))))))))</f>
        <v>3</v>
      </c>
      <c r="S19" s="116"/>
    </row>
    <row r="20" spans="1:20" s="12" customFormat="1" x14ac:dyDescent="0.2">
      <c r="A20" s="11"/>
      <c r="N20" s="15"/>
      <c r="P20" s="400" t="s">
        <v>4</v>
      </c>
      <c r="Q20" s="401"/>
      <c r="R20" s="227">
        <f>Sheet1!$C$7</f>
        <v>41</v>
      </c>
    </row>
    <row r="21" spans="1:20" s="12" customFormat="1" x14ac:dyDescent="0.2">
      <c r="A21" s="11"/>
      <c r="N21" s="15"/>
      <c r="P21" s="400" t="s">
        <v>77</v>
      </c>
      <c r="Q21" s="401"/>
      <c r="R21" s="227">
        <f>Sheet1!$C$22</f>
        <v>5.7999999999999972</v>
      </c>
    </row>
    <row r="22" spans="1:20" s="12" customFormat="1" x14ac:dyDescent="0.2">
      <c r="A22" s="11"/>
      <c r="N22" s="15"/>
      <c r="P22" s="400"/>
      <c r="Q22" s="401"/>
      <c r="R22" s="227"/>
    </row>
    <row r="23" spans="1:20" s="12" customFormat="1" ht="13.5" thickBot="1" x14ac:dyDescent="0.25">
      <c r="A23" s="11"/>
      <c r="N23" s="15"/>
      <c r="P23" s="419" t="s">
        <v>85</v>
      </c>
      <c r="Q23" s="403"/>
      <c r="R23" s="229">
        <f>Sheet1!$C$15</f>
        <v>48.4</v>
      </c>
    </row>
    <row r="24" spans="1:20" s="12" customFormat="1" ht="13.5" thickTop="1" x14ac:dyDescent="0.2">
      <c r="A24" s="11"/>
      <c r="N24" s="15"/>
    </row>
    <row r="25" spans="1:20" s="12" customFormat="1" x14ac:dyDescent="0.2">
      <c r="A25" s="11"/>
      <c r="N25" s="15"/>
    </row>
    <row r="26" spans="1:20" s="12" customFormat="1" x14ac:dyDescent="0.2">
      <c r="A26" s="11"/>
      <c r="N26" s="15"/>
    </row>
    <row r="27" spans="1:20" s="12" customFormat="1" x14ac:dyDescent="0.2">
      <c r="A27" s="11"/>
      <c r="N27" s="15"/>
    </row>
    <row r="28" spans="1:20" s="12" customFormat="1" x14ac:dyDescent="0.2">
      <c r="A28" s="11"/>
      <c r="N28" s="15"/>
    </row>
    <row r="29" spans="1:20" s="12" customFormat="1" x14ac:dyDescent="0.2">
      <c r="A29" s="11"/>
      <c r="N29" s="15"/>
    </row>
    <row r="30" spans="1:20" s="12" customFormat="1" x14ac:dyDescent="0.2">
      <c r="A30" s="11"/>
      <c r="N30" s="15"/>
    </row>
    <row r="31" spans="1:20" s="12" customFormat="1" x14ac:dyDescent="0.2">
      <c r="A31" s="11"/>
      <c r="N31" s="15"/>
    </row>
    <row r="32" spans="1:20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5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5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5" s="122" customFormat="1" ht="15.95" customHeight="1" x14ac:dyDescent="0.2">
      <c r="A51" s="278"/>
      <c r="B51" s="361"/>
      <c r="C51" s="362"/>
      <c r="D51" s="363"/>
      <c r="E51" s="278"/>
      <c r="F51" s="279"/>
      <c r="G51" s="26"/>
      <c r="H51" s="27"/>
      <c r="I51" s="27"/>
      <c r="J51" s="33"/>
      <c r="K51" s="34"/>
      <c r="L51" s="32"/>
      <c r="M51" s="27"/>
      <c r="N51" s="30"/>
    </row>
    <row r="52" spans="1:15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5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5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5" s="122" customFormat="1" ht="20.100000000000001" customHeight="1" x14ac:dyDescent="0.2">
      <c r="A55" s="367"/>
      <c r="B55" s="368"/>
      <c r="C55" s="369"/>
      <c r="D55" s="340" t="s">
        <v>83</v>
      </c>
      <c r="E55" s="341"/>
      <c r="F55" s="341"/>
      <c r="G55" s="341"/>
      <c r="H55" s="341"/>
      <c r="I55" s="342"/>
      <c r="J55" s="318" t="s">
        <v>74</v>
      </c>
      <c r="K55" s="370"/>
      <c r="L55" s="371"/>
      <c r="M55" s="318">
        <v>3</v>
      </c>
      <c r="N55" s="319"/>
    </row>
    <row r="56" spans="1:15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5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5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5" s="122" customFormat="1" ht="9.9499999999999993" customHeight="1" x14ac:dyDescent="0.2">
      <c r="A59" s="424" t="str">
        <f>Sheet1!$C$27</f>
        <v>KEE</v>
      </c>
      <c r="B59" s="425"/>
      <c r="C59" s="426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5" s="122" customFormat="1" ht="12.95" customHeight="1" x14ac:dyDescent="0.25">
      <c r="A60" s="427"/>
      <c r="B60" s="428"/>
      <c r="C60" s="429"/>
      <c r="D60" s="430">
        <f ca="1">Sheet1!$J$1</f>
        <v>43987.692111226854</v>
      </c>
      <c r="E60" s="431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  <c r="O60" s="281"/>
    </row>
    <row r="61" spans="1:15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415"/>
      <c r="L61" s="416"/>
      <c r="M61" s="416"/>
      <c r="N61" s="416"/>
    </row>
    <row r="62" spans="1:15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41">
    <mergeCell ref="A55:C55"/>
    <mergeCell ref="J56:N56"/>
    <mergeCell ref="J55:L55"/>
    <mergeCell ref="P15:Q15"/>
    <mergeCell ref="P14:Q14"/>
    <mergeCell ref="P16:Q16"/>
    <mergeCell ref="P17:Q17"/>
    <mergeCell ref="P18:Q18"/>
    <mergeCell ref="P20:Q20"/>
    <mergeCell ref="P21:Q21"/>
    <mergeCell ref="P23:Q23"/>
    <mergeCell ref="P22:Q22"/>
    <mergeCell ref="G2:J2"/>
    <mergeCell ref="B49:D49"/>
    <mergeCell ref="B50:D50"/>
    <mergeCell ref="B51:D51"/>
    <mergeCell ref="F59:G59"/>
    <mergeCell ref="B52:D52"/>
    <mergeCell ref="D55:I55"/>
    <mergeCell ref="D56:I56"/>
    <mergeCell ref="A56:C56"/>
    <mergeCell ref="A53:F53"/>
    <mergeCell ref="A58:C58"/>
    <mergeCell ref="A59:C60"/>
    <mergeCell ref="A57:C57"/>
    <mergeCell ref="A54:C54"/>
    <mergeCell ref="D60:E60"/>
    <mergeCell ref="F60:I60"/>
    <mergeCell ref="P10:R10"/>
    <mergeCell ref="P11:Q11"/>
    <mergeCell ref="P12:Q12"/>
    <mergeCell ref="M62:N62"/>
    <mergeCell ref="K61:N61"/>
    <mergeCell ref="J60:L60"/>
    <mergeCell ref="J54:L54"/>
    <mergeCell ref="J58:N59"/>
    <mergeCell ref="J57:K57"/>
    <mergeCell ref="M57:N57"/>
    <mergeCell ref="M55:N55"/>
    <mergeCell ref="P19:Q19"/>
    <mergeCell ref="P13:Q13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indexed="47"/>
  </sheetPr>
  <dimension ref="A1:V120"/>
  <sheetViews>
    <sheetView view="pageBreakPreview" topLeftCell="A19" zoomScale="60" zoomScaleNormal="100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7" width="9.140625" style="121"/>
    <col min="18" max="18" width="18.7109375" style="121" customWidth="1"/>
    <col min="19" max="16384" width="9.140625" style="121"/>
  </cols>
  <sheetData>
    <row r="1" spans="1:22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2" s="12" customFormat="1" ht="15.75" x14ac:dyDescent="0.25">
      <c r="A2" s="11"/>
      <c r="G2" s="381"/>
      <c r="H2" s="381"/>
      <c r="I2" s="381"/>
      <c r="J2" s="381"/>
      <c r="K2" s="13"/>
      <c r="L2" s="14"/>
      <c r="N2" s="15"/>
    </row>
    <row r="3" spans="1:22" s="12" customFormat="1" x14ac:dyDescent="0.2">
      <c r="A3" s="11"/>
      <c r="D3" s="16"/>
      <c r="N3" s="15"/>
    </row>
    <row r="4" spans="1:22" s="12" customFormat="1" x14ac:dyDescent="0.2">
      <c r="A4" s="11"/>
      <c r="N4" s="15"/>
    </row>
    <row r="5" spans="1:22" s="12" customFormat="1" x14ac:dyDescent="0.2">
      <c r="A5" s="11"/>
      <c r="N5" s="15"/>
    </row>
    <row r="6" spans="1:22" s="12" customFormat="1" ht="9" customHeight="1" x14ac:dyDescent="0.2">
      <c r="A6" s="11"/>
      <c r="N6" s="15"/>
    </row>
    <row r="7" spans="1:22" s="12" customFormat="1" x14ac:dyDescent="0.2">
      <c r="A7" s="11"/>
      <c r="N7" s="15"/>
    </row>
    <row r="8" spans="1:22" s="12" customFormat="1" x14ac:dyDescent="0.2">
      <c r="A8" s="11"/>
      <c r="N8" s="15"/>
    </row>
    <row r="9" spans="1:22" s="12" customFormat="1" ht="13.5" thickBot="1" x14ac:dyDescent="0.25">
      <c r="A9" s="11"/>
      <c r="N9" s="15"/>
    </row>
    <row r="10" spans="1:22" s="12" customFormat="1" ht="13.5" thickTop="1" x14ac:dyDescent="0.2">
      <c r="A10" s="11"/>
      <c r="N10" s="15"/>
      <c r="P10" s="374" t="s">
        <v>148</v>
      </c>
      <c r="Q10" s="375"/>
      <c r="R10" s="376"/>
    </row>
    <row r="11" spans="1:22" s="12" customFormat="1" ht="15.75" x14ac:dyDescent="0.2">
      <c r="A11" s="11"/>
      <c r="N11" s="15"/>
      <c r="P11" s="377" t="s">
        <v>147</v>
      </c>
      <c r="Q11" s="378"/>
      <c r="R11" s="225" t="str">
        <f>LEFT(S11,10)</f>
        <v>NAH 0609 A</v>
      </c>
      <c r="S11" s="210" t="str">
        <f>Sheet1!C3</f>
        <v>NAH 0609 A01</v>
      </c>
      <c r="T11" s="210"/>
      <c r="U11" s="210"/>
      <c r="V11" s="210"/>
    </row>
    <row r="12" spans="1:22" s="12" customFormat="1" ht="15.75" x14ac:dyDescent="0.2">
      <c r="A12" s="11"/>
      <c r="N12" s="15"/>
      <c r="P12" s="379" t="s">
        <v>146</v>
      </c>
      <c r="Q12" s="380"/>
      <c r="R12" s="226" t="str">
        <f>U12</f>
        <v>R-FDB 8776 - 06</v>
      </c>
      <c r="S12" s="217" t="str">
        <f>Sheet1!C16</f>
        <v>R-FDB</v>
      </c>
      <c r="T12" s="217">
        <f>Sheet1!D16</f>
        <v>8776</v>
      </c>
      <c r="U12" s="210" t="str">
        <f>CONCATENATE(S12," ",T12," - 06")</f>
        <v>R-FDB 8776 - 06</v>
      </c>
      <c r="V12" s="210" t="str">
        <f>CONCATENATE(S12," ",T12," - 06  R",R27)</f>
        <v>R-FDB 8776 - 06  R3</v>
      </c>
    </row>
    <row r="13" spans="1:22" s="12" customFormat="1" x14ac:dyDescent="0.2">
      <c r="A13" s="11"/>
      <c r="N13" s="15"/>
      <c r="P13" s="400" t="s">
        <v>80</v>
      </c>
      <c r="Q13" s="401"/>
      <c r="R13" s="237">
        <f>Sheet1!$C$8</f>
        <v>5.7</v>
      </c>
      <c r="S13" s="129"/>
    </row>
    <row r="14" spans="1:22" s="12" customFormat="1" x14ac:dyDescent="0.2">
      <c r="A14" s="11"/>
      <c r="N14" s="15"/>
      <c r="P14" s="398" t="s">
        <v>72</v>
      </c>
      <c r="Q14" s="399"/>
      <c r="R14" s="239">
        <f>Sheet1!F16</f>
        <v>56.28</v>
      </c>
    </row>
    <row r="15" spans="1:22" s="12" customFormat="1" x14ac:dyDescent="0.2">
      <c r="A15" s="11"/>
      <c r="N15" s="15"/>
      <c r="P15" s="388" t="s">
        <v>73</v>
      </c>
      <c r="Q15" s="389"/>
      <c r="R15" s="239">
        <f>Sheet1!F17</f>
        <v>48.39</v>
      </c>
    </row>
    <row r="16" spans="1:22" s="12" customFormat="1" ht="13.5" customHeight="1" x14ac:dyDescent="0.2">
      <c r="A16" s="11"/>
      <c r="N16" s="15"/>
      <c r="P16" s="398" t="s">
        <v>79</v>
      </c>
      <c r="Q16" s="399"/>
      <c r="R16" s="240" t="str">
        <f>IF(R13&lt;3.5,"N/A",IF(R13&lt;=4,"57",IF(R13&lt;=5,"59",IF(R13&lt;=6,"60",IF(R13&lt;=7,"62",IF(R13&lt;=8,"63",IF(R13&lt;=9,"65",IF(R13&lt;=10,"66",S16))))))))</f>
        <v>60</v>
      </c>
      <c r="S16" s="238" t="str">
        <f>IF(R13&lt;10,"N/A",IF(R13&lt;=11,"67",IF(R13&lt;=12,"68","N/A")))</f>
        <v>N/A</v>
      </c>
    </row>
    <row r="17" spans="1:20" s="12" customFormat="1" ht="12.75" customHeight="1" x14ac:dyDescent="0.2">
      <c r="A17" s="11"/>
      <c r="N17" s="15"/>
      <c r="P17" s="398" t="s">
        <v>82</v>
      </c>
      <c r="Q17" s="399"/>
      <c r="R17" s="241">
        <f>R16-40</f>
        <v>20</v>
      </c>
      <c r="S17" s="132"/>
    </row>
    <row r="18" spans="1:20" s="12" customFormat="1" x14ac:dyDescent="0.2">
      <c r="A18" s="11"/>
      <c r="N18" s="15"/>
      <c r="P18" s="398" t="s">
        <v>81</v>
      </c>
      <c r="Q18" s="399"/>
      <c r="R18" s="241">
        <f>R17-2</f>
        <v>18</v>
      </c>
      <c r="S18" s="132"/>
      <c r="T18" s="129"/>
    </row>
    <row r="19" spans="1:20" s="12" customFormat="1" x14ac:dyDescent="0.2">
      <c r="A19" s="11"/>
      <c r="N19" s="15"/>
      <c r="P19" s="400" t="s">
        <v>84</v>
      </c>
      <c r="Q19" s="401"/>
      <c r="R19" s="227" t="str">
        <f>IF(R13&lt;3.5,"N/A",IF(R13&lt;=4,"2",IF(R13&lt;=5,"3",IF(R13&lt;=6,"3",IF(R13&lt;=7,"4",IF(R13&lt;=8,"4",IF(R13&lt;=9,"5",IF(R13&lt;=12,"5","N/A"))))))))</f>
        <v>3</v>
      </c>
      <c r="S19" s="219"/>
    </row>
    <row r="20" spans="1:20" s="12" customFormat="1" x14ac:dyDescent="0.2">
      <c r="A20" s="11"/>
      <c r="N20" s="15"/>
      <c r="P20" s="400" t="s">
        <v>4</v>
      </c>
      <c r="Q20" s="401"/>
      <c r="R20" s="227">
        <f>Sheet1!$C$7</f>
        <v>41</v>
      </c>
    </row>
    <row r="21" spans="1:20" s="12" customFormat="1" x14ac:dyDescent="0.2">
      <c r="A21" s="11"/>
      <c r="N21" s="15"/>
      <c r="P21" s="400" t="s">
        <v>77</v>
      </c>
      <c r="Q21" s="401"/>
      <c r="R21" s="227">
        <f>Sheet1!$C$22</f>
        <v>5.7999999999999972</v>
      </c>
    </row>
    <row r="22" spans="1:20" s="12" customFormat="1" x14ac:dyDescent="0.2">
      <c r="A22" s="11"/>
      <c r="N22" s="15"/>
      <c r="P22" s="400"/>
      <c r="Q22" s="401"/>
      <c r="R22" s="227"/>
    </row>
    <row r="23" spans="1:20" s="12" customFormat="1" ht="13.5" thickBot="1" x14ac:dyDescent="0.25">
      <c r="A23" s="11"/>
      <c r="N23" s="15"/>
      <c r="P23" s="419" t="s">
        <v>85</v>
      </c>
      <c r="Q23" s="403"/>
      <c r="R23" s="229">
        <f>Sheet1!$C$15</f>
        <v>48.4</v>
      </c>
    </row>
    <row r="24" spans="1:20" s="12" customFormat="1" ht="14.25" thickTop="1" thickBot="1" x14ac:dyDescent="0.25">
      <c r="A24" s="11"/>
      <c r="N24" s="15"/>
      <c r="P24" s="145"/>
      <c r="Q24" s="145"/>
      <c r="R24" s="145"/>
    </row>
    <row r="25" spans="1:20" s="12" customFormat="1" ht="12.75" customHeight="1" thickTop="1" x14ac:dyDescent="0.2">
      <c r="A25" s="11"/>
      <c r="N25" s="15"/>
      <c r="P25" s="405" t="s">
        <v>115</v>
      </c>
      <c r="Q25" s="406"/>
      <c r="R25" s="407"/>
    </row>
    <row r="26" spans="1:20" s="12" customFormat="1" ht="12.75" customHeight="1" x14ac:dyDescent="0.2">
      <c r="A26" s="11"/>
      <c r="N26" s="15"/>
      <c r="P26" s="408"/>
      <c r="Q26" s="409"/>
      <c r="R26" s="410"/>
    </row>
    <row r="27" spans="1:20" s="12" customFormat="1" x14ac:dyDescent="0.2">
      <c r="A27" s="11"/>
      <c r="N27" s="15"/>
      <c r="P27" s="411" t="s">
        <v>118</v>
      </c>
      <c r="Q27" s="412"/>
      <c r="R27" s="220">
        <v>3</v>
      </c>
    </row>
    <row r="28" spans="1:20" s="12" customFormat="1" x14ac:dyDescent="0.2">
      <c r="A28" s="11"/>
      <c r="N28" s="15"/>
      <c r="P28" s="432" t="s">
        <v>119</v>
      </c>
      <c r="Q28" s="433"/>
      <c r="R28" s="247">
        <v>63.3</v>
      </c>
    </row>
    <row r="29" spans="1:20" s="12" customFormat="1" ht="13.5" thickBot="1" x14ac:dyDescent="0.25">
      <c r="A29" s="11"/>
      <c r="N29" s="15"/>
      <c r="P29" s="434" t="s">
        <v>120</v>
      </c>
      <c r="Q29" s="435"/>
      <c r="R29" s="242">
        <v>43.75</v>
      </c>
    </row>
    <row r="30" spans="1:20" s="12" customFormat="1" ht="13.5" thickTop="1" x14ac:dyDescent="0.2">
      <c r="A30" s="11"/>
      <c r="N30" s="15"/>
      <c r="P30" s="436"/>
      <c r="Q30" s="436"/>
      <c r="R30" s="146"/>
    </row>
    <row r="31" spans="1:20" s="12" customFormat="1" x14ac:dyDescent="0.2">
      <c r="A31" s="11"/>
      <c r="N31" s="15"/>
      <c r="P31" s="436"/>
      <c r="Q31" s="436"/>
      <c r="R31" s="146"/>
    </row>
    <row r="32" spans="1:20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83</v>
      </c>
      <c r="E55" s="341"/>
      <c r="F55" s="341"/>
      <c r="G55" s="341"/>
      <c r="H55" s="341"/>
      <c r="I55" s="342"/>
      <c r="J55" s="318" t="s">
        <v>74</v>
      </c>
      <c r="K55" s="370"/>
      <c r="L55" s="371"/>
      <c r="M55" s="318">
        <v>3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23" t="str">
        <f>Sheet1!$C$27</f>
        <v>KEE</v>
      </c>
      <c r="B59" s="324"/>
      <c r="C59" s="32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5">
      <c r="A60" s="326"/>
      <c r="B60" s="327"/>
      <c r="C60" s="328"/>
      <c r="D60" s="391">
        <f ca="1">Sheet1!$J$1</f>
        <v>43987.692111226854</v>
      </c>
      <c r="E60" s="392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415"/>
      <c r="L61" s="416"/>
      <c r="M61" s="416"/>
      <c r="N61" s="416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47">
    <mergeCell ref="M62:N62"/>
    <mergeCell ref="F59:G59"/>
    <mergeCell ref="G2:J2"/>
    <mergeCell ref="B49:D49"/>
    <mergeCell ref="B50:D50"/>
    <mergeCell ref="B51:D51"/>
    <mergeCell ref="A59:C60"/>
    <mergeCell ref="J54:L54"/>
    <mergeCell ref="B52:D52"/>
    <mergeCell ref="D55:I55"/>
    <mergeCell ref="K61:N61"/>
    <mergeCell ref="J60:L60"/>
    <mergeCell ref="A58:C58"/>
    <mergeCell ref="J58:N59"/>
    <mergeCell ref="J57:K57"/>
    <mergeCell ref="D60:E60"/>
    <mergeCell ref="F60:I60"/>
    <mergeCell ref="M57:N57"/>
    <mergeCell ref="P13:Q13"/>
    <mergeCell ref="A55:C55"/>
    <mergeCell ref="J56:N56"/>
    <mergeCell ref="J55:L55"/>
    <mergeCell ref="P15:Q15"/>
    <mergeCell ref="P14:Q14"/>
    <mergeCell ref="M55:N55"/>
    <mergeCell ref="D56:I56"/>
    <mergeCell ref="A56:C56"/>
    <mergeCell ref="A53:F53"/>
    <mergeCell ref="P29:Q29"/>
    <mergeCell ref="P30:Q30"/>
    <mergeCell ref="P31:Q31"/>
    <mergeCell ref="P25:R26"/>
    <mergeCell ref="P27:Q27"/>
    <mergeCell ref="P28:Q28"/>
    <mergeCell ref="A57:C57"/>
    <mergeCell ref="A54:C54"/>
    <mergeCell ref="P10:R10"/>
    <mergeCell ref="P11:Q11"/>
    <mergeCell ref="P12:Q12"/>
    <mergeCell ref="P16:Q16"/>
    <mergeCell ref="P17:Q17"/>
    <mergeCell ref="P20:Q20"/>
    <mergeCell ref="P21:Q21"/>
    <mergeCell ref="P23:Q23"/>
    <mergeCell ref="P19:Q19"/>
    <mergeCell ref="P18:Q18"/>
    <mergeCell ref="P22:Q22"/>
  </mergeCells>
  <phoneticPr fontId="35" type="noConversion"/>
  <pageMargins left="0.52" right="0.34" top="0.6" bottom="0.1" header="0.3" footer="0.1"/>
  <pageSetup paperSize="9" scale="9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indexed="35"/>
  </sheetPr>
  <dimension ref="A1:V120"/>
  <sheetViews>
    <sheetView topLeftCell="A7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7" width="9.140625" style="121"/>
    <col min="18" max="18" width="18.7109375" style="121" customWidth="1"/>
    <col min="19" max="16384" width="9.140625" style="121"/>
  </cols>
  <sheetData>
    <row r="1" spans="1:22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2" s="12" customFormat="1" ht="15.75" x14ac:dyDescent="0.25">
      <c r="A2" s="11"/>
      <c r="G2" s="381"/>
      <c r="H2" s="381"/>
      <c r="I2" s="381"/>
      <c r="J2" s="381"/>
      <c r="K2" s="13"/>
      <c r="L2" s="14"/>
      <c r="N2" s="15"/>
    </row>
    <row r="3" spans="1:22" s="12" customFormat="1" x14ac:dyDescent="0.2">
      <c r="A3" s="11"/>
      <c r="D3" s="16"/>
      <c r="N3" s="15"/>
    </row>
    <row r="4" spans="1:22" s="12" customFormat="1" x14ac:dyDescent="0.2">
      <c r="A4" s="11"/>
      <c r="N4" s="15"/>
    </row>
    <row r="5" spans="1:22" s="12" customFormat="1" x14ac:dyDescent="0.2">
      <c r="A5" s="11"/>
      <c r="N5" s="15"/>
    </row>
    <row r="6" spans="1:22" s="12" customFormat="1" ht="9" customHeight="1" x14ac:dyDescent="0.2">
      <c r="A6" s="11"/>
      <c r="N6" s="15"/>
    </row>
    <row r="7" spans="1:22" s="12" customFormat="1" x14ac:dyDescent="0.2">
      <c r="A7" s="11"/>
      <c r="N7" s="15"/>
    </row>
    <row r="8" spans="1:22" s="12" customFormat="1" x14ac:dyDescent="0.2">
      <c r="A8" s="11"/>
      <c r="N8" s="15"/>
    </row>
    <row r="9" spans="1:22" s="12" customFormat="1" ht="13.5" thickBot="1" x14ac:dyDescent="0.25">
      <c r="A9" s="11"/>
      <c r="N9" s="15"/>
    </row>
    <row r="10" spans="1:22" s="12" customFormat="1" ht="12.75" customHeight="1" thickTop="1" x14ac:dyDescent="0.2">
      <c r="A10" s="11"/>
      <c r="N10" s="15"/>
      <c r="P10" s="374" t="s">
        <v>148</v>
      </c>
      <c r="Q10" s="375"/>
      <c r="R10" s="376"/>
    </row>
    <row r="11" spans="1:22" s="12" customFormat="1" ht="15.75" customHeight="1" x14ac:dyDescent="0.2">
      <c r="A11" s="11"/>
      <c r="N11" s="15"/>
      <c r="P11" s="377" t="s">
        <v>147</v>
      </c>
      <c r="Q11" s="378"/>
      <c r="R11" s="225" t="str">
        <f>LEFT(S11,10)</f>
        <v>NAH 0609 A</v>
      </c>
      <c r="S11" s="210" t="str">
        <f>Sheet1!C3</f>
        <v>NAH 0609 A01</v>
      </c>
      <c r="T11" s="210"/>
      <c r="U11" s="210"/>
      <c r="V11" s="210"/>
    </row>
    <row r="12" spans="1:22" s="12" customFormat="1" ht="15.75" customHeight="1" x14ac:dyDescent="0.2">
      <c r="A12" s="11"/>
      <c r="N12" s="15"/>
      <c r="P12" s="379" t="s">
        <v>146</v>
      </c>
      <c r="Q12" s="380"/>
      <c r="R12" s="226" t="str">
        <f>U12</f>
        <v>R-FDB 8776 - 09</v>
      </c>
      <c r="S12" s="217" t="str">
        <f>Sheet1!C16</f>
        <v>R-FDB</v>
      </c>
      <c r="T12" s="217">
        <f>Sheet1!D16</f>
        <v>8776</v>
      </c>
      <c r="U12" s="210" t="str">
        <f>CONCATENATE(S12," ",T12," - 09")</f>
        <v>R-FDB 8776 - 09</v>
      </c>
      <c r="V12" s="210"/>
    </row>
    <row r="13" spans="1:22" s="12" customFormat="1" x14ac:dyDescent="0.2">
      <c r="A13" s="11"/>
      <c r="N13" s="15"/>
      <c r="P13" s="400" t="s">
        <v>72</v>
      </c>
      <c r="Q13" s="401"/>
      <c r="R13" s="239">
        <f>Sheet1!$F$29</f>
        <v>56.4</v>
      </c>
      <c r="S13" s="222">
        <f>LEN(R13)</f>
        <v>4</v>
      </c>
      <c r="T13" s="223">
        <f>IF(LEN(S13)="2",LEFT(R13,2),IF(LEN(S13)="4",LEFT(R13,4),R13) )</f>
        <v>56.4</v>
      </c>
    </row>
    <row r="14" spans="1:22" s="12" customFormat="1" x14ac:dyDescent="0.2">
      <c r="A14" s="11"/>
      <c r="N14" s="15"/>
      <c r="P14" s="398" t="s">
        <v>87</v>
      </c>
      <c r="Q14" s="399"/>
      <c r="R14" s="233">
        <f>R13+22</f>
        <v>78.400000000000006</v>
      </c>
      <c r="T14" s="119"/>
    </row>
    <row r="15" spans="1:22" s="12" customFormat="1" ht="13.5" thickBot="1" x14ac:dyDescent="0.25">
      <c r="A15" s="11"/>
      <c r="N15" s="15"/>
      <c r="P15" s="437" t="s">
        <v>88</v>
      </c>
      <c r="Q15" s="438"/>
      <c r="R15" s="243">
        <f>R13+15</f>
        <v>71.400000000000006</v>
      </c>
      <c r="T15" s="119"/>
    </row>
    <row r="16" spans="1:22" s="12" customFormat="1" ht="13.5" thickTop="1" x14ac:dyDescent="0.2">
      <c r="A16" s="11"/>
      <c r="N16" s="15"/>
      <c r="S16" s="116"/>
    </row>
    <row r="17" spans="1:20" s="12" customFormat="1" x14ac:dyDescent="0.2">
      <c r="A17" s="11"/>
      <c r="N17" s="15"/>
      <c r="S17" s="132"/>
    </row>
    <row r="18" spans="1:20" s="12" customFormat="1" x14ac:dyDescent="0.2">
      <c r="A18" s="11"/>
      <c r="N18" s="15"/>
      <c r="S18" s="132"/>
      <c r="T18" s="129"/>
    </row>
    <row r="19" spans="1:20" s="12" customFormat="1" x14ac:dyDescent="0.2">
      <c r="A19" s="11"/>
      <c r="N19" s="15"/>
      <c r="S19" s="116"/>
    </row>
    <row r="20" spans="1:20" s="12" customFormat="1" x14ac:dyDescent="0.2">
      <c r="A20" s="11"/>
      <c r="N20" s="15"/>
    </row>
    <row r="21" spans="1:20" s="12" customFormat="1" x14ac:dyDescent="0.2">
      <c r="A21" s="11"/>
      <c r="N21" s="15"/>
    </row>
    <row r="22" spans="1:20" s="12" customFormat="1" x14ac:dyDescent="0.2">
      <c r="A22" s="11"/>
      <c r="N22" s="15"/>
    </row>
    <row r="23" spans="1:20" s="12" customFormat="1" x14ac:dyDescent="0.2">
      <c r="A23" s="11"/>
      <c r="N23" s="15"/>
    </row>
    <row r="24" spans="1:20" s="12" customFormat="1" x14ac:dyDescent="0.2">
      <c r="A24" s="11"/>
      <c r="N24" s="15"/>
    </row>
    <row r="25" spans="1:20" s="12" customFormat="1" x14ac:dyDescent="0.2">
      <c r="A25" s="11"/>
      <c r="N25" s="15"/>
    </row>
    <row r="26" spans="1:20" s="12" customFormat="1" x14ac:dyDescent="0.2">
      <c r="A26" s="11"/>
      <c r="N26" s="15"/>
    </row>
    <row r="27" spans="1:20" s="12" customFormat="1" x14ac:dyDescent="0.2">
      <c r="A27" s="11"/>
      <c r="N27" s="15"/>
    </row>
    <row r="28" spans="1:20" s="12" customFormat="1" x14ac:dyDescent="0.2">
      <c r="A28" s="11"/>
      <c r="N28" s="15"/>
    </row>
    <row r="29" spans="1:20" s="12" customFormat="1" x14ac:dyDescent="0.2">
      <c r="A29" s="11"/>
      <c r="N29" s="15"/>
    </row>
    <row r="30" spans="1:20" s="12" customFormat="1" x14ac:dyDescent="0.2">
      <c r="A30" s="11"/>
      <c r="N30" s="15"/>
    </row>
    <row r="31" spans="1:20" s="12" customFormat="1" x14ac:dyDescent="0.2">
      <c r="A31" s="11"/>
      <c r="N31" s="15"/>
    </row>
    <row r="32" spans="1:20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78"/>
      <c r="B51" s="361"/>
      <c r="C51" s="362"/>
      <c r="D51" s="363"/>
      <c r="E51" s="278"/>
      <c r="F51" s="279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86</v>
      </c>
      <c r="E55" s="341"/>
      <c r="F55" s="341"/>
      <c r="G55" s="341"/>
      <c r="H55" s="341"/>
      <c r="I55" s="342"/>
      <c r="J55" s="318" t="s">
        <v>74</v>
      </c>
      <c r="K55" s="370"/>
      <c r="L55" s="371"/>
      <c r="M55" s="318">
        <v>3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424" t="str">
        <f>Sheet1!$C$27</f>
        <v>KEE</v>
      </c>
      <c r="B59" s="425"/>
      <c r="C59" s="426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5">
      <c r="A60" s="427"/>
      <c r="B60" s="428"/>
      <c r="C60" s="429"/>
      <c r="D60" s="430">
        <f ca="1">Sheet1!$J$1</f>
        <v>43987.692111226854</v>
      </c>
      <c r="E60" s="431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415"/>
      <c r="L61" s="416"/>
      <c r="M61" s="416"/>
      <c r="N61" s="416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3">
    <mergeCell ref="G2:J2"/>
    <mergeCell ref="B49:D49"/>
    <mergeCell ref="B50:D50"/>
    <mergeCell ref="B51:D51"/>
    <mergeCell ref="A58:C58"/>
    <mergeCell ref="A57:C57"/>
    <mergeCell ref="A54:C54"/>
    <mergeCell ref="F60:I60"/>
    <mergeCell ref="J58:N59"/>
    <mergeCell ref="J57:K57"/>
    <mergeCell ref="M55:N55"/>
    <mergeCell ref="M62:N62"/>
    <mergeCell ref="F59:G59"/>
    <mergeCell ref="D55:I55"/>
    <mergeCell ref="D56:I56"/>
    <mergeCell ref="K61:N61"/>
    <mergeCell ref="D60:E60"/>
    <mergeCell ref="P10:R10"/>
    <mergeCell ref="A59:C60"/>
    <mergeCell ref="P11:Q11"/>
    <mergeCell ref="P12:Q12"/>
    <mergeCell ref="P13:Q13"/>
    <mergeCell ref="A55:C55"/>
    <mergeCell ref="J56:N56"/>
    <mergeCell ref="J55:L55"/>
    <mergeCell ref="P14:Q14"/>
    <mergeCell ref="B52:D52"/>
    <mergeCell ref="A56:C56"/>
    <mergeCell ref="A53:F53"/>
    <mergeCell ref="J54:L54"/>
    <mergeCell ref="P15:Q15"/>
    <mergeCell ref="M57:N57"/>
    <mergeCell ref="J60:L60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indexed="29"/>
  </sheetPr>
  <dimension ref="A1:V120"/>
  <sheetViews>
    <sheetView zoomScale="90" zoomScaleNormal="90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7" width="9.140625" style="121"/>
    <col min="18" max="18" width="18.7109375" style="121" customWidth="1"/>
    <col min="19" max="16384" width="9.140625" style="121"/>
  </cols>
  <sheetData>
    <row r="1" spans="1:22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2" s="12" customFormat="1" ht="15.75" x14ac:dyDescent="0.25">
      <c r="A2" s="11"/>
      <c r="G2" s="381"/>
      <c r="H2" s="381"/>
      <c r="I2" s="381"/>
      <c r="J2" s="381"/>
      <c r="K2" s="13"/>
      <c r="L2" s="14"/>
      <c r="N2" s="15"/>
      <c r="P2" s="210" t="str">
        <f>IF(R19=TRUE,"","TEMPLATE FOR OTHER DESIGN")</f>
        <v>TEMPLATE FOR OTHER DESIGN</v>
      </c>
    </row>
    <row r="3" spans="1:22" s="12" customFormat="1" x14ac:dyDescent="0.2">
      <c r="A3" s="11"/>
      <c r="D3" s="16"/>
      <c r="N3" s="15"/>
    </row>
    <row r="4" spans="1:22" s="12" customFormat="1" x14ac:dyDescent="0.2">
      <c r="A4" s="11"/>
      <c r="N4" s="15"/>
    </row>
    <row r="5" spans="1:22" s="12" customFormat="1" x14ac:dyDescent="0.2">
      <c r="A5" s="11"/>
      <c r="N5" s="15"/>
    </row>
    <row r="6" spans="1:22" s="12" customFormat="1" ht="9" customHeight="1" x14ac:dyDescent="0.2">
      <c r="A6" s="11"/>
      <c r="N6" s="15"/>
    </row>
    <row r="7" spans="1:22" s="12" customFormat="1" x14ac:dyDescent="0.2">
      <c r="A7" s="11"/>
      <c r="N7" s="15"/>
    </row>
    <row r="8" spans="1:22" s="12" customFormat="1" x14ac:dyDescent="0.2">
      <c r="A8" s="11"/>
      <c r="N8" s="15"/>
    </row>
    <row r="9" spans="1:22" s="12" customFormat="1" ht="13.5" thickBot="1" x14ac:dyDescent="0.25">
      <c r="A9" s="11"/>
      <c r="N9" s="15"/>
    </row>
    <row r="10" spans="1:22" s="12" customFormat="1" ht="13.5" thickTop="1" x14ac:dyDescent="0.2">
      <c r="A10" s="11"/>
      <c r="N10" s="15"/>
      <c r="P10" s="374" t="s">
        <v>148</v>
      </c>
      <c r="Q10" s="375"/>
      <c r="R10" s="376"/>
    </row>
    <row r="11" spans="1:22" s="12" customFormat="1" ht="15.75" x14ac:dyDescent="0.2">
      <c r="A11" s="11"/>
      <c r="N11" s="15"/>
      <c r="P11" s="377" t="s">
        <v>147</v>
      </c>
      <c r="Q11" s="378"/>
      <c r="R11" s="225" t="str">
        <f>LEFT(S11,10)</f>
        <v>NAH 0609 A</v>
      </c>
      <c r="S11" s="210" t="str">
        <f>Sheet1!C3</f>
        <v>NAH 0609 A01</v>
      </c>
      <c r="T11" s="210"/>
      <c r="U11" s="210"/>
      <c r="V11" s="210"/>
    </row>
    <row r="12" spans="1:22" s="12" customFormat="1" ht="15.75" x14ac:dyDescent="0.2">
      <c r="A12" s="11"/>
      <c r="N12" s="15"/>
      <c r="P12" s="379" t="s">
        <v>146</v>
      </c>
      <c r="Q12" s="380"/>
      <c r="R12" s="226" t="str">
        <f>U12</f>
        <v>R-FDB 8776 - 10</v>
      </c>
      <c r="S12" s="217" t="str">
        <f>Sheet1!C16</f>
        <v>R-FDB</v>
      </c>
      <c r="T12" s="217">
        <f>Sheet1!D16</f>
        <v>8776</v>
      </c>
      <c r="U12" s="210" t="str">
        <f>CONCATENATE(S12," ",T12," - 10")</f>
        <v>R-FDB 8776 - 10</v>
      </c>
      <c r="V12" s="210"/>
    </row>
    <row r="13" spans="1:22" s="12" customFormat="1" x14ac:dyDescent="0.2">
      <c r="A13" s="11"/>
      <c r="N13" s="15"/>
      <c r="P13" s="400" t="s">
        <v>72</v>
      </c>
      <c r="Q13" s="401"/>
      <c r="R13" s="244">
        <f>Sheet1!I6</f>
        <v>56.4</v>
      </c>
      <c r="S13" s="129"/>
      <c r="T13" s="133"/>
      <c r="U13" s="133"/>
    </row>
    <row r="14" spans="1:22" s="12" customFormat="1" x14ac:dyDescent="0.2">
      <c r="A14" s="11"/>
      <c r="N14" s="15"/>
      <c r="P14" s="398" t="s">
        <v>11</v>
      </c>
      <c r="Q14" s="399"/>
      <c r="R14" s="239">
        <f>Sheet1!I7</f>
        <v>46.83</v>
      </c>
      <c r="S14" s="133"/>
      <c r="T14" s="119"/>
      <c r="U14" s="133"/>
    </row>
    <row r="15" spans="1:22" s="12" customFormat="1" x14ac:dyDescent="0.2">
      <c r="A15" s="11"/>
      <c r="N15" s="15"/>
      <c r="P15" s="398" t="s">
        <v>14</v>
      </c>
      <c r="Q15" s="399"/>
      <c r="R15" s="237">
        <f>Sheet1!I8</f>
        <v>51</v>
      </c>
      <c r="S15" s="245">
        <v>71.55</v>
      </c>
      <c r="T15" s="119"/>
      <c r="U15" s="133"/>
    </row>
    <row r="16" spans="1:22" s="12" customFormat="1" x14ac:dyDescent="0.2">
      <c r="A16" s="11"/>
      <c r="N16" s="15"/>
      <c r="P16" s="398" t="s">
        <v>90</v>
      </c>
      <c r="Q16" s="399"/>
      <c r="R16" s="237">
        <f>R13+11.5</f>
        <v>67.900000000000006</v>
      </c>
      <c r="S16" s="246">
        <f>ROUND(S15,2)</f>
        <v>71.55</v>
      </c>
      <c r="T16" s="129"/>
    </row>
    <row r="17" spans="1:20" s="12" customFormat="1" x14ac:dyDescent="0.2">
      <c r="A17" s="11"/>
      <c r="N17" s="15"/>
      <c r="P17" s="398"/>
      <c r="Q17" s="399"/>
      <c r="R17" s="237"/>
      <c r="S17" s="132"/>
    </row>
    <row r="18" spans="1:20" s="12" customFormat="1" x14ac:dyDescent="0.2">
      <c r="A18" s="11"/>
      <c r="N18" s="15"/>
      <c r="P18" s="398" t="s">
        <v>8</v>
      </c>
      <c r="Q18" s="399"/>
      <c r="R18" s="241">
        <f>Sheet1!$C$22</f>
        <v>5.7999999999999972</v>
      </c>
      <c r="S18" s="132"/>
      <c r="T18" s="129"/>
    </row>
    <row r="19" spans="1:20" s="12" customFormat="1" ht="13.5" thickBot="1" x14ac:dyDescent="0.25">
      <c r="A19" s="11"/>
      <c r="N19" s="15"/>
      <c r="P19" s="437" t="s">
        <v>91</v>
      </c>
      <c r="Q19" s="438"/>
      <c r="R19" s="230" t="b">
        <f>9&lt;R18</f>
        <v>0</v>
      </c>
      <c r="S19" s="116"/>
    </row>
    <row r="20" spans="1:20" s="12" customFormat="1" ht="13.5" thickTop="1" x14ac:dyDescent="0.2">
      <c r="A20" s="11"/>
      <c r="N20" s="15"/>
    </row>
    <row r="21" spans="1:20" s="12" customFormat="1" x14ac:dyDescent="0.2">
      <c r="A21" s="11"/>
      <c r="N21" s="15"/>
    </row>
    <row r="22" spans="1:20" s="12" customFormat="1" x14ac:dyDescent="0.2">
      <c r="A22" s="11"/>
      <c r="N22" s="15"/>
    </row>
    <row r="23" spans="1:20" s="12" customFormat="1" x14ac:dyDescent="0.2">
      <c r="A23" s="11"/>
      <c r="N23" s="15"/>
    </row>
    <row r="24" spans="1:20" s="12" customFormat="1" x14ac:dyDescent="0.2">
      <c r="A24" s="11"/>
      <c r="N24" s="15"/>
    </row>
    <row r="25" spans="1:20" s="12" customFormat="1" x14ac:dyDescent="0.2">
      <c r="A25" s="11"/>
      <c r="N25" s="15"/>
    </row>
    <row r="26" spans="1:20" s="12" customFormat="1" x14ac:dyDescent="0.2">
      <c r="A26" s="11"/>
      <c r="N26" s="15"/>
    </row>
    <row r="27" spans="1:20" s="12" customFormat="1" x14ac:dyDescent="0.2">
      <c r="A27" s="11"/>
      <c r="N27" s="15"/>
    </row>
    <row r="28" spans="1:20" s="12" customFormat="1" x14ac:dyDescent="0.2">
      <c r="A28" s="11"/>
      <c r="N28" s="15"/>
    </row>
    <row r="29" spans="1:20" s="12" customFormat="1" x14ac:dyDescent="0.2">
      <c r="A29" s="11"/>
      <c r="N29" s="15"/>
    </row>
    <row r="30" spans="1:20" s="12" customFormat="1" x14ac:dyDescent="0.2">
      <c r="A30" s="11"/>
      <c r="N30" s="15"/>
    </row>
    <row r="31" spans="1:20" s="12" customFormat="1" x14ac:dyDescent="0.2">
      <c r="A31" s="11"/>
      <c r="N31" s="15"/>
    </row>
    <row r="32" spans="1:20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89</v>
      </c>
      <c r="E55" s="341"/>
      <c r="F55" s="341"/>
      <c r="G55" s="341"/>
      <c r="H55" s="341"/>
      <c r="I55" s="342"/>
      <c r="J55" s="318" t="s">
        <v>98</v>
      </c>
      <c r="K55" s="370"/>
      <c r="L55" s="371"/>
      <c r="M55" s="318">
        <v>2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23" t="str">
        <f>Sheet1!$C$27</f>
        <v>KEE</v>
      </c>
      <c r="B59" s="324"/>
      <c r="C59" s="32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5">
      <c r="A60" s="326"/>
      <c r="B60" s="327"/>
      <c r="C60" s="328"/>
      <c r="D60" s="391">
        <f ca="1">Sheet1!$J$1</f>
        <v>43987.692111226854</v>
      </c>
      <c r="E60" s="392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364" t="s">
        <v>133</v>
      </c>
      <c r="L61" s="364"/>
      <c r="M61" s="364"/>
      <c r="N61" s="364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7">
    <mergeCell ref="G2:J2"/>
    <mergeCell ref="B49:D49"/>
    <mergeCell ref="B50:D50"/>
    <mergeCell ref="B51:D51"/>
    <mergeCell ref="P13:Q13"/>
    <mergeCell ref="P14:Q14"/>
    <mergeCell ref="P15:Q15"/>
    <mergeCell ref="P16:Q16"/>
    <mergeCell ref="P18:Q18"/>
    <mergeCell ref="P10:R10"/>
    <mergeCell ref="P11:Q11"/>
    <mergeCell ref="P12:Q12"/>
    <mergeCell ref="P19:Q19"/>
    <mergeCell ref="P17:Q17"/>
    <mergeCell ref="A56:C56"/>
    <mergeCell ref="J58:N59"/>
    <mergeCell ref="J57:K57"/>
    <mergeCell ref="J56:N56"/>
    <mergeCell ref="M55:N55"/>
    <mergeCell ref="A55:C55"/>
    <mergeCell ref="J55:L55"/>
    <mergeCell ref="B52:D52"/>
    <mergeCell ref="D55:I55"/>
    <mergeCell ref="A53:F53"/>
    <mergeCell ref="M62:N62"/>
    <mergeCell ref="F59:G59"/>
    <mergeCell ref="K61:N61"/>
    <mergeCell ref="M57:N57"/>
    <mergeCell ref="J60:L60"/>
    <mergeCell ref="A58:C58"/>
    <mergeCell ref="A59:C60"/>
    <mergeCell ref="J54:L54"/>
    <mergeCell ref="A57:C57"/>
    <mergeCell ref="A54:C54"/>
    <mergeCell ref="D60:E60"/>
    <mergeCell ref="F60:I60"/>
    <mergeCell ref="D56:I56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indexed="29"/>
  </sheetPr>
  <dimension ref="A1:U120"/>
  <sheetViews>
    <sheetView topLeftCell="A30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7" width="9.140625" style="121"/>
    <col min="18" max="18" width="15.7109375" style="121" customWidth="1"/>
    <col min="19" max="16384" width="9.140625" style="121"/>
  </cols>
  <sheetData>
    <row r="1" spans="1:21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1" s="12" customFormat="1" ht="15.75" x14ac:dyDescent="0.25">
      <c r="A2" s="11"/>
      <c r="G2" s="381"/>
      <c r="H2" s="381"/>
      <c r="I2" s="381"/>
      <c r="J2" s="381"/>
      <c r="K2" s="13"/>
      <c r="L2" s="14"/>
      <c r="N2" s="15"/>
      <c r="P2" s="210" t="str">
        <f>IF(R19=TRUE,"","TEMPLATE FOR OTHER DESIGN")</f>
        <v/>
      </c>
    </row>
    <row r="3" spans="1:21" s="12" customFormat="1" x14ac:dyDescent="0.2">
      <c r="A3" s="11"/>
      <c r="D3" s="16"/>
      <c r="N3" s="15"/>
    </row>
    <row r="4" spans="1:21" s="12" customFormat="1" x14ac:dyDescent="0.2">
      <c r="A4" s="11"/>
      <c r="N4" s="15"/>
    </row>
    <row r="5" spans="1:21" s="12" customFormat="1" x14ac:dyDescent="0.2">
      <c r="A5" s="11"/>
      <c r="N5" s="15"/>
    </row>
    <row r="6" spans="1:21" s="12" customFormat="1" ht="9" customHeight="1" x14ac:dyDescent="0.2">
      <c r="A6" s="11"/>
      <c r="N6" s="15"/>
    </row>
    <row r="7" spans="1:21" s="12" customFormat="1" x14ac:dyDescent="0.2">
      <c r="A7" s="11"/>
      <c r="N7" s="15"/>
    </row>
    <row r="8" spans="1:21" s="12" customFormat="1" x14ac:dyDescent="0.2">
      <c r="A8" s="11"/>
      <c r="N8" s="15"/>
    </row>
    <row r="9" spans="1:21" s="12" customFormat="1" ht="13.5" thickBot="1" x14ac:dyDescent="0.25">
      <c r="A9" s="11"/>
      <c r="N9" s="15"/>
    </row>
    <row r="10" spans="1:21" s="12" customFormat="1" ht="13.5" thickTop="1" x14ac:dyDescent="0.2">
      <c r="A10" s="11"/>
      <c r="N10" s="15"/>
      <c r="P10" s="374" t="s">
        <v>148</v>
      </c>
      <c r="Q10" s="375"/>
      <c r="R10" s="376"/>
    </row>
    <row r="11" spans="1:21" s="12" customFormat="1" ht="15.75" x14ac:dyDescent="0.2">
      <c r="A11" s="11"/>
      <c r="N11" s="15"/>
      <c r="P11" s="440" t="s">
        <v>147</v>
      </c>
      <c r="Q11" s="441"/>
      <c r="R11" s="225" t="str">
        <f>LEFT(S11,10)</f>
        <v>NAH 0609 A</v>
      </c>
      <c r="S11" s="210" t="str">
        <f>Sheet1!C3</f>
        <v>NAH 0609 A01</v>
      </c>
      <c r="T11" s="210"/>
      <c r="U11" s="210"/>
    </row>
    <row r="12" spans="1:21" s="12" customFormat="1" ht="15.75" x14ac:dyDescent="0.25">
      <c r="A12" s="11"/>
      <c r="N12" s="15"/>
      <c r="P12" s="440" t="s">
        <v>146</v>
      </c>
      <c r="Q12" s="441"/>
      <c r="R12" s="231" t="str">
        <f>U12</f>
        <v>R-FDB 8776 - 10</v>
      </c>
      <c r="S12" s="210" t="str">
        <f>Sheet1!C16</f>
        <v>R-FDB</v>
      </c>
      <c r="T12" s="210">
        <f>Sheet1!D16</f>
        <v>8776</v>
      </c>
      <c r="U12" s="209" t="str">
        <f>CONCATENATE(S12," ",T12," - 10")</f>
        <v>R-FDB 8776 - 10</v>
      </c>
    </row>
    <row r="13" spans="1:21" s="12" customFormat="1" x14ac:dyDescent="0.2">
      <c r="A13" s="11"/>
      <c r="N13" s="15"/>
      <c r="P13" s="400" t="s">
        <v>72</v>
      </c>
      <c r="Q13" s="401"/>
      <c r="R13" s="244">
        <f>Sheet1!I6</f>
        <v>56.4</v>
      </c>
      <c r="S13" s="222">
        <f>LEN(R13)</f>
        <v>4</v>
      </c>
      <c r="T13" s="223">
        <f>IF(LEN(S13)="2",LEFT(R13,2),IF(LEN(S13)="4",LEFT(R13,4),R13) )</f>
        <v>56.4</v>
      </c>
      <c r="U13" s="133"/>
    </row>
    <row r="14" spans="1:21" s="12" customFormat="1" x14ac:dyDescent="0.2">
      <c r="A14" s="11"/>
      <c r="N14" s="15"/>
      <c r="P14" s="398" t="s">
        <v>11</v>
      </c>
      <c r="Q14" s="399"/>
      <c r="R14" s="239">
        <f>Sheet1!I7</f>
        <v>46.83</v>
      </c>
      <c r="S14" s="133"/>
      <c r="T14" s="119"/>
      <c r="U14" s="133"/>
    </row>
    <row r="15" spans="1:21" s="12" customFormat="1" x14ac:dyDescent="0.2">
      <c r="A15" s="11"/>
      <c r="N15" s="15"/>
      <c r="P15" s="398" t="s">
        <v>14</v>
      </c>
      <c r="Q15" s="399"/>
      <c r="R15" s="233">
        <f>Sheet1!I8</f>
        <v>51</v>
      </c>
      <c r="S15" s="133"/>
      <c r="T15" s="119"/>
      <c r="U15" s="133"/>
    </row>
    <row r="16" spans="1:21" s="12" customFormat="1" x14ac:dyDescent="0.2">
      <c r="A16" s="11"/>
      <c r="N16" s="15"/>
      <c r="P16" s="398" t="s">
        <v>90</v>
      </c>
      <c r="Q16" s="399"/>
      <c r="R16" s="237" t="str">
        <f>FIXED(R13+11.5,1)</f>
        <v>67.9</v>
      </c>
      <c r="S16" s="221" t="str">
        <f>MID(R16,4,1)</f>
        <v>9</v>
      </c>
      <c r="T16" s="217" t="str">
        <f>IF(S16="0",LEFT(R16,2),R16)</f>
        <v>67.9</v>
      </c>
      <c r="U16" s="210"/>
    </row>
    <row r="17" spans="1:20" s="12" customFormat="1" x14ac:dyDescent="0.2">
      <c r="A17" s="11"/>
      <c r="N17" s="15"/>
      <c r="P17" s="398"/>
      <c r="Q17" s="399"/>
      <c r="R17" s="237"/>
      <c r="S17" s="132"/>
    </row>
    <row r="18" spans="1:20" s="12" customFormat="1" x14ac:dyDescent="0.2">
      <c r="A18" s="11"/>
      <c r="N18" s="15"/>
      <c r="P18" s="398" t="s">
        <v>8</v>
      </c>
      <c r="Q18" s="399"/>
      <c r="R18" s="241">
        <f>Sheet1!$C$22</f>
        <v>5.7999999999999972</v>
      </c>
      <c r="S18" s="132"/>
      <c r="T18" s="129"/>
    </row>
    <row r="19" spans="1:20" s="12" customFormat="1" ht="13.5" thickBot="1" x14ac:dyDescent="0.25">
      <c r="A19" s="11"/>
      <c r="N19" s="15"/>
      <c r="P19" s="437" t="s">
        <v>113</v>
      </c>
      <c r="Q19" s="438"/>
      <c r="R19" s="230" t="b">
        <f>R18&lt;=9</f>
        <v>1</v>
      </c>
      <c r="S19" s="116"/>
    </row>
    <row r="20" spans="1:20" s="12" customFormat="1" ht="13.5" thickTop="1" x14ac:dyDescent="0.2">
      <c r="A20" s="11"/>
      <c r="N20" s="15"/>
    </row>
    <row r="21" spans="1:20" s="12" customFormat="1" x14ac:dyDescent="0.2">
      <c r="A21" s="11"/>
      <c r="N21" s="15"/>
    </row>
    <row r="22" spans="1:20" s="12" customFormat="1" x14ac:dyDescent="0.2">
      <c r="A22" s="11"/>
      <c r="N22" s="15"/>
    </row>
    <row r="23" spans="1:20" s="12" customFormat="1" x14ac:dyDescent="0.2">
      <c r="A23" s="11"/>
      <c r="N23" s="15"/>
    </row>
    <row r="24" spans="1:20" s="12" customFormat="1" x14ac:dyDescent="0.2">
      <c r="A24" s="11"/>
      <c r="N24" s="15"/>
    </row>
    <row r="25" spans="1:20" s="12" customFormat="1" x14ac:dyDescent="0.2">
      <c r="A25" s="11"/>
      <c r="N25" s="15"/>
    </row>
    <row r="26" spans="1:20" s="12" customFormat="1" x14ac:dyDescent="0.2">
      <c r="A26" s="11"/>
      <c r="N26" s="15"/>
    </row>
    <row r="27" spans="1:20" s="12" customFormat="1" x14ac:dyDescent="0.2">
      <c r="A27" s="11"/>
      <c r="N27" s="15"/>
    </row>
    <row r="28" spans="1:20" s="12" customFormat="1" x14ac:dyDescent="0.2">
      <c r="A28" s="11"/>
      <c r="N28" s="15"/>
    </row>
    <row r="29" spans="1:20" s="12" customFormat="1" x14ac:dyDescent="0.2">
      <c r="A29" s="11"/>
      <c r="N29" s="15"/>
    </row>
    <row r="30" spans="1:20" s="12" customFormat="1" x14ac:dyDescent="0.2">
      <c r="A30" s="11"/>
      <c r="N30" s="15"/>
    </row>
    <row r="31" spans="1:20" s="12" customFormat="1" x14ac:dyDescent="0.2">
      <c r="A31" s="11"/>
      <c r="N31" s="15"/>
    </row>
    <row r="32" spans="1:20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78"/>
      <c r="B51" s="361"/>
      <c r="C51" s="362"/>
      <c r="D51" s="363"/>
      <c r="E51" s="278"/>
      <c r="F51" s="279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89</v>
      </c>
      <c r="E55" s="341"/>
      <c r="F55" s="341"/>
      <c r="G55" s="341"/>
      <c r="H55" s="341"/>
      <c r="I55" s="342"/>
      <c r="J55" s="318" t="s">
        <v>98</v>
      </c>
      <c r="K55" s="370"/>
      <c r="L55" s="371"/>
      <c r="M55" s="318">
        <v>2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23" t="str">
        <f>Sheet1!$C$27</f>
        <v>KEE</v>
      </c>
      <c r="B59" s="324"/>
      <c r="C59" s="32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5">
      <c r="A60" s="326"/>
      <c r="B60" s="327"/>
      <c r="C60" s="328"/>
      <c r="D60" s="391">
        <f ca="1">Sheet1!$J$1</f>
        <v>43987.692111226854</v>
      </c>
      <c r="E60" s="392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364" t="s">
        <v>134</v>
      </c>
      <c r="L61" s="439"/>
      <c r="M61" s="439"/>
      <c r="N61" s="439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7">
    <mergeCell ref="G2:J2"/>
    <mergeCell ref="B49:D49"/>
    <mergeCell ref="B50:D50"/>
    <mergeCell ref="B51:D51"/>
    <mergeCell ref="P16:Q16"/>
    <mergeCell ref="P18:Q18"/>
    <mergeCell ref="P11:Q11"/>
    <mergeCell ref="P12:Q12"/>
    <mergeCell ref="P17:Q17"/>
    <mergeCell ref="D56:I56"/>
    <mergeCell ref="A56:C56"/>
    <mergeCell ref="A53:F53"/>
    <mergeCell ref="A55:C55"/>
    <mergeCell ref="P10:R10"/>
    <mergeCell ref="J54:L54"/>
    <mergeCell ref="A54:C54"/>
    <mergeCell ref="P13:Q13"/>
    <mergeCell ref="J56:N56"/>
    <mergeCell ref="J55:L55"/>
    <mergeCell ref="P14:Q14"/>
    <mergeCell ref="M55:N55"/>
    <mergeCell ref="P19:Q19"/>
    <mergeCell ref="P15:Q15"/>
    <mergeCell ref="B52:D52"/>
    <mergeCell ref="D55:I55"/>
    <mergeCell ref="M62:N62"/>
    <mergeCell ref="F59:G59"/>
    <mergeCell ref="A59:C60"/>
    <mergeCell ref="K61:N61"/>
    <mergeCell ref="M57:N57"/>
    <mergeCell ref="A58:C58"/>
    <mergeCell ref="A57:C57"/>
    <mergeCell ref="D60:E60"/>
    <mergeCell ref="J57:K57"/>
    <mergeCell ref="J60:L60"/>
    <mergeCell ref="F60:I60"/>
    <mergeCell ref="J58:N59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indexed="43"/>
  </sheetPr>
  <dimension ref="A1:V120"/>
  <sheetViews>
    <sheetView zoomScale="70" zoomScaleNormal="70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7" width="9.140625" style="121"/>
    <col min="18" max="18" width="18.7109375" style="121" customWidth="1"/>
    <col min="19" max="16384" width="9.140625" style="121"/>
  </cols>
  <sheetData>
    <row r="1" spans="1:22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2" s="12" customFormat="1" ht="15.75" x14ac:dyDescent="0.25">
      <c r="A2" s="11"/>
      <c r="G2" s="381"/>
      <c r="H2" s="381"/>
      <c r="I2" s="381"/>
      <c r="J2" s="381"/>
      <c r="K2" s="13"/>
      <c r="L2" s="14"/>
      <c r="N2" s="15"/>
      <c r="P2" s="210" t="str">
        <f>IF(R21=TRUE,"","TEMPLATE FOR OTHER DESIGN")</f>
        <v/>
      </c>
    </row>
    <row r="3" spans="1:22" s="12" customFormat="1" x14ac:dyDescent="0.2">
      <c r="A3" s="11"/>
      <c r="D3" s="16"/>
      <c r="N3" s="15"/>
    </row>
    <row r="4" spans="1:22" s="12" customFormat="1" x14ac:dyDescent="0.2">
      <c r="A4" s="11"/>
      <c r="N4" s="15"/>
    </row>
    <row r="5" spans="1:22" s="12" customFormat="1" x14ac:dyDescent="0.2">
      <c r="A5" s="11"/>
      <c r="N5" s="15"/>
    </row>
    <row r="6" spans="1:22" s="12" customFormat="1" ht="9" customHeight="1" x14ac:dyDescent="0.2">
      <c r="A6" s="11"/>
      <c r="N6" s="15"/>
    </row>
    <row r="7" spans="1:22" s="12" customFormat="1" x14ac:dyDescent="0.2">
      <c r="A7" s="11"/>
      <c r="N7" s="15"/>
    </row>
    <row r="8" spans="1:22" s="12" customFormat="1" x14ac:dyDescent="0.2">
      <c r="A8" s="11"/>
      <c r="N8" s="15"/>
    </row>
    <row r="9" spans="1:22" s="12" customFormat="1" ht="13.5" thickBot="1" x14ac:dyDescent="0.25">
      <c r="A9" s="11"/>
      <c r="N9" s="15"/>
    </row>
    <row r="10" spans="1:22" s="12" customFormat="1" ht="13.5" thickTop="1" x14ac:dyDescent="0.2">
      <c r="A10" s="11"/>
      <c r="N10" s="15"/>
      <c r="P10" s="374" t="s">
        <v>148</v>
      </c>
      <c r="Q10" s="375"/>
      <c r="R10" s="376"/>
    </row>
    <row r="11" spans="1:22" s="12" customFormat="1" ht="15.75" x14ac:dyDescent="0.2">
      <c r="A11" s="11"/>
      <c r="N11" s="15"/>
      <c r="P11" s="377" t="s">
        <v>147</v>
      </c>
      <c r="Q11" s="378"/>
      <c r="R11" s="225" t="str">
        <f>LEFT(S11,10)</f>
        <v>NAH 0609 A</v>
      </c>
      <c r="S11" s="210" t="str">
        <f>Sheet1!C3</f>
        <v>NAH 0609 A01</v>
      </c>
      <c r="T11" s="210"/>
      <c r="U11" s="210"/>
      <c r="V11" s="210"/>
    </row>
    <row r="12" spans="1:22" s="12" customFormat="1" ht="15.75" x14ac:dyDescent="0.2">
      <c r="A12" s="11"/>
      <c r="N12" s="15"/>
      <c r="P12" s="379" t="s">
        <v>146</v>
      </c>
      <c r="Q12" s="380"/>
      <c r="R12" s="226" t="str">
        <f>U12</f>
        <v>R-FDB 8776 - 14</v>
      </c>
      <c r="S12" s="217" t="str">
        <f>Sheet1!C16</f>
        <v>R-FDB</v>
      </c>
      <c r="T12" s="217">
        <f>Sheet1!D16</f>
        <v>8776</v>
      </c>
      <c r="U12" s="210" t="str">
        <f>CONCATENATE(S12," ",T12," - 14")</f>
        <v>R-FDB 8776 - 14</v>
      </c>
      <c r="V12" s="210"/>
    </row>
    <row r="13" spans="1:22" s="12" customFormat="1" x14ac:dyDescent="0.2">
      <c r="A13" s="11"/>
      <c r="N13" s="15"/>
      <c r="P13" s="400" t="s">
        <v>10</v>
      </c>
      <c r="Q13" s="401"/>
      <c r="R13" s="239">
        <f>Sheet1!I12</f>
        <v>41.169999999999995</v>
      </c>
      <c r="S13" s="129"/>
      <c r="T13" s="133"/>
      <c r="U13" s="133"/>
    </row>
    <row r="14" spans="1:22" s="12" customFormat="1" x14ac:dyDescent="0.2">
      <c r="A14" s="11"/>
      <c r="N14" s="15"/>
      <c r="P14" s="398" t="s">
        <v>11</v>
      </c>
      <c r="Q14" s="399"/>
      <c r="R14" s="239">
        <f>Sheet1!I13</f>
        <v>46.83</v>
      </c>
      <c r="S14" s="133"/>
      <c r="T14" s="119"/>
      <c r="U14" s="133"/>
    </row>
    <row r="15" spans="1:22" s="12" customFormat="1" x14ac:dyDescent="0.2">
      <c r="A15" s="11"/>
      <c r="N15" s="15"/>
      <c r="P15" s="398" t="s">
        <v>14</v>
      </c>
      <c r="Q15" s="399"/>
      <c r="R15" s="233">
        <f>Sheet1!$I$15</f>
        <v>51</v>
      </c>
      <c r="S15" s="133"/>
      <c r="T15" s="119"/>
      <c r="U15" s="133"/>
    </row>
    <row r="16" spans="1:22" s="12" customFormat="1" x14ac:dyDescent="0.2">
      <c r="A16" s="11"/>
      <c r="N16" s="15"/>
      <c r="P16" s="398" t="s">
        <v>94</v>
      </c>
      <c r="Q16" s="399"/>
      <c r="R16" s="237">
        <f>'OP1'!$R$17</f>
        <v>20</v>
      </c>
      <c r="S16" s="116"/>
      <c r="T16" s="129"/>
    </row>
    <row r="17" spans="1:20" s="12" customFormat="1" x14ac:dyDescent="0.2">
      <c r="A17" s="11"/>
      <c r="N17" s="15"/>
      <c r="P17" s="398" t="s">
        <v>92</v>
      </c>
      <c r="Q17" s="399"/>
      <c r="R17" s="241">
        <f>R16-3</f>
        <v>17</v>
      </c>
      <c r="S17" s="132"/>
      <c r="T17" s="119"/>
    </row>
    <row r="18" spans="1:20" s="12" customFormat="1" x14ac:dyDescent="0.2">
      <c r="A18" s="11"/>
      <c r="N18" s="15"/>
      <c r="P18" s="398" t="s">
        <v>93</v>
      </c>
      <c r="Q18" s="399"/>
      <c r="R18" s="241">
        <f>R17-1.5</f>
        <v>15.5</v>
      </c>
      <c r="S18" s="132"/>
      <c r="T18" s="129"/>
    </row>
    <row r="19" spans="1:20" s="12" customFormat="1" x14ac:dyDescent="0.2">
      <c r="A19" s="11"/>
      <c r="N19" s="15"/>
      <c r="P19" s="398"/>
      <c r="Q19" s="399"/>
      <c r="R19" s="241"/>
      <c r="S19" s="116"/>
    </row>
    <row r="20" spans="1:20" s="12" customFormat="1" x14ac:dyDescent="0.2">
      <c r="A20" s="11"/>
      <c r="N20" s="15"/>
      <c r="P20" s="398" t="s">
        <v>8</v>
      </c>
      <c r="Q20" s="399"/>
      <c r="R20" s="227">
        <f>Sheet1!$C$22</f>
        <v>5.7999999999999972</v>
      </c>
    </row>
    <row r="21" spans="1:20" s="12" customFormat="1" ht="13.5" thickBot="1" x14ac:dyDescent="0.25">
      <c r="A21" s="11"/>
      <c r="N21" s="15"/>
      <c r="P21" s="437" t="s">
        <v>113</v>
      </c>
      <c r="Q21" s="438"/>
      <c r="R21" s="230" t="b">
        <f>R20&lt;=9</f>
        <v>1</v>
      </c>
    </row>
    <row r="22" spans="1:20" s="12" customFormat="1" ht="13.5" thickTop="1" x14ac:dyDescent="0.2">
      <c r="A22" s="11"/>
      <c r="N22" s="15"/>
    </row>
    <row r="23" spans="1:20" s="12" customFormat="1" x14ac:dyDescent="0.2">
      <c r="A23" s="11"/>
      <c r="N23" s="15"/>
    </row>
    <row r="24" spans="1:20" s="12" customFormat="1" x14ac:dyDescent="0.2">
      <c r="A24" s="11"/>
      <c r="N24" s="15"/>
    </row>
    <row r="25" spans="1:20" s="12" customFormat="1" x14ac:dyDescent="0.2">
      <c r="A25" s="11"/>
      <c r="N25" s="15"/>
    </row>
    <row r="26" spans="1:20" s="12" customFormat="1" x14ac:dyDescent="0.2">
      <c r="A26" s="11"/>
      <c r="N26" s="15"/>
    </row>
    <row r="27" spans="1:20" s="12" customFormat="1" x14ac:dyDescent="0.2">
      <c r="A27" s="11"/>
      <c r="N27" s="15"/>
    </row>
    <row r="28" spans="1:20" s="12" customFormat="1" x14ac:dyDescent="0.2">
      <c r="A28" s="11"/>
      <c r="N28" s="15"/>
    </row>
    <row r="29" spans="1:20" s="12" customFormat="1" x14ac:dyDescent="0.2">
      <c r="A29" s="11"/>
      <c r="N29" s="15"/>
    </row>
    <row r="30" spans="1:20" s="12" customFormat="1" x14ac:dyDescent="0.2">
      <c r="A30" s="11"/>
      <c r="N30" s="15"/>
    </row>
    <row r="31" spans="1:20" s="12" customFormat="1" x14ac:dyDescent="0.2">
      <c r="A31" s="11"/>
      <c r="N31" s="15"/>
    </row>
    <row r="32" spans="1:20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78"/>
      <c r="B51" s="361"/>
      <c r="C51" s="362"/>
      <c r="D51" s="363"/>
      <c r="E51" s="278"/>
      <c r="F51" s="279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104</v>
      </c>
      <c r="E55" s="341"/>
      <c r="F55" s="341"/>
      <c r="G55" s="341"/>
      <c r="H55" s="341"/>
      <c r="I55" s="342"/>
      <c r="J55" s="318" t="s">
        <v>105</v>
      </c>
      <c r="K55" s="370"/>
      <c r="L55" s="371"/>
      <c r="M55" s="318">
        <v>3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23" t="str">
        <f>Sheet1!$C$27</f>
        <v>KEE</v>
      </c>
      <c r="B59" s="324"/>
      <c r="C59" s="32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5">
      <c r="A60" s="326"/>
      <c r="B60" s="327"/>
      <c r="C60" s="328"/>
      <c r="D60" s="391">
        <f ca="1">Sheet1!$J$1</f>
        <v>43987.692111226854</v>
      </c>
      <c r="E60" s="392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364" t="s">
        <v>135</v>
      </c>
      <c r="L61" s="364"/>
      <c r="M61" s="364"/>
      <c r="N61" s="364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9">
    <mergeCell ref="G2:J2"/>
    <mergeCell ref="B49:D49"/>
    <mergeCell ref="B50:D50"/>
    <mergeCell ref="P18:Q18"/>
    <mergeCell ref="P13:Q13"/>
    <mergeCell ref="P20:Q20"/>
    <mergeCell ref="P21:Q21"/>
    <mergeCell ref="P14:Q14"/>
    <mergeCell ref="P15:Q15"/>
    <mergeCell ref="P16:Q16"/>
    <mergeCell ref="P11:Q11"/>
    <mergeCell ref="P12:Q12"/>
    <mergeCell ref="P10:R10"/>
    <mergeCell ref="P19:Q19"/>
    <mergeCell ref="B51:D51"/>
    <mergeCell ref="A58:C58"/>
    <mergeCell ref="A59:C60"/>
    <mergeCell ref="J54:L54"/>
    <mergeCell ref="A57:C57"/>
    <mergeCell ref="A54:C54"/>
    <mergeCell ref="D60:E60"/>
    <mergeCell ref="F60:I60"/>
    <mergeCell ref="J58:N59"/>
    <mergeCell ref="B52:D52"/>
    <mergeCell ref="D55:I55"/>
    <mergeCell ref="D56:I56"/>
    <mergeCell ref="A56:C56"/>
    <mergeCell ref="A53:F53"/>
    <mergeCell ref="A55:C55"/>
    <mergeCell ref="F59:G59"/>
    <mergeCell ref="M62:N62"/>
    <mergeCell ref="P17:Q17"/>
    <mergeCell ref="K61:N61"/>
    <mergeCell ref="M57:N57"/>
    <mergeCell ref="J56:N56"/>
    <mergeCell ref="J55:L55"/>
    <mergeCell ref="J57:K57"/>
    <mergeCell ref="J60:L60"/>
    <mergeCell ref="M55:N55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indexed="43"/>
  </sheetPr>
  <dimension ref="A1:V120"/>
  <sheetViews>
    <sheetView zoomScale="90" zoomScaleNormal="90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7" width="9.140625" style="121"/>
    <col min="18" max="18" width="18.7109375" style="121" customWidth="1"/>
    <col min="19" max="16384" width="9.140625" style="121"/>
  </cols>
  <sheetData>
    <row r="1" spans="1:22" s="12" customForma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2" s="12" customFormat="1" ht="15.75" x14ac:dyDescent="0.25">
      <c r="A2" s="11"/>
      <c r="G2" s="381"/>
      <c r="H2" s="381"/>
      <c r="I2" s="381"/>
      <c r="J2" s="381"/>
      <c r="K2" s="13"/>
      <c r="L2" s="14"/>
      <c r="N2" s="15"/>
      <c r="P2" s="210" t="str">
        <f>IF(R21=TRUE,"","TEMPLATE FOR OTHER DESIGN")</f>
        <v>TEMPLATE FOR OTHER DESIGN</v>
      </c>
    </row>
    <row r="3" spans="1:22" s="12" customFormat="1" x14ac:dyDescent="0.2">
      <c r="A3" s="11"/>
      <c r="D3" s="16"/>
      <c r="N3" s="15"/>
    </row>
    <row r="4" spans="1:22" s="12" customFormat="1" x14ac:dyDescent="0.2">
      <c r="A4" s="11"/>
      <c r="N4" s="15"/>
    </row>
    <row r="5" spans="1:22" s="12" customFormat="1" x14ac:dyDescent="0.2">
      <c r="A5" s="11"/>
      <c r="N5" s="15"/>
    </row>
    <row r="6" spans="1:22" s="12" customFormat="1" ht="9" customHeight="1" x14ac:dyDescent="0.2">
      <c r="A6" s="11"/>
      <c r="N6" s="15"/>
    </row>
    <row r="7" spans="1:22" s="12" customFormat="1" x14ac:dyDescent="0.2">
      <c r="A7" s="11"/>
      <c r="N7" s="15"/>
    </row>
    <row r="8" spans="1:22" s="12" customFormat="1" x14ac:dyDescent="0.2">
      <c r="A8" s="11"/>
      <c r="N8" s="15"/>
    </row>
    <row r="9" spans="1:22" s="12" customFormat="1" ht="13.5" thickBot="1" x14ac:dyDescent="0.25">
      <c r="A9" s="11"/>
      <c r="N9" s="15"/>
    </row>
    <row r="10" spans="1:22" s="12" customFormat="1" ht="13.5" thickTop="1" x14ac:dyDescent="0.2">
      <c r="A10" s="11"/>
      <c r="N10" s="15"/>
      <c r="P10" s="374" t="s">
        <v>148</v>
      </c>
      <c r="Q10" s="375"/>
      <c r="R10" s="376"/>
    </row>
    <row r="11" spans="1:22" s="12" customFormat="1" ht="15.75" x14ac:dyDescent="0.2">
      <c r="A11" s="11"/>
      <c r="N11" s="15"/>
      <c r="P11" s="377" t="s">
        <v>147</v>
      </c>
      <c r="Q11" s="378"/>
      <c r="R11" s="225" t="str">
        <f>LEFT(S11,10)</f>
        <v>NAH 0609 A</v>
      </c>
      <c r="S11" s="210" t="str">
        <f>Sheet1!C3</f>
        <v>NAH 0609 A01</v>
      </c>
      <c r="T11" s="210"/>
      <c r="U11" s="210"/>
      <c r="V11" s="210"/>
    </row>
    <row r="12" spans="1:22" s="12" customFormat="1" ht="15.75" x14ac:dyDescent="0.2">
      <c r="A12" s="11"/>
      <c r="N12" s="15"/>
      <c r="P12" s="379" t="s">
        <v>146</v>
      </c>
      <c r="Q12" s="380"/>
      <c r="R12" s="226" t="str">
        <f>U12</f>
        <v>R-FDB 8776 - 14</v>
      </c>
      <c r="S12" s="217" t="str">
        <f>Sheet1!C16</f>
        <v>R-FDB</v>
      </c>
      <c r="T12" s="217">
        <f>Sheet1!D16</f>
        <v>8776</v>
      </c>
      <c r="U12" s="210" t="str">
        <f>CONCATENATE(S12," ",T12," - 14")</f>
        <v>R-FDB 8776 - 14</v>
      </c>
      <c r="V12" s="210"/>
    </row>
    <row r="13" spans="1:22" s="12" customFormat="1" x14ac:dyDescent="0.2">
      <c r="A13" s="11"/>
      <c r="N13" s="15"/>
      <c r="P13" s="400" t="s">
        <v>10</v>
      </c>
      <c r="Q13" s="401"/>
      <c r="R13" s="239">
        <f>Sheet1!I12</f>
        <v>41.169999999999995</v>
      </c>
      <c r="S13" s="129"/>
      <c r="T13" s="133"/>
      <c r="U13" s="133"/>
    </row>
    <row r="14" spans="1:22" s="12" customFormat="1" x14ac:dyDescent="0.2">
      <c r="A14" s="11"/>
      <c r="N14" s="15"/>
      <c r="P14" s="398" t="s">
        <v>11</v>
      </c>
      <c r="Q14" s="399"/>
      <c r="R14" s="239">
        <f>Sheet1!I13</f>
        <v>46.83</v>
      </c>
      <c r="S14" s="133"/>
      <c r="T14" s="119"/>
      <c r="U14" s="133"/>
    </row>
    <row r="15" spans="1:22" s="12" customFormat="1" x14ac:dyDescent="0.2">
      <c r="A15" s="11"/>
      <c r="N15" s="15"/>
      <c r="P15" s="398" t="s">
        <v>14</v>
      </c>
      <c r="Q15" s="399"/>
      <c r="R15" s="233">
        <f>Sheet1!$I$15</f>
        <v>51</v>
      </c>
      <c r="S15" s="133"/>
      <c r="T15" s="119"/>
      <c r="U15" s="133"/>
    </row>
    <row r="16" spans="1:22" s="12" customFormat="1" x14ac:dyDescent="0.2">
      <c r="A16" s="11"/>
      <c r="N16" s="15"/>
      <c r="P16" s="398"/>
      <c r="Q16" s="399"/>
      <c r="R16" s="239"/>
      <c r="S16" s="116"/>
      <c r="T16" s="129"/>
    </row>
    <row r="17" spans="1:20" s="12" customFormat="1" x14ac:dyDescent="0.2">
      <c r="A17" s="11"/>
      <c r="N17" s="15"/>
      <c r="P17" s="398"/>
      <c r="Q17" s="399"/>
      <c r="R17" s="239"/>
      <c r="S17" s="132"/>
      <c r="T17" s="119"/>
    </row>
    <row r="18" spans="1:20" s="12" customFormat="1" x14ac:dyDescent="0.2">
      <c r="A18" s="11"/>
      <c r="N18" s="15"/>
      <c r="P18" s="398"/>
      <c r="Q18" s="399"/>
      <c r="R18" s="239"/>
      <c r="S18" s="132"/>
      <c r="T18" s="129"/>
    </row>
    <row r="19" spans="1:20" s="12" customFormat="1" x14ac:dyDescent="0.2">
      <c r="A19" s="11"/>
      <c r="N19" s="15"/>
      <c r="P19" s="398"/>
      <c r="Q19" s="399"/>
      <c r="R19" s="239"/>
      <c r="S19" s="116"/>
    </row>
    <row r="20" spans="1:20" s="12" customFormat="1" x14ac:dyDescent="0.2">
      <c r="A20" s="11"/>
      <c r="N20" s="15"/>
      <c r="P20" s="398" t="s">
        <v>8</v>
      </c>
      <c r="Q20" s="399"/>
      <c r="R20" s="227">
        <f>Sheet1!$C$22</f>
        <v>5.7999999999999972</v>
      </c>
    </row>
    <row r="21" spans="1:20" s="12" customFormat="1" ht="13.5" thickBot="1" x14ac:dyDescent="0.25">
      <c r="A21" s="11"/>
      <c r="N21" s="15"/>
      <c r="P21" s="437" t="s">
        <v>95</v>
      </c>
      <c r="Q21" s="438"/>
      <c r="R21" s="230" t="b">
        <f>9&lt;R20</f>
        <v>0</v>
      </c>
    </row>
    <row r="22" spans="1:20" s="12" customFormat="1" ht="13.5" thickTop="1" x14ac:dyDescent="0.2">
      <c r="A22" s="11"/>
      <c r="N22" s="15"/>
    </row>
    <row r="23" spans="1:20" s="12" customFormat="1" x14ac:dyDescent="0.2">
      <c r="A23" s="11"/>
      <c r="N23" s="15"/>
    </row>
    <row r="24" spans="1:20" s="12" customFormat="1" x14ac:dyDescent="0.2">
      <c r="A24" s="11"/>
      <c r="N24" s="15"/>
    </row>
    <row r="25" spans="1:20" s="12" customFormat="1" x14ac:dyDescent="0.2">
      <c r="A25" s="11"/>
      <c r="N25" s="15"/>
    </row>
    <row r="26" spans="1:20" s="12" customFormat="1" x14ac:dyDescent="0.2">
      <c r="A26" s="11"/>
      <c r="N26" s="15"/>
    </row>
    <row r="27" spans="1:20" s="12" customFormat="1" x14ac:dyDescent="0.2">
      <c r="A27" s="11"/>
      <c r="N27" s="15"/>
    </row>
    <row r="28" spans="1:20" s="12" customFormat="1" x14ac:dyDescent="0.2">
      <c r="A28" s="11"/>
      <c r="N28" s="15"/>
    </row>
    <row r="29" spans="1:20" s="12" customFormat="1" x14ac:dyDescent="0.2">
      <c r="A29" s="11"/>
      <c r="N29" s="15"/>
    </row>
    <row r="30" spans="1:20" s="12" customFormat="1" x14ac:dyDescent="0.2">
      <c r="A30" s="11"/>
      <c r="N30" s="15"/>
    </row>
    <row r="31" spans="1:20" s="12" customFormat="1" x14ac:dyDescent="0.2">
      <c r="A31" s="11"/>
      <c r="N31" s="15"/>
    </row>
    <row r="32" spans="1:20" s="12" customFormat="1" x14ac:dyDescent="0.2">
      <c r="A32" s="11"/>
      <c r="N32" s="15"/>
    </row>
    <row r="33" spans="1:14" s="12" customFormat="1" x14ac:dyDescent="0.2">
      <c r="A33" s="11"/>
      <c r="N33" s="15"/>
    </row>
    <row r="34" spans="1:14" s="12" customFormat="1" x14ac:dyDescent="0.2">
      <c r="A34" s="11"/>
      <c r="N34" s="15"/>
    </row>
    <row r="35" spans="1:14" s="12" customFormat="1" x14ac:dyDescent="0.2">
      <c r="A35" s="11"/>
      <c r="N35" s="15"/>
    </row>
    <row r="36" spans="1:14" s="12" customFormat="1" x14ac:dyDescent="0.2">
      <c r="A36" s="11"/>
      <c r="N36" s="15"/>
    </row>
    <row r="37" spans="1:14" s="12" customFormat="1" x14ac:dyDescent="0.2">
      <c r="A37" s="11"/>
      <c r="N37" s="15"/>
    </row>
    <row r="38" spans="1:14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9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104</v>
      </c>
      <c r="E55" s="341"/>
      <c r="F55" s="341"/>
      <c r="G55" s="341"/>
      <c r="H55" s="341"/>
      <c r="I55" s="342"/>
      <c r="J55" s="318" t="s">
        <v>74</v>
      </c>
      <c r="K55" s="370"/>
      <c r="L55" s="371"/>
      <c r="M55" s="318">
        <v>3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23" t="str">
        <f>Sheet1!$C$27</f>
        <v>KEE</v>
      </c>
      <c r="B59" s="324"/>
      <c r="C59" s="32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5">
      <c r="A60" s="326"/>
      <c r="B60" s="327"/>
      <c r="C60" s="328"/>
      <c r="D60" s="391">
        <f ca="1">Sheet1!$J$1</f>
        <v>43987.692111226854</v>
      </c>
      <c r="E60" s="392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364" t="s">
        <v>137</v>
      </c>
      <c r="L61" s="364"/>
      <c r="M61" s="364"/>
      <c r="N61" s="364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9">
    <mergeCell ref="P10:R10"/>
    <mergeCell ref="P11:Q11"/>
    <mergeCell ref="P12:Q12"/>
    <mergeCell ref="M62:N62"/>
    <mergeCell ref="F59:G59"/>
    <mergeCell ref="K61:N61"/>
    <mergeCell ref="M57:N57"/>
    <mergeCell ref="J60:L60"/>
    <mergeCell ref="P13:Q13"/>
    <mergeCell ref="P20:Q20"/>
    <mergeCell ref="P21:Q21"/>
    <mergeCell ref="P14:Q14"/>
    <mergeCell ref="P15:Q15"/>
    <mergeCell ref="P16:Q16"/>
    <mergeCell ref="P17:Q17"/>
    <mergeCell ref="P18:Q18"/>
    <mergeCell ref="P19:Q19"/>
    <mergeCell ref="B52:D52"/>
    <mergeCell ref="D55:I55"/>
    <mergeCell ref="D56:I56"/>
    <mergeCell ref="A56:C56"/>
    <mergeCell ref="A53:F53"/>
    <mergeCell ref="A54:C54"/>
    <mergeCell ref="A59:C60"/>
    <mergeCell ref="F60:I60"/>
    <mergeCell ref="D60:E60"/>
    <mergeCell ref="G2:J2"/>
    <mergeCell ref="B49:D49"/>
    <mergeCell ref="B50:D50"/>
    <mergeCell ref="B51:D51"/>
    <mergeCell ref="A58:C58"/>
    <mergeCell ref="J54:L54"/>
    <mergeCell ref="J58:N59"/>
    <mergeCell ref="J57:K57"/>
    <mergeCell ref="A57:C57"/>
    <mergeCell ref="A55:C55"/>
    <mergeCell ref="J56:N56"/>
    <mergeCell ref="J55:L55"/>
    <mergeCell ref="M55:N55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indexed="43"/>
  </sheetPr>
  <dimension ref="A1:V120"/>
  <sheetViews>
    <sheetView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7" width="9.140625" style="121"/>
    <col min="18" max="18" width="18.7109375" style="121" customWidth="1"/>
    <col min="19" max="16384" width="9.140625" style="121"/>
  </cols>
  <sheetData>
    <row r="1" spans="1:22" s="12" customFormat="1" ht="12.75" customHeigh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2" s="12" customFormat="1" ht="12.75" customHeight="1" x14ac:dyDescent="0.25">
      <c r="A2" s="11"/>
      <c r="G2" s="381"/>
      <c r="H2" s="381"/>
      <c r="I2" s="381"/>
      <c r="J2" s="381"/>
      <c r="K2" s="13"/>
      <c r="L2" s="14"/>
      <c r="N2" s="15"/>
    </row>
    <row r="3" spans="1:22" s="12" customFormat="1" ht="12.75" customHeight="1" x14ac:dyDescent="0.2">
      <c r="A3" s="11"/>
      <c r="D3" s="16"/>
      <c r="N3" s="15"/>
    </row>
    <row r="4" spans="1:22" s="12" customFormat="1" ht="12.75" customHeight="1" x14ac:dyDescent="0.2">
      <c r="A4" s="11"/>
      <c r="N4" s="15"/>
    </row>
    <row r="5" spans="1:22" s="12" customFormat="1" ht="12.75" customHeight="1" x14ac:dyDescent="0.2">
      <c r="A5" s="11"/>
      <c r="N5" s="15"/>
    </row>
    <row r="6" spans="1:22" s="12" customFormat="1" ht="12.75" customHeight="1" x14ac:dyDescent="0.2">
      <c r="A6" s="11"/>
      <c r="N6" s="15"/>
    </row>
    <row r="7" spans="1:22" s="12" customFormat="1" ht="12.75" customHeight="1" x14ac:dyDescent="0.2">
      <c r="A7" s="11"/>
      <c r="N7" s="15"/>
    </row>
    <row r="8" spans="1:22" s="12" customFormat="1" ht="12.75" customHeight="1" x14ac:dyDescent="0.2">
      <c r="A8" s="11"/>
      <c r="N8" s="15"/>
    </row>
    <row r="9" spans="1:22" s="12" customFormat="1" ht="12.75" customHeight="1" x14ac:dyDescent="0.2">
      <c r="A9" s="11"/>
      <c r="N9" s="15"/>
    </row>
    <row r="10" spans="1:22" s="12" customFormat="1" ht="12.75" customHeight="1" x14ac:dyDescent="0.2">
      <c r="A10" s="11"/>
      <c r="N10" s="15"/>
      <c r="P10" s="442" t="s">
        <v>148</v>
      </c>
      <c r="Q10" s="442"/>
      <c r="R10" s="442"/>
    </row>
    <row r="11" spans="1:22" s="12" customFormat="1" ht="12.75" customHeight="1" x14ac:dyDescent="0.2">
      <c r="A11" s="11"/>
      <c r="N11" s="15"/>
      <c r="P11" s="443" t="s">
        <v>147</v>
      </c>
      <c r="Q11" s="378"/>
      <c r="R11" s="215" t="str">
        <f>LEFT(S11,10)</f>
        <v>NAH 0609 A</v>
      </c>
      <c r="S11" s="210" t="str">
        <f>Sheet1!C3</f>
        <v>NAH 0609 A01</v>
      </c>
      <c r="T11" s="210"/>
      <c r="U11" s="210"/>
      <c r="V11" s="210"/>
    </row>
    <row r="12" spans="1:22" s="12" customFormat="1" ht="12.75" customHeight="1" x14ac:dyDescent="0.2">
      <c r="A12" s="11"/>
      <c r="N12" s="15"/>
      <c r="P12" s="444" t="s">
        <v>146</v>
      </c>
      <c r="Q12" s="380"/>
      <c r="R12" s="216" t="str">
        <f>U12</f>
        <v>R-FDB 8776 - 14</v>
      </c>
      <c r="S12" s="217" t="str">
        <f>Sheet1!C16</f>
        <v>R-FDB</v>
      </c>
      <c r="T12" s="217">
        <f>Sheet1!D16</f>
        <v>8776</v>
      </c>
      <c r="U12" s="210" t="str">
        <f>CONCATENATE(S12," ",T12," - 14")</f>
        <v>R-FDB 8776 - 14</v>
      </c>
      <c r="V12" s="210"/>
    </row>
    <row r="13" spans="1:22" s="12" customFormat="1" ht="12.75" customHeight="1" x14ac:dyDescent="0.2">
      <c r="A13" s="11"/>
      <c r="N13" s="15"/>
      <c r="P13" s="401" t="s">
        <v>10</v>
      </c>
      <c r="Q13" s="401"/>
      <c r="R13" s="130">
        <f>Sheet1!I12</f>
        <v>41.169999999999995</v>
      </c>
      <c r="S13" s="129"/>
      <c r="T13" s="133"/>
      <c r="U13" s="133"/>
    </row>
    <row r="14" spans="1:22" s="12" customFormat="1" ht="12.75" customHeight="1" x14ac:dyDescent="0.2">
      <c r="A14" s="11"/>
      <c r="N14" s="15"/>
      <c r="P14" s="404" t="s">
        <v>11</v>
      </c>
      <c r="Q14" s="399"/>
      <c r="R14" s="130">
        <f>Sheet1!I13</f>
        <v>46.83</v>
      </c>
      <c r="S14" s="133"/>
      <c r="T14" s="119"/>
      <c r="U14" s="133"/>
    </row>
    <row r="15" spans="1:22" s="12" customFormat="1" ht="12.75" customHeight="1" x14ac:dyDescent="0.2">
      <c r="A15" s="11"/>
      <c r="N15" s="15"/>
      <c r="P15" s="404" t="s">
        <v>14</v>
      </c>
      <c r="Q15" s="399"/>
      <c r="R15" s="118">
        <f>Sheet1!$I$15</f>
        <v>51</v>
      </c>
      <c r="S15" s="133"/>
      <c r="T15" s="119"/>
      <c r="U15" s="133"/>
    </row>
    <row r="16" spans="1:22" s="12" customFormat="1" ht="12.75" customHeight="1" x14ac:dyDescent="0.2">
      <c r="A16" s="11"/>
      <c r="N16" s="15"/>
      <c r="S16" s="116"/>
      <c r="T16" s="129"/>
    </row>
    <row r="17" spans="1:20" s="12" customFormat="1" ht="12.75" customHeight="1" x14ac:dyDescent="0.2">
      <c r="A17" s="11"/>
      <c r="N17" s="15"/>
      <c r="S17" s="132"/>
      <c r="T17" s="119"/>
    </row>
    <row r="18" spans="1:20" s="12" customFormat="1" ht="12.75" customHeight="1" x14ac:dyDescent="0.2">
      <c r="A18" s="11"/>
      <c r="N18" s="15"/>
      <c r="S18" s="132"/>
      <c r="T18" s="129"/>
    </row>
    <row r="19" spans="1:20" s="12" customFormat="1" ht="12.75" customHeight="1" x14ac:dyDescent="0.2">
      <c r="A19" s="11"/>
      <c r="N19" s="15"/>
      <c r="S19" s="116"/>
    </row>
    <row r="20" spans="1:20" s="12" customFormat="1" ht="12.75" customHeight="1" x14ac:dyDescent="0.2">
      <c r="A20" s="11"/>
      <c r="N20" s="15"/>
      <c r="P20" s="404" t="s">
        <v>4</v>
      </c>
      <c r="Q20" s="399"/>
      <c r="R20" s="117">
        <f>Sheet1!$C$7</f>
        <v>41</v>
      </c>
    </row>
    <row r="21" spans="1:20" s="12" customFormat="1" ht="12.75" customHeight="1" x14ac:dyDescent="0.2">
      <c r="A21" s="11"/>
      <c r="N21" s="15"/>
      <c r="P21" s="404" t="s">
        <v>78</v>
      </c>
      <c r="Q21" s="399"/>
      <c r="R21" s="67" t="b">
        <f>R20=0</f>
        <v>0</v>
      </c>
    </row>
    <row r="22" spans="1:20" s="12" customFormat="1" ht="12.75" customHeight="1" x14ac:dyDescent="0.2">
      <c r="A22" s="11"/>
      <c r="N22" s="15"/>
    </row>
    <row r="23" spans="1:20" s="12" customFormat="1" ht="12.75" customHeight="1" x14ac:dyDescent="0.2">
      <c r="A23" s="11"/>
      <c r="N23" s="15"/>
    </row>
    <row r="24" spans="1:20" s="12" customFormat="1" ht="12.75" customHeight="1" x14ac:dyDescent="0.2">
      <c r="A24" s="11"/>
      <c r="N24" s="15"/>
    </row>
    <row r="25" spans="1:20" s="12" customFormat="1" ht="12.75" customHeight="1" x14ac:dyDescent="0.2">
      <c r="A25" s="11"/>
      <c r="N25" s="15"/>
    </row>
    <row r="26" spans="1:20" s="12" customFormat="1" ht="12.75" customHeight="1" x14ac:dyDescent="0.2">
      <c r="A26" s="11"/>
      <c r="N26" s="15"/>
    </row>
    <row r="27" spans="1:20" s="12" customFormat="1" ht="12.75" customHeight="1" x14ac:dyDescent="0.2">
      <c r="A27" s="11"/>
      <c r="N27" s="15"/>
    </row>
    <row r="28" spans="1:20" s="12" customFormat="1" ht="12.75" customHeight="1" x14ac:dyDescent="0.2">
      <c r="A28" s="11"/>
      <c r="N28" s="15"/>
    </row>
    <row r="29" spans="1:20" s="12" customFormat="1" ht="12.75" customHeight="1" x14ac:dyDescent="0.2">
      <c r="A29" s="11"/>
      <c r="N29" s="15"/>
    </row>
    <row r="30" spans="1:20" s="12" customFormat="1" ht="12.75" customHeight="1" x14ac:dyDescent="0.2">
      <c r="A30" s="11"/>
      <c r="N30" s="15"/>
    </row>
    <row r="31" spans="1:20" s="12" customFormat="1" ht="12.75" customHeight="1" x14ac:dyDescent="0.2">
      <c r="A31" s="11"/>
      <c r="N31" s="15"/>
    </row>
    <row r="32" spans="1:20" s="12" customFormat="1" ht="12.75" customHeight="1" x14ac:dyDescent="0.2">
      <c r="A32" s="11"/>
      <c r="N32" s="15"/>
    </row>
    <row r="33" spans="1:14" s="12" customFormat="1" ht="12.75" customHeight="1" x14ac:dyDescent="0.2">
      <c r="A33" s="11"/>
      <c r="N33" s="15"/>
    </row>
    <row r="34" spans="1:14" s="12" customFormat="1" ht="12.75" customHeight="1" x14ac:dyDescent="0.2">
      <c r="A34" s="11"/>
      <c r="N34" s="15"/>
    </row>
    <row r="35" spans="1:14" s="12" customFormat="1" ht="12.75" customHeight="1" x14ac:dyDescent="0.2">
      <c r="A35" s="11"/>
      <c r="N35" s="15"/>
    </row>
    <row r="36" spans="1:14" s="12" customFormat="1" ht="12.75" customHeight="1" x14ac:dyDescent="0.2">
      <c r="A36" s="11"/>
      <c r="N36" s="15"/>
    </row>
    <row r="37" spans="1:14" s="12" customFormat="1" ht="12.75" customHeight="1" x14ac:dyDescent="0.2">
      <c r="A37" s="11"/>
      <c r="N37" s="15"/>
    </row>
    <row r="38" spans="1:14" ht="12.75" customHeight="1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ht="12.75" customHeight="1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ht="12.75" customHeight="1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ht="12.75" customHeight="1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ht="12.75" customHeight="1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12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ht="12.75" customHeight="1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ht="12.75" customHeight="1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ht="12.75" customHeight="1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.75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.75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104</v>
      </c>
      <c r="E55" s="341"/>
      <c r="F55" s="341"/>
      <c r="G55" s="341"/>
      <c r="H55" s="341"/>
      <c r="I55" s="342"/>
      <c r="J55" s="318" t="s">
        <v>74</v>
      </c>
      <c r="K55" s="370"/>
      <c r="L55" s="371"/>
      <c r="M55" s="318">
        <v>3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23" t="str">
        <f>Sheet1!$C$27</f>
        <v>KEE</v>
      </c>
      <c r="B59" s="324"/>
      <c r="C59" s="32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5">
      <c r="A60" s="326"/>
      <c r="B60" s="327"/>
      <c r="C60" s="328"/>
      <c r="D60" s="391">
        <f ca="1">Sheet1!$J$1</f>
        <v>43987.692111226854</v>
      </c>
      <c r="E60" s="392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364" t="s">
        <v>78</v>
      </c>
      <c r="L61" s="364"/>
      <c r="M61" s="364"/>
      <c r="N61" s="364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5">
    <mergeCell ref="P10:R10"/>
    <mergeCell ref="P11:Q11"/>
    <mergeCell ref="P12:Q12"/>
    <mergeCell ref="B49:D49"/>
    <mergeCell ref="B50:D50"/>
    <mergeCell ref="B51:D51"/>
    <mergeCell ref="P13:Q13"/>
    <mergeCell ref="A55:C55"/>
    <mergeCell ref="J55:L55"/>
    <mergeCell ref="P20:Q20"/>
    <mergeCell ref="P21:Q21"/>
    <mergeCell ref="P14:Q14"/>
    <mergeCell ref="P15:Q15"/>
    <mergeCell ref="F60:I60"/>
    <mergeCell ref="J58:N59"/>
    <mergeCell ref="J57:K57"/>
    <mergeCell ref="M55:N55"/>
    <mergeCell ref="G2:J2"/>
    <mergeCell ref="J56:N56"/>
    <mergeCell ref="M62:N62"/>
    <mergeCell ref="F59:G59"/>
    <mergeCell ref="B52:D52"/>
    <mergeCell ref="D55:I55"/>
    <mergeCell ref="D56:I56"/>
    <mergeCell ref="A56:C56"/>
    <mergeCell ref="A53:F53"/>
    <mergeCell ref="K61:N61"/>
    <mergeCell ref="M57:N57"/>
    <mergeCell ref="J60:L60"/>
    <mergeCell ref="A58:C58"/>
    <mergeCell ref="A59:C60"/>
    <mergeCell ref="J54:L54"/>
    <mergeCell ref="A57:C57"/>
    <mergeCell ref="A54:C54"/>
    <mergeCell ref="D60:E60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indexed="43"/>
  </sheetPr>
  <dimension ref="A1:U120"/>
  <sheetViews>
    <sheetView topLeftCell="A8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6384" width="9.140625" style="121"/>
  </cols>
  <sheetData>
    <row r="1" spans="1:21" s="12" customFormat="1" ht="12.75" customHeigh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1" s="12" customFormat="1" ht="12.75" customHeight="1" x14ac:dyDescent="0.25">
      <c r="A2" s="11"/>
      <c r="G2" s="381"/>
      <c r="H2" s="381"/>
      <c r="I2" s="381"/>
      <c r="J2" s="381"/>
      <c r="K2" s="13"/>
      <c r="L2" s="14"/>
      <c r="N2" s="15"/>
    </row>
    <row r="3" spans="1:21" s="12" customFormat="1" ht="12.75" customHeight="1" x14ac:dyDescent="0.2">
      <c r="A3" s="11"/>
      <c r="D3" s="16"/>
      <c r="N3" s="15"/>
    </row>
    <row r="4" spans="1:21" s="12" customFormat="1" ht="12.75" customHeight="1" x14ac:dyDescent="0.2">
      <c r="A4" s="11"/>
      <c r="N4" s="15"/>
    </row>
    <row r="5" spans="1:21" s="12" customFormat="1" ht="12.75" customHeight="1" x14ac:dyDescent="0.2">
      <c r="A5" s="11"/>
      <c r="N5" s="15"/>
    </row>
    <row r="6" spans="1:21" s="12" customFormat="1" ht="12.75" customHeight="1" x14ac:dyDescent="0.2">
      <c r="A6" s="11"/>
      <c r="N6" s="15"/>
    </row>
    <row r="7" spans="1:21" s="12" customFormat="1" ht="12.75" customHeight="1" x14ac:dyDescent="0.2">
      <c r="A7" s="11"/>
      <c r="N7" s="15"/>
    </row>
    <row r="8" spans="1:21" s="12" customFormat="1" ht="12.75" customHeight="1" x14ac:dyDescent="0.2">
      <c r="A8" s="11"/>
      <c r="N8" s="15"/>
    </row>
    <row r="9" spans="1:21" s="12" customFormat="1" ht="12.75" customHeight="1" x14ac:dyDescent="0.2">
      <c r="A9" s="11"/>
      <c r="N9" s="15"/>
    </row>
    <row r="10" spans="1:21" s="12" customFormat="1" ht="12.75" customHeight="1" x14ac:dyDescent="0.2">
      <c r="A10" s="11"/>
      <c r="N10" s="15"/>
    </row>
    <row r="11" spans="1:21" s="12" customFormat="1" ht="12.75" customHeight="1" x14ac:dyDescent="0.2">
      <c r="A11" s="11"/>
      <c r="N11" s="15"/>
      <c r="P11" s="127" t="s">
        <v>108</v>
      </c>
      <c r="R11" s="12" t="s">
        <v>109</v>
      </c>
    </row>
    <row r="12" spans="1:21" s="12" customFormat="1" ht="12.75" customHeight="1" x14ac:dyDescent="0.2">
      <c r="A12" s="11"/>
      <c r="N12" s="15"/>
    </row>
    <row r="13" spans="1:21" s="12" customFormat="1" ht="12.75" customHeight="1" x14ac:dyDescent="0.2">
      <c r="A13" s="11"/>
      <c r="N13" s="15"/>
      <c r="P13" s="401" t="s">
        <v>10</v>
      </c>
      <c r="Q13" s="401"/>
      <c r="R13" s="130">
        <f>Sheet1!I12</f>
        <v>41.169999999999995</v>
      </c>
      <c r="S13" s="129"/>
      <c r="T13" s="133"/>
      <c r="U13" s="133"/>
    </row>
    <row r="14" spans="1:21" s="12" customFormat="1" ht="12.75" customHeight="1" x14ac:dyDescent="0.2">
      <c r="A14" s="11"/>
      <c r="N14" s="15"/>
      <c r="P14" s="404" t="s">
        <v>11</v>
      </c>
      <c r="Q14" s="399"/>
      <c r="R14" s="130">
        <f>Sheet1!I13</f>
        <v>46.83</v>
      </c>
      <c r="S14" s="133"/>
      <c r="T14" s="119"/>
      <c r="U14" s="133"/>
    </row>
    <row r="15" spans="1:21" s="12" customFormat="1" ht="12.75" customHeight="1" x14ac:dyDescent="0.2">
      <c r="A15" s="11"/>
      <c r="N15" s="15"/>
      <c r="P15" s="404" t="s">
        <v>14</v>
      </c>
      <c r="Q15" s="399"/>
      <c r="R15" s="118">
        <f>Sheet1!$I$15</f>
        <v>51</v>
      </c>
      <c r="S15" s="133"/>
      <c r="T15" s="119"/>
      <c r="U15" s="133"/>
    </row>
    <row r="16" spans="1:21" s="12" customFormat="1" ht="12.75" customHeight="1" x14ac:dyDescent="0.2">
      <c r="A16" s="11"/>
      <c r="N16" s="15"/>
      <c r="P16" s="404" t="s">
        <v>94</v>
      </c>
      <c r="Q16" s="399"/>
      <c r="R16" s="128">
        <f>'OP1'!$R$17</f>
        <v>20</v>
      </c>
      <c r="S16" s="116"/>
      <c r="T16" s="129"/>
    </row>
    <row r="17" spans="1:20" s="12" customFormat="1" ht="12.75" customHeight="1" x14ac:dyDescent="0.2">
      <c r="A17" s="11"/>
      <c r="N17" s="15"/>
      <c r="P17" s="404" t="s">
        <v>92</v>
      </c>
      <c r="Q17" s="399"/>
      <c r="R17" s="131">
        <f>R16-3</f>
        <v>17</v>
      </c>
      <c r="S17" s="132"/>
      <c r="T17" s="119"/>
    </row>
    <row r="18" spans="1:20" s="12" customFormat="1" ht="12.75" customHeight="1" x14ac:dyDescent="0.2">
      <c r="A18" s="11"/>
      <c r="N18" s="15"/>
      <c r="P18" s="404" t="s">
        <v>93</v>
      </c>
      <c r="Q18" s="399"/>
      <c r="R18" s="131">
        <f>R17-1.5</f>
        <v>15.5</v>
      </c>
      <c r="S18" s="132"/>
      <c r="T18" s="129"/>
    </row>
    <row r="19" spans="1:20" s="12" customFormat="1" ht="12.75" customHeight="1" x14ac:dyDescent="0.2">
      <c r="A19" s="11"/>
      <c r="N19" s="15"/>
      <c r="S19" s="116"/>
    </row>
    <row r="20" spans="1:20" s="12" customFormat="1" ht="12.75" customHeight="1" x14ac:dyDescent="0.2">
      <c r="A20" s="11"/>
      <c r="N20" s="15"/>
      <c r="P20" s="404" t="s">
        <v>8</v>
      </c>
      <c r="Q20" s="399"/>
      <c r="R20" s="117">
        <f>Sheet1!$C$22</f>
        <v>5.7999999999999972</v>
      </c>
    </row>
    <row r="21" spans="1:20" s="12" customFormat="1" ht="12.75" customHeight="1" x14ac:dyDescent="0.2">
      <c r="A21" s="11"/>
      <c r="N21" s="15"/>
      <c r="P21" s="404" t="s">
        <v>114</v>
      </c>
      <c r="Q21" s="399"/>
      <c r="R21" s="67" t="b">
        <f>R20&lt;=10</f>
        <v>1</v>
      </c>
    </row>
    <row r="22" spans="1:20" s="12" customFormat="1" ht="12.75" customHeight="1" x14ac:dyDescent="0.2">
      <c r="A22" s="11"/>
      <c r="N22" s="15"/>
    </row>
    <row r="23" spans="1:20" s="12" customFormat="1" ht="12.75" customHeight="1" x14ac:dyDescent="0.2">
      <c r="A23" s="11"/>
      <c r="N23" s="15"/>
    </row>
    <row r="24" spans="1:20" s="12" customFormat="1" ht="12.75" customHeight="1" x14ac:dyDescent="0.2">
      <c r="A24" s="11"/>
      <c r="N24" s="15"/>
    </row>
    <row r="25" spans="1:20" s="12" customFormat="1" ht="12.75" customHeight="1" x14ac:dyDescent="0.2">
      <c r="A25" s="11"/>
      <c r="N25" s="15"/>
    </row>
    <row r="26" spans="1:20" s="12" customFormat="1" ht="12.75" customHeight="1" thickBot="1" x14ac:dyDescent="0.25">
      <c r="A26" s="11"/>
      <c r="N26" s="15"/>
    </row>
    <row r="27" spans="1:20" s="12" customFormat="1" ht="12.75" customHeight="1" thickTop="1" x14ac:dyDescent="0.2">
      <c r="A27" s="11"/>
      <c r="N27" s="15"/>
      <c r="P27" s="405" t="s">
        <v>115</v>
      </c>
      <c r="Q27" s="406"/>
      <c r="R27" s="407"/>
    </row>
    <row r="28" spans="1:20" s="12" customFormat="1" ht="12.75" customHeight="1" x14ac:dyDescent="0.2">
      <c r="A28" s="11"/>
      <c r="N28" s="15"/>
      <c r="P28" s="408"/>
      <c r="Q28" s="409"/>
      <c r="R28" s="410"/>
    </row>
    <row r="29" spans="1:20" s="12" customFormat="1" ht="12.75" customHeight="1" x14ac:dyDescent="0.2">
      <c r="A29" s="11"/>
      <c r="N29" s="15"/>
      <c r="P29" s="411" t="s">
        <v>118</v>
      </c>
      <c r="Q29" s="412"/>
      <c r="R29" s="138" t="s">
        <v>117</v>
      </c>
    </row>
    <row r="30" spans="1:20" s="12" customFormat="1" ht="12.75" customHeight="1" x14ac:dyDescent="0.2">
      <c r="A30" s="11"/>
      <c r="N30" s="15"/>
      <c r="P30" s="411" t="s">
        <v>119</v>
      </c>
      <c r="Q30" s="412"/>
      <c r="R30" s="138" t="s">
        <v>117</v>
      </c>
    </row>
    <row r="31" spans="1:20" s="12" customFormat="1" ht="12.75" customHeight="1" x14ac:dyDescent="0.2">
      <c r="A31" s="11"/>
      <c r="N31" s="15"/>
      <c r="P31" s="413" t="s">
        <v>121</v>
      </c>
      <c r="Q31" s="140" t="s">
        <v>122</v>
      </c>
      <c r="R31" s="139" t="s">
        <v>117</v>
      </c>
    </row>
    <row r="32" spans="1:20" s="12" customFormat="1" ht="12.75" customHeight="1" thickBot="1" x14ac:dyDescent="0.25">
      <c r="A32" s="11"/>
      <c r="N32" s="15"/>
      <c r="P32" s="414"/>
      <c r="Q32" s="141" t="s">
        <v>123</v>
      </c>
      <c r="R32" s="137" t="s">
        <v>117</v>
      </c>
    </row>
    <row r="33" spans="1:14" s="12" customFormat="1" ht="12.75" customHeight="1" thickTop="1" x14ac:dyDescent="0.2">
      <c r="A33" s="11"/>
      <c r="N33" s="15"/>
    </row>
    <row r="34" spans="1:14" s="12" customFormat="1" ht="12.75" customHeight="1" x14ac:dyDescent="0.2">
      <c r="A34" s="11"/>
      <c r="N34" s="15"/>
    </row>
    <row r="35" spans="1:14" s="12" customFormat="1" ht="12.75" customHeight="1" x14ac:dyDescent="0.2">
      <c r="A35" s="11"/>
      <c r="N35" s="15"/>
    </row>
    <row r="36" spans="1:14" s="12" customFormat="1" ht="12.75" customHeight="1" x14ac:dyDescent="0.2">
      <c r="A36" s="11"/>
      <c r="N36" s="15"/>
    </row>
    <row r="37" spans="1:14" s="12" customFormat="1" ht="12.75" customHeight="1" x14ac:dyDescent="0.2">
      <c r="A37" s="11"/>
      <c r="N37" s="15"/>
    </row>
    <row r="38" spans="1:14" ht="12.75" customHeight="1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ht="12.75" customHeight="1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ht="12.75" customHeight="1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ht="12.75" customHeight="1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ht="12.75" customHeight="1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12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ht="12.75" customHeight="1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ht="12.75" customHeight="1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ht="12.75" customHeight="1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.75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.75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104</v>
      </c>
      <c r="E55" s="341"/>
      <c r="F55" s="341"/>
      <c r="G55" s="341"/>
      <c r="H55" s="341"/>
      <c r="I55" s="342"/>
      <c r="J55" s="318" t="s">
        <v>74</v>
      </c>
      <c r="K55" s="370"/>
      <c r="L55" s="371"/>
      <c r="M55" s="318">
        <v>3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93" t="str">
        <f>Sheet1!$C$27</f>
        <v>KEE</v>
      </c>
      <c r="B59" s="394"/>
      <c r="C59" s="39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">
      <c r="A60" s="331"/>
      <c r="B60" s="332"/>
      <c r="C60" s="333"/>
      <c r="D60" s="396">
        <f ca="1">Sheet1!$J$1</f>
        <v>43987.692111226854</v>
      </c>
      <c r="E60" s="397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364" t="s">
        <v>136</v>
      </c>
      <c r="L61" s="364"/>
      <c r="M61" s="364"/>
      <c r="N61" s="364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9">
    <mergeCell ref="M62:N62"/>
    <mergeCell ref="F59:G59"/>
    <mergeCell ref="G2:J2"/>
    <mergeCell ref="B49:D49"/>
    <mergeCell ref="B50:D50"/>
    <mergeCell ref="B51:D51"/>
    <mergeCell ref="A58:C58"/>
    <mergeCell ref="A59:C60"/>
    <mergeCell ref="J54:L54"/>
    <mergeCell ref="A57:C57"/>
    <mergeCell ref="D56:I56"/>
    <mergeCell ref="A56:C56"/>
    <mergeCell ref="A53:F53"/>
    <mergeCell ref="K61:N61"/>
    <mergeCell ref="M57:N57"/>
    <mergeCell ref="J60:L60"/>
    <mergeCell ref="D60:E60"/>
    <mergeCell ref="P13:Q13"/>
    <mergeCell ref="A55:C55"/>
    <mergeCell ref="P14:Q14"/>
    <mergeCell ref="P15:Q15"/>
    <mergeCell ref="P16:Q16"/>
    <mergeCell ref="J55:L55"/>
    <mergeCell ref="P20:Q20"/>
    <mergeCell ref="P17:Q17"/>
    <mergeCell ref="F60:I60"/>
    <mergeCell ref="J58:N59"/>
    <mergeCell ref="J57:K57"/>
    <mergeCell ref="J56:N56"/>
    <mergeCell ref="P18:Q18"/>
    <mergeCell ref="P21:Q21"/>
    <mergeCell ref="M55:N55"/>
    <mergeCell ref="D55:I55"/>
    <mergeCell ref="A54:C54"/>
    <mergeCell ref="B52:D52"/>
    <mergeCell ref="P27:R28"/>
    <mergeCell ref="P29:Q29"/>
    <mergeCell ref="P30:Q30"/>
    <mergeCell ref="P31:P32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indexed="43"/>
  </sheetPr>
  <dimension ref="A1:V120"/>
  <sheetViews>
    <sheetView zoomScale="96" zoomScaleNormal="96"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7" width="9.140625" style="121"/>
    <col min="18" max="18" width="20.7109375" style="121" customWidth="1"/>
    <col min="19" max="16384" width="9.140625" style="121"/>
  </cols>
  <sheetData>
    <row r="1" spans="1:22" s="12" customFormat="1" ht="12.75" customHeigh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2" s="12" customFormat="1" ht="12.75" customHeight="1" x14ac:dyDescent="0.25">
      <c r="A2" s="11"/>
      <c r="G2" s="381"/>
      <c r="H2" s="381"/>
      <c r="I2" s="381"/>
      <c r="J2" s="381"/>
      <c r="K2" s="13"/>
      <c r="L2" s="14"/>
      <c r="N2" s="15"/>
    </row>
    <row r="3" spans="1:22" s="12" customFormat="1" ht="12.75" customHeight="1" x14ac:dyDescent="0.2">
      <c r="A3" s="11"/>
      <c r="D3" s="16"/>
      <c r="N3" s="15"/>
    </row>
    <row r="4" spans="1:22" s="12" customFormat="1" ht="12.75" customHeight="1" x14ac:dyDescent="0.2">
      <c r="A4" s="11"/>
      <c r="N4" s="15"/>
    </row>
    <row r="5" spans="1:22" s="12" customFormat="1" ht="12.75" customHeight="1" x14ac:dyDescent="0.2">
      <c r="A5" s="11"/>
      <c r="N5" s="15"/>
    </row>
    <row r="6" spans="1:22" s="12" customFormat="1" ht="12.75" customHeight="1" x14ac:dyDescent="0.2">
      <c r="A6" s="11"/>
      <c r="N6" s="15"/>
    </row>
    <row r="7" spans="1:22" s="12" customFormat="1" ht="12.75" customHeight="1" x14ac:dyDescent="0.2">
      <c r="A7" s="11"/>
      <c r="N7" s="15"/>
    </row>
    <row r="8" spans="1:22" s="12" customFormat="1" ht="12.75" customHeight="1" x14ac:dyDescent="0.2">
      <c r="A8" s="11"/>
      <c r="N8" s="15"/>
    </row>
    <row r="9" spans="1:22" s="12" customFormat="1" ht="12.75" customHeight="1" thickBot="1" x14ac:dyDescent="0.25">
      <c r="A9" s="11"/>
      <c r="N9" s="15"/>
    </row>
    <row r="10" spans="1:22" s="12" customFormat="1" ht="12.75" customHeight="1" thickTop="1" x14ac:dyDescent="0.2">
      <c r="A10" s="11"/>
      <c r="N10" s="15"/>
      <c r="P10" s="374" t="s">
        <v>148</v>
      </c>
      <c r="Q10" s="375"/>
      <c r="R10" s="376"/>
    </row>
    <row r="11" spans="1:22" s="12" customFormat="1" ht="12.75" customHeight="1" x14ac:dyDescent="0.2">
      <c r="A11" s="11"/>
      <c r="N11" s="15"/>
      <c r="P11" s="456" t="s">
        <v>147</v>
      </c>
      <c r="Q11" s="457"/>
      <c r="R11" s="225" t="str">
        <f>LEFT(S11,10)</f>
        <v>NAH 0609 A</v>
      </c>
      <c r="S11" s="210" t="str">
        <f>Sheet1!C3</f>
        <v>NAH 0609 A01</v>
      </c>
      <c r="T11" s="210"/>
      <c r="U11" s="210"/>
      <c r="V11" s="210"/>
    </row>
    <row r="12" spans="1:22" s="12" customFormat="1" ht="12.75" customHeight="1" x14ac:dyDescent="0.2">
      <c r="A12" s="11"/>
      <c r="N12" s="15"/>
      <c r="P12" s="454" t="s">
        <v>146</v>
      </c>
      <c r="Q12" s="455"/>
      <c r="R12" s="226" t="str">
        <f>U12</f>
        <v>R-FDB 8776 - 14</v>
      </c>
      <c r="S12" s="217" t="str">
        <f>Sheet1!C16</f>
        <v>R-FDB</v>
      </c>
      <c r="T12" s="217">
        <f>Sheet1!D16</f>
        <v>8776</v>
      </c>
      <c r="U12" s="210" t="str">
        <f>CONCATENATE(S12," ",T12," - 14")</f>
        <v>R-FDB 8776 - 14</v>
      </c>
      <c r="V12" s="210"/>
    </row>
    <row r="13" spans="1:22" s="12" customFormat="1" ht="12.75" customHeight="1" x14ac:dyDescent="0.2">
      <c r="A13" s="11"/>
      <c r="N13" s="15"/>
      <c r="P13" s="400" t="s">
        <v>10</v>
      </c>
      <c r="Q13" s="401"/>
      <c r="R13" s="273">
        <f>Sheet1!I12</f>
        <v>41.169999999999995</v>
      </c>
      <c r="S13" s="129"/>
      <c r="T13" s="133"/>
      <c r="U13" s="133"/>
    </row>
    <row r="14" spans="1:22" s="12" customFormat="1" ht="12.75" customHeight="1" x14ac:dyDescent="0.2">
      <c r="A14" s="11"/>
      <c r="N14" s="15"/>
      <c r="P14" s="400" t="s">
        <v>11</v>
      </c>
      <c r="Q14" s="401"/>
      <c r="R14" s="274">
        <f>Sheet1!I13</f>
        <v>46.83</v>
      </c>
      <c r="S14" s="133"/>
      <c r="T14" s="119"/>
      <c r="U14" s="133"/>
    </row>
    <row r="15" spans="1:22" s="12" customFormat="1" ht="12.75" customHeight="1" x14ac:dyDescent="0.2">
      <c r="A15" s="11"/>
      <c r="N15" s="15"/>
      <c r="P15" s="400" t="s">
        <v>14</v>
      </c>
      <c r="Q15" s="401"/>
      <c r="R15" s="275">
        <f>Sheet1!$I$15</f>
        <v>51</v>
      </c>
      <c r="S15" s="133"/>
      <c r="T15" s="119"/>
      <c r="U15" s="133"/>
    </row>
    <row r="16" spans="1:22" s="12" customFormat="1" ht="12.75" customHeight="1" x14ac:dyDescent="0.2">
      <c r="A16" s="11"/>
      <c r="N16" s="15"/>
      <c r="P16" s="400" t="s">
        <v>94</v>
      </c>
      <c r="Q16" s="401"/>
      <c r="R16" s="276">
        <f>'OP1'!$R$17</f>
        <v>20</v>
      </c>
      <c r="S16" s="116"/>
      <c r="T16" s="129"/>
    </row>
    <row r="17" spans="1:20" s="12" customFormat="1" ht="12.75" customHeight="1" x14ac:dyDescent="0.2">
      <c r="A17" s="11"/>
      <c r="N17" s="15"/>
      <c r="P17" s="400" t="s">
        <v>8</v>
      </c>
      <c r="Q17" s="401"/>
      <c r="R17" s="277">
        <f>Sheet1!$C$22</f>
        <v>5.7999999999999972</v>
      </c>
      <c r="S17" s="132"/>
      <c r="T17" s="119"/>
    </row>
    <row r="18" spans="1:20" s="12" customFormat="1" ht="12.75" customHeight="1" x14ac:dyDescent="0.2">
      <c r="A18" s="11"/>
      <c r="N18" s="15"/>
      <c r="P18" s="460"/>
      <c r="Q18" s="461"/>
      <c r="R18" s="269"/>
      <c r="S18" s="132"/>
      <c r="T18" s="129"/>
    </row>
    <row r="19" spans="1:20" s="12" customFormat="1" ht="12.75" customHeight="1" thickBot="1" x14ac:dyDescent="0.25">
      <c r="A19" s="11"/>
      <c r="N19" s="15"/>
      <c r="P19" s="458"/>
      <c r="Q19" s="459"/>
      <c r="R19" s="270"/>
      <c r="S19" s="116"/>
    </row>
    <row r="20" spans="1:20" s="12" customFormat="1" ht="12.75" customHeight="1" thickTop="1" x14ac:dyDescent="0.2">
      <c r="A20" s="11"/>
      <c r="N20" s="15"/>
      <c r="P20" s="445"/>
      <c r="Q20" s="445"/>
      <c r="R20" s="268"/>
    </row>
    <row r="21" spans="1:20" s="12" customFormat="1" ht="12.75" customHeight="1" x14ac:dyDescent="0.2">
      <c r="A21" s="11"/>
      <c r="N21" s="15"/>
      <c r="P21" s="218"/>
      <c r="Q21" s="218"/>
      <c r="R21" s="218"/>
    </row>
    <row r="22" spans="1:20" s="12" customFormat="1" ht="12.75" customHeight="1" x14ac:dyDescent="0.2">
      <c r="A22" s="11"/>
      <c r="N22" s="15"/>
    </row>
    <row r="23" spans="1:20" s="12" customFormat="1" ht="12.75" customHeight="1" x14ac:dyDescent="0.2">
      <c r="A23" s="11"/>
      <c r="N23" s="15"/>
    </row>
    <row r="24" spans="1:20" s="12" customFormat="1" ht="12.75" customHeight="1" x14ac:dyDescent="0.2">
      <c r="A24" s="11"/>
      <c r="N24" s="15"/>
    </row>
    <row r="25" spans="1:20" s="12" customFormat="1" ht="12.75" customHeight="1" x14ac:dyDescent="0.2">
      <c r="A25" s="11"/>
      <c r="N25" s="15"/>
    </row>
    <row r="26" spans="1:20" s="12" customFormat="1" ht="12.75" customHeight="1" thickBot="1" x14ac:dyDescent="0.25">
      <c r="A26" s="11"/>
      <c r="N26" s="15"/>
    </row>
    <row r="27" spans="1:20" s="12" customFormat="1" ht="12.75" customHeight="1" thickTop="1" x14ac:dyDescent="0.2">
      <c r="A27" s="11"/>
      <c r="N27" s="15"/>
      <c r="P27" s="405" t="s">
        <v>115</v>
      </c>
      <c r="Q27" s="406"/>
      <c r="R27" s="407"/>
    </row>
    <row r="28" spans="1:20" s="12" customFormat="1" ht="12.75" customHeight="1" x14ac:dyDescent="0.2">
      <c r="A28" s="11"/>
      <c r="N28" s="15"/>
      <c r="P28" s="408"/>
      <c r="Q28" s="409"/>
      <c r="R28" s="410"/>
    </row>
    <row r="29" spans="1:20" s="12" customFormat="1" ht="12.75" customHeight="1" x14ac:dyDescent="0.2">
      <c r="A29" s="11"/>
      <c r="N29" s="15"/>
      <c r="P29" s="411" t="s">
        <v>118</v>
      </c>
      <c r="Q29" s="412"/>
      <c r="R29" s="220">
        <v>37.799999999999997</v>
      </c>
    </row>
    <row r="30" spans="1:20" s="12" customFormat="1" ht="12.75" customHeight="1" x14ac:dyDescent="0.2">
      <c r="A30" s="11"/>
      <c r="N30" s="15"/>
      <c r="P30" s="411" t="s">
        <v>119</v>
      </c>
      <c r="Q30" s="412"/>
      <c r="R30" s="220">
        <v>2.5</v>
      </c>
    </row>
    <row r="31" spans="1:20" s="12" customFormat="1" ht="12.75" customHeight="1" x14ac:dyDescent="0.2">
      <c r="A31" s="11"/>
      <c r="N31" s="15"/>
      <c r="P31" s="432" t="s">
        <v>120</v>
      </c>
      <c r="Q31" s="433"/>
      <c r="R31" s="247">
        <v>62</v>
      </c>
    </row>
    <row r="32" spans="1:20" s="12" customFormat="1" ht="12.75" customHeight="1" x14ac:dyDescent="0.2">
      <c r="A32" s="11"/>
      <c r="N32" s="15"/>
      <c r="P32" s="411" t="s">
        <v>10</v>
      </c>
      <c r="Q32" s="412"/>
      <c r="R32" s="271">
        <v>16</v>
      </c>
    </row>
    <row r="33" spans="1:18" s="12" customFormat="1" ht="12.75" customHeight="1" thickBot="1" x14ac:dyDescent="0.25">
      <c r="A33" s="11"/>
      <c r="N33" s="15"/>
      <c r="P33" s="434" t="s">
        <v>11</v>
      </c>
      <c r="Q33" s="435"/>
      <c r="R33" s="272">
        <v>15</v>
      </c>
    </row>
    <row r="34" spans="1:18" s="12" customFormat="1" ht="12.75" customHeight="1" thickTop="1" x14ac:dyDescent="0.2">
      <c r="A34" s="11"/>
      <c r="N34" s="15"/>
    </row>
    <row r="35" spans="1:18" s="12" customFormat="1" ht="12.75" customHeight="1" x14ac:dyDescent="0.2">
      <c r="A35" s="11"/>
      <c r="N35" s="15"/>
    </row>
    <row r="36" spans="1:18" s="12" customFormat="1" ht="12.75" customHeight="1" x14ac:dyDescent="0.2">
      <c r="A36" s="11"/>
      <c r="N36" s="15"/>
    </row>
    <row r="37" spans="1:18" s="12" customFormat="1" ht="12.75" customHeight="1" x14ac:dyDescent="0.2">
      <c r="A37" s="11"/>
      <c r="N37" s="15"/>
    </row>
    <row r="38" spans="1:18" ht="12.75" customHeight="1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8" ht="12.75" customHeight="1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8" ht="12.75" customHeight="1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8" ht="12.75" customHeight="1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8" ht="12.75" customHeight="1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8" ht="12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8" ht="12.75" customHeight="1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8" ht="12.75" customHeight="1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8" ht="12.75" customHeight="1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8" ht="12.75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8" ht="12.75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104</v>
      </c>
      <c r="E55" s="341"/>
      <c r="F55" s="341"/>
      <c r="G55" s="341"/>
      <c r="H55" s="341"/>
      <c r="I55" s="342"/>
      <c r="J55" s="318" t="s">
        <v>74</v>
      </c>
      <c r="K55" s="370"/>
      <c r="L55" s="371"/>
      <c r="M55" s="318">
        <v>3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446" t="str">
        <f>Sheet1!$C$27</f>
        <v>KEE</v>
      </c>
      <c r="B59" s="447"/>
      <c r="C59" s="448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">
      <c r="A60" s="449"/>
      <c r="B60" s="450"/>
      <c r="C60" s="451"/>
      <c r="D60" s="452">
        <f ca="1">Sheet1!$J$1</f>
        <v>43987.692111226854</v>
      </c>
      <c r="E60" s="453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415"/>
      <c r="L61" s="416"/>
      <c r="M61" s="416"/>
      <c r="N61" s="416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44">
    <mergeCell ref="P12:Q12"/>
    <mergeCell ref="P10:R10"/>
    <mergeCell ref="P11:Q11"/>
    <mergeCell ref="P19:Q19"/>
    <mergeCell ref="M62:N62"/>
    <mergeCell ref="K61:N61"/>
    <mergeCell ref="M57:N57"/>
    <mergeCell ref="J60:L60"/>
    <mergeCell ref="J54:L54"/>
    <mergeCell ref="J58:N59"/>
    <mergeCell ref="J57:K57"/>
    <mergeCell ref="P17:Q17"/>
    <mergeCell ref="P18:Q18"/>
    <mergeCell ref="P13:Q13"/>
    <mergeCell ref="P14:Q14"/>
    <mergeCell ref="P15:Q15"/>
    <mergeCell ref="F59:G59"/>
    <mergeCell ref="B52:D52"/>
    <mergeCell ref="D55:I55"/>
    <mergeCell ref="D56:I56"/>
    <mergeCell ref="A56:C56"/>
    <mergeCell ref="A53:F53"/>
    <mergeCell ref="A58:C58"/>
    <mergeCell ref="A59:C60"/>
    <mergeCell ref="A57:C57"/>
    <mergeCell ref="A54:C54"/>
    <mergeCell ref="D60:E60"/>
    <mergeCell ref="F60:I60"/>
    <mergeCell ref="A55:C55"/>
    <mergeCell ref="B51:D51"/>
    <mergeCell ref="J56:N56"/>
    <mergeCell ref="J55:L55"/>
    <mergeCell ref="M55:N55"/>
    <mergeCell ref="G2:J2"/>
    <mergeCell ref="B49:D49"/>
    <mergeCell ref="B50:D50"/>
    <mergeCell ref="P33:Q33"/>
    <mergeCell ref="P16:Q16"/>
    <mergeCell ref="P32:Q32"/>
    <mergeCell ref="P20:Q20"/>
    <mergeCell ref="P27:R28"/>
    <mergeCell ref="P29:Q29"/>
    <mergeCell ref="P30:Q30"/>
    <mergeCell ref="P31:Q31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indexed="43"/>
  </sheetPr>
  <dimension ref="A1:AU120"/>
  <sheetViews>
    <sheetView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6384" width="9.140625" style="121"/>
  </cols>
  <sheetData>
    <row r="1" spans="1:21" s="12" customFormat="1" ht="12.75" customHeigh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1" s="12" customFormat="1" ht="12.75" customHeight="1" x14ac:dyDescent="0.25">
      <c r="A2" s="11"/>
      <c r="G2" s="381"/>
      <c r="H2" s="381"/>
      <c r="I2" s="381"/>
      <c r="J2" s="381"/>
      <c r="K2" s="13"/>
      <c r="L2" s="14"/>
      <c r="N2" s="15"/>
    </row>
    <row r="3" spans="1:21" s="12" customFormat="1" ht="12.75" customHeight="1" x14ac:dyDescent="0.2">
      <c r="A3" s="11"/>
      <c r="D3" s="16"/>
      <c r="N3" s="15"/>
    </row>
    <row r="4" spans="1:21" s="12" customFormat="1" ht="12.75" customHeight="1" x14ac:dyDescent="0.2">
      <c r="A4" s="11"/>
      <c r="N4" s="15"/>
    </row>
    <row r="5" spans="1:21" s="12" customFormat="1" ht="12.75" customHeight="1" x14ac:dyDescent="0.2">
      <c r="A5" s="11"/>
      <c r="N5" s="15"/>
    </row>
    <row r="6" spans="1:21" s="12" customFormat="1" ht="12.75" customHeight="1" x14ac:dyDescent="0.2">
      <c r="A6" s="11"/>
      <c r="N6" s="15"/>
    </row>
    <row r="7" spans="1:21" s="12" customFormat="1" ht="12.75" customHeight="1" x14ac:dyDescent="0.2">
      <c r="A7" s="11"/>
      <c r="N7" s="15"/>
    </row>
    <row r="8" spans="1:21" s="12" customFormat="1" ht="12.75" customHeight="1" x14ac:dyDescent="0.2">
      <c r="A8" s="11"/>
      <c r="N8" s="15"/>
    </row>
    <row r="9" spans="1:21" s="12" customFormat="1" ht="12.75" customHeight="1" x14ac:dyDescent="0.2">
      <c r="A9" s="11"/>
      <c r="N9" s="15"/>
    </row>
    <row r="10" spans="1:21" s="12" customFormat="1" ht="12.75" customHeight="1" x14ac:dyDescent="0.2">
      <c r="A10" s="11"/>
      <c r="N10" s="15"/>
    </row>
    <row r="11" spans="1:21" s="12" customFormat="1" ht="12.75" customHeight="1" x14ac:dyDescent="0.2">
      <c r="A11" s="11"/>
      <c r="N11" s="15"/>
      <c r="P11" s="127" t="s">
        <v>78</v>
      </c>
      <c r="R11" s="12" t="s">
        <v>110</v>
      </c>
    </row>
    <row r="12" spans="1:21" s="12" customFormat="1" ht="12.75" customHeight="1" x14ac:dyDescent="0.2">
      <c r="A12" s="11"/>
      <c r="N12" s="15"/>
    </row>
    <row r="13" spans="1:21" s="12" customFormat="1" ht="12.75" customHeight="1" x14ac:dyDescent="0.2">
      <c r="A13" s="11"/>
      <c r="N13" s="15"/>
      <c r="P13" s="401" t="s">
        <v>10</v>
      </c>
      <c r="Q13" s="401"/>
      <c r="R13" s="130">
        <f>Sheet1!I12</f>
        <v>41.169999999999995</v>
      </c>
      <c r="S13" s="129"/>
      <c r="T13" s="133"/>
      <c r="U13" s="133"/>
    </row>
    <row r="14" spans="1:21" s="12" customFormat="1" ht="12.75" customHeight="1" x14ac:dyDescent="0.2">
      <c r="A14" s="11"/>
      <c r="N14" s="15"/>
      <c r="P14" s="404" t="s">
        <v>11</v>
      </c>
      <c r="Q14" s="399"/>
      <c r="R14" s="130">
        <f>Sheet1!I13</f>
        <v>46.83</v>
      </c>
      <c r="S14" s="133"/>
      <c r="T14" s="119"/>
      <c r="U14" s="133"/>
    </row>
    <row r="15" spans="1:21" s="12" customFormat="1" ht="12.75" customHeight="1" x14ac:dyDescent="0.2">
      <c r="A15" s="11"/>
      <c r="N15" s="15"/>
      <c r="P15" s="404" t="s">
        <v>14</v>
      </c>
      <c r="Q15" s="399"/>
      <c r="R15" s="118">
        <f>Sheet1!$I$15</f>
        <v>51</v>
      </c>
      <c r="S15" s="133"/>
      <c r="T15" s="119"/>
      <c r="U15" s="133"/>
    </row>
    <row r="16" spans="1:21" s="12" customFormat="1" ht="12.75" customHeight="1" x14ac:dyDescent="0.2">
      <c r="A16" s="11"/>
      <c r="N16" s="15"/>
      <c r="S16" s="116"/>
      <c r="T16" s="129"/>
    </row>
    <row r="17" spans="1:20" s="12" customFormat="1" ht="12.75" customHeight="1" x14ac:dyDescent="0.2">
      <c r="A17" s="11"/>
      <c r="N17" s="15"/>
      <c r="S17" s="132"/>
      <c r="T17" s="119"/>
    </row>
    <row r="18" spans="1:20" s="12" customFormat="1" ht="12.75" customHeight="1" x14ac:dyDescent="0.2">
      <c r="A18" s="11"/>
      <c r="N18" s="15"/>
      <c r="S18" s="132"/>
      <c r="T18" s="129"/>
    </row>
    <row r="19" spans="1:20" s="12" customFormat="1" ht="12.75" customHeight="1" x14ac:dyDescent="0.2">
      <c r="A19" s="11"/>
      <c r="N19" s="15"/>
      <c r="S19" s="116"/>
    </row>
    <row r="20" spans="1:20" s="12" customFormat="1" ht="12.75" customHeight="1" x14ac:dyDescent="0.2">
      <c r="A20" s="11"/>
      <c r="N20" s="15"/>
      <c r="P20" s="404" t="s">
        <v>8</v>
      </c>
      <c r="Q20" s="399"/>
      <c r="R20" s="117">
        <f>Sheet1!$C$22</f>
        <v>5.7999999999999972</v>
      </c>
    </row>
    <row r="21" spans="1:20" s="12" customFormat="1" ht="12.75" customHeight="1" x14ac:dyDescent="0.2">
      <c r="A21" s="11"/>
      <c r="N21" s="15"/>
      <c r="P21" s="404" t="s">
        <v>78</v>
      </c>
      <c r="Q21" s="399"/>
      <c r="R21" s="67" t="b">
        <f>R20=0</f>
        <v>0</v>
      </c>
    </row>
    <row r="22" spans="1:20" s="12" customFormat="1" ht="12.75" customHeight="1" x14ac:dyDescent="0.2">
      <c r="A22" s="11"/>
      <c r="N22" s="15"/>
    </row>
    <row r="23" spans="1:20" s="12" customFormat="1" ht="12.75" customHeight="1" x14ac:dyDescent="0.2">
      <c r="A23" s="11"/>
      <c r="N23" s="15"/>
    </row>
    <row r="24" spans="1:20" s="12" customFormat="1" ht="12.75" customHeight="1" x14ac:dyDescent="0.2">
      <c r="A24" s="11"/>
      <c r="N24" s="15"/>
    </row>
    <row r="25" spans="1:20" s="12" customFormat="1" ht="12.75" customHeight="1" thickBot="1" x14ac:dyDescent="0.25">
      <c r="A25" s="11"/>
      <c r="N25" s="15"/>
    </row>
    <row r="26" spans="1:20" s="12" customFormat="1" ht="12.75" customHeight="1" thickTop="1" x14ac:dyDescent="0.2">
      <c r="A26" s="11"/>
      <c r="N26" s="15"/>
      <c r="P26" s="405" t="s">
        <v>115</v>
      </c>
      <c r="Q26" s="406"/>
      <c r="R26" s="407"/>
    </row>
    <row r="27" spans="1:20" s="12" customFormat="1" ht="12.75" customHeight="1" x14ac:dyDescent="0.2">
      <c r="A27" s="11"/>
      <c r="N27" s="15"/>
      <c r="P27" s="408"/>
      <c r="Q27" s="409"/>
      <c r="R27" s="410"/>
    </row>
    <row r="28" spans="1:20" s="12" customFormat="1" ht="12.75" customHeight="1" thickBot="1" x14ac:dyDescent="0.25">
      <c r="A28" s="11"/>
      <c r="N28" s="15"/>
      <c r="P28" s="464" t="s">
        <v>116</v>
      </c>
      <c r="Q28" s="465"/>
      <c r="R28" s="137" t="s">
        <v>117</v>
      </c>
    </row>
    <row r="29" spans="1:20" s="12" customFormat="1" ht="12.75" customHeight="1" thickTop="1" x14ac:dyDescent="0.2">
      <c r="A29" s="11"/>
      <c r="N29" s="15"/>
    </row>
    <row r="30" spans="1:20" s="12" customFormat="1" ht="12.75" customHeight="1" x14ac:dyDescent="0.2">
      <c r="A30" s="11"/>
      <c r="N30" s="15"/>
    </row>
    <row r="31" spans="1:20" s="12" customFormat="1" ht="12.75" customHeight="1" x14ac:dyDescent="0.2">
      <c r="A31" s="11"/>
      <c r="N31" s="15"/>
    </row>
    <row r="32" spans="1:20" s="12" customFormat="1" ht="12.75" customHeight="1" x14ac:dyDescent="0.2">
      <c r="A32" s="11"/>
      <c r="N32" s="15"/>
    </row>
    <row r="33" spans="1:14" s="12" customFormat="1" ht="12.75" customHeight="1" x14ac:dyDescent="0.2">
      <c r="A33" s="11"/>
      <c r="N33" s="15"/>
    </row>
    <row r="34" spans="1:14" s="12" customFormat="1" ht="12.75" customHeight="1" x14ac:dyDescent="0.2">
      <c r="A34" s="11"/>
      <c r="N34" s="15"/>
    </row>
    <row r="35" spans="1:14" s="12" customFormat="1" ht="12.75" customHeight="1" x14ac:dyDescent="0.2">
      <c r="A35" s="11"/>
      <c r="N35" s="15"/>
    </row>
    <row r="36" spans="1:14" s="12" customFormat="1" ht="12.75" customHeight="1" x14ac:dyDescent="0.2">
      <c r="A36" s="11"/>
      <c r="N36" s="15"/>
    </row>
    <row r="37" spans="1:14" s="12" customFormat="1" ht="12.75" customHeight="1" x14ac:dyDescent="0.2">
      <c r="A37" s="11"/>
      <c r="N37" s="15"/>
    </row>
    <row r="38" spans="1:14" ht="12.75" customHeight="1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ht="12.75" customHeight="1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ht="12.75" customHeight="1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ht="12.75" customHeight="1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ht="12.75" customHeight="1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12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ht="12.75" customHeight="1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ht="12.75" customHeight="1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ht="12.75" customHeight="1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.75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.75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47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  <c r="S49" s="208"/>
      <c r="T49" s="208"/>
      <c r="U49" s="208"/>
      <c r="V49" s="208"/>
      <c r="W49" s="208"/>
      <c r="X49" s="208"/>
      <c r="Y49" s="208"/>
      <c r="Z49" s="208"/>
      <c r="AA49" s="208"/>
      <c r="AB49" s="208"/>
      <c r="AC49" s="208"/>
      <c r="AD49" s="208"/>
      <c r="AE49" s="208"/>
      <c r="AF49" s="208"/>
      <c r="AG49" s="208"/>
      <c r="AH49" s="208"/>
      <c r="AI49" s="208"/>
      <c r="AJ49" s="208"/>
      <c r="AK49" s="208"/>
      <c r="AL49" s="208"/>
      <c r="AM49" s="208"/>
      <c r="AN49" s="208"/>
      <c r="AO49" s="208"/>
      <c r="AP49" s="208"/>
      <c r="AQ49" s="208"/>
      <c r="AR49" s="208"/>
      <c r="AS49" s="208"/>
      <c r="AT49" s="208"/>
      <c r="AU49" s="208"/>
    </row>
    <row r="50" spans="1:47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  <c r="S50" s="208"/>
      <c r="T50" s="208"/>
      <c r="U50" s="208"/>
      <c r="V50" s="208"/>
      <c r="W50" s="208"/>
      <c r="X50" s="208"/>
      <c r="Y50" s="208"/>
      <c r="Z50" s="208"/>
      <c r="AA50" s="208"/>
      <c r="AB50" s="208"/>
      <c r="AC50" s="208"/>
      <c r="AD50" s="208"/>
      <c r="AE50" s="208"/>
      <c r="AF50" s="208"/>
      <c r="AG50" s="208"/>
      <c r="AH50" s="208"/>
      <c r="AI50" s="208"/>
      <c r="AJ50" s="208"/>
      <c r="AK50" s="208"/>
      <c r="AL50" s="208"/>
      <c r="AM50" s="208"/>
      <c r="AN50" s="208"/>
      <c r="AO50" s="208"/>
      <c r="AP50" s="208"/>
      <c r="AQ50" s="208"/>
      <c r="AR50" s="208"/>
      <c r="AS50" s="208"/>
      <c r="AT50" s="208"/>
      <c r="AU50" s="208"/>
    </row>
    <row r="51" spans="1:47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  <c r="S51" s="208"/>
      <c r="T51" s="208"/>
      <c r="U51" s="208"/>
      <c r="V51" s="208"/>
      <c r="W51" s="208"/>
      <c r="X51" s="208"/>
      <c r="Y51" s="208"/>
      <c r="Z51" s="208"/>
      <c r="AA51" s="208"/>
      <c r="AB51" s="208"/>
      <c r="AC51" s="208"/>
      <c r="AD51" s="208"/>
      <c r="AE51" s="208"/>
      <c r="AF51" s="208"/>
      <c r="AG51" s="208"/>
      <c r="AH51" s="208"/>
      <c r="AI51" s="208"/>
      <c r="AJ51" s="208"/>
      <c r="AK51" s="208"/>
      <c r="AL51" s="208"/>
      <c r="AM51" s="208"/>
      <c r="AN51" s="208"/>
      <c r="AO51" s="208"/>
      <c r="AP51" s="208"/>
      <c r="AQ51" s="208"/>
      <c r="AR51" s="208"/>
      <c r="AS51" s="208"/>
      <c r="AT51" s="208"/>
      <c r="AU51" s="208"/>
    </row>
    <row r="52" spans="1:47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  <c r="S52" s="208"/>
      <c r="T52" s="208"/>
      <c r="U52" s="208"/>
      <c r="V52" s="208"/>
      <c r="W52" s="208"/>
      <c r="X52" s="208"/>
      <c r="Y52" s="208"/>
      <c r="Z52" s="208"/>
      <c r="AA52" s="208"/>
      <c r="AB52" s="208"/>
      <c r="AC52" s="208"/>
      <c r="AD52" s="208"/>
      <c r="AE52" s="208"/>
      <c r="AF52" s="208"/>
      <c r="AG52" s="208"/>
      <c r="AH52" s="208"/>
      <c r="AI52" s="208"/>
      <c r="AJ52" s="208"/>
      <c r="AK52" s="208"/>
      <c r="AL52" s="208"/>
      <c r="AM52" s="208"/>
      <c r="AN52" s="208"/>
      <c r="AO52" s="208"/>
      <c r="AP52" s="208"/>
      <c r="AQ52" s="208"/>
      <c r="AR52" s="208"/>
      <c r="AS52" s="208"/>
      <c r="AT52" s="208"/>
      <c r="AU52" s="208"/>
    </row>
    <row r="53" spans="1:47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  <c r="S53" s="208"/>
      <c r="T53" s="208"/>
      <c r="U53" s="208"/>
      <c r="V53" s="208"/>
      <c r="W53" s="208"/>
      <c r="X53" s="208"/>
      <c r="Y53" s="208"/>
      <c r="Z53" s="208"/>
      <c r="AA53" s="208"/>
      <c r="AB53" s="208"/>
      <c r="AC53" s="208"/>
      <c r="AD53" s="208"/>
      <c r="AE53" s="208"/>
      <c r="AF53" s="208"/>
      <c r="AG53" s="208"/>
      <c r="AH53" s="208"/>
      <c r="AI53" s="208"/>
      <c r="AJ53" s="208"/>
      <c r="AK53" s="208"/>
      <c r="AL53" s="208"/>
      <c r="AM53" s="208"/>
      <c r="AN53" s="208"/>
      <c r="AO53" s="208"/>
      <c r="AP53" s="208"/>
      <c r="AQ53" s="208"/>
      <c r="AR53" s="208"/>
      <c r="AS53" s="208"/>
      <c r="AT53" s="208"/>
      <c r="AU53" s="208"/>
    </row>
    <row r="54" spans="1:47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  <c r="S54" s="208"/>
      <c r="T54" s="208"/>
      <c r="U54" s="208"/>
      <c r="V54" s="208"/>
      <c r="W54" s="208"/>
      <c r="X54" s="208"/>
      <c r="Y54" s="208"/>
      <c r="Z54" s="208"/>
      <c r="AA54" s="208"/>
      <c r="AB54" s="208"/>
      <c r="AC54" s="208"/>
      <c r="AD54" s="208"/>
      <c r="AE54" s="208"/>
      <c r="AF54" s="208"/>
      <c r="AG54" s="208"/>
      <c r="AH54" s="208"/>
      <c r="AI54" s="208"/>
      <c r="AJ54" s="208"/>
      <c r="AK54" s="208"/>
      <c r="AL54" s="208"/>
      <c r="AM54" s="208"/>
      <c r="AN54" s="208"/>
      <c r="AO54" s="208"/>
      <c r="AP54" s="208"/>
      <c r="AQ54" s="208"/>
      <c r="AR54" s="208"/>
      <c r="AS54" s="208"/>
      <c r="AT54" s="208"/>
      <c r="AU54" s="208"/>
    </row>
    <row r="55" spans="1:47" s="122" customFormat="1" ht="20.100000000000001" customHeight="1" x14ac:dyDescent="0.2">
      <c r="A55" s="367"/>
      <c r="B55" s="368"/>
      <c r="C55" s="369"/>
      <c r="D55" s="340" t="s">
        <v>104</v>
      </c>
      <c r="E55" s="341"/>
      <c r="F55" s="341"/>
      <c r="G55" s="341"/>
      <c r="H55" s="341"/>
      <c r="I55" s="342"/>
      <c r="J55" s="318" t="s">
        <v>74</v>
      </c>
      <c r="K55" s="370"/>
      <c r="L55" s="371"/>
      <c r="M55" s="318">
        <v>3</v>
      </c>
      <c r="N55" s="319"/>
      <c r="S55" s="208"/>
      <c r="T55" s="208"/>
      <c r="U55" s="208"/>
      <c r="V55" s="208"/>
      <c r="W55" s="208"/>
      <c r="X55" s="208"/>
      <c r="Y55" s="208"/>
      <c r="Z55" s="208"/>
      <c r="AA55" s="208"/>
      <c r="AB55" s="208"/>
      <c r="AC55" s="208"/>
      <c r="AD55" s="208"/>
      <c r="AE55" s="208"/>
      <c r="AF55" s="208"/>
      <c r="AG55" s="208"/>
      <c r="AH55" s="208"/>
      <c r="AI55" s="208"/>
      <c r="AJ55" s="208"/>
      <c r="AK55" s="208"/>
      <c r="AL55" s="208"/>
      <c r="AM55" s="208"/>
      <c r="AN55" s="208"/>
      <c r="AO55" s="208"/>
      <c r="AP55" s="208"/>
      <c r="AQ55" s="208"/>
      <c r="AR55" s="208"/>
      <c r="AS55" s="208"/>
      <c r="AT55" s="208"/>
      <c r="AU55" s="208"/>
    </row>
    <row r="56" spans="1:47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  <c r="S56" s="208"/>
      <c r="T56" s="208"/>
      <c r="U56" s="208"/>
      <c r="V56" s="208"/>
      <c r="W56" s="208"/>
      <c r="X56" s="208"/>
      <c r="Y56" s="208"/>
      <c r="Z56" s="208"/>
      <c r="AA56" s="208"/>
      <c r="AB56" s="208"/>
      <c r="AC56" s="208"/>
      <c r="AD56" s="208"/>
      <c r="AE56" s="208"/>
      <c r="AF56" s="208"/>
      <c r="AG56" s="208"/>
      <c r="AH56" s="208"/>
      <c r="AI56" s="208"/>
      <c r="AJ56" s="208"/>
      <c r="AK56" s="208"/>
      <c r="AL56" s="208"/>
      <c r="AM56" s="208"/>
      <c r="AN56" s="208"/>
      <c r="AO56" s="208"/>
      <c r="AP56" s="208"/>
      <c r="AQ56" s="208"/>
      <c r="AR56" s="208"/>
      <c r="AS56" s="208"/>
      <c r="AT56" s="208"/>
      <c r="AU56" s="208"/>
    </row>
    <row r="57" spans="1:47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  <c r="S57" s="208"/>
      <c r="T57" s="208"/>
      <c r="U57" s="208"/>
      <c r="V57" s="208"/>
      <c r="W57" s="208"/>
      <c r="X57" s="208"/>
      <c r="Y57" s="208"/>
      <c r="Z57" s="208"/>
      <c r="AA57" s="208"/>
      <c r="AB57" s="208"/>
      <c r="AC57" s="208"/>
      <c r="AD57" s="208"/>
      <c r="AE57" s="208"/>
      <c r="AF57" s="208"/>
      <c r="AG57" s="208"/>
      <c r="AH57" s="208"/>
      <c r="AI57" s="208"/>
      <c r="AJ57" s="208"/>
      <c r="AK57" s="208"/>
      <c r="AL57" s="208"/>
      <c r="AM57" s="208"/>
      <c r="AN57" s="208"/>
      <c r="AO57" s="208"/>
      <c r="AP57" s="208"/>
      <c r="AQ57" s="208"/>
      <c r="AR57" s="208"/>
      <c r="AS57" s="208"/>
      <c r="AT57" s="208"/>
      <c r="AU57" s="208"/>
    </row>
    <row r="58" spans="1:47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  <c r="S58" s="208"/>
      <c r="T58" s="208"/>
      <c r="U58" s="208"/>
      <c r="V58" s="208"/>
      <c r="W58" s="208"/>
      <c r="X58" s="208"/>
      <c r="Y58" s="208"/>
      <c r="Z58" s="208"/>
      <c r="AA58" s="208"/>
      <c r="AB58" s="208"/>
      <c r="AC58" s="208"/>
      <c r="AD58" s="208"/>
      <c r="AE58" s="208"/>
      <c r="AF58" s="208"/>
      <c r="AG58" s="208"/>
      <c r="AH58" s="208"/>
      <c r="AI58" s="208"/>
      <c r="AJ58" s="208"/>
      <c r="AK58" s="208"/>
      <c r="AL58" s="208"/>
      <c r="AM58" s="208"/>
      <c r="AN58" s="208"/>
      <c r="AO58" s="208"/>
      <c r="AP58" s="208"/>
      <c r="AQ58" s="208"/>
      <c r="AR58" s="208"/>
      <c r="AS58" s="208"/>
      <c r="AT58" s="208"/>
      <c r="AU58" s="208"/>
    </row>
    <row r="59" spans="1:47" s="122" customFormat="1" ht="9.9499999999999993" customHeight="1" x14ac:dyDescent="0.2">
      <c r="A59" s="393" t="str">
        <f>Sheet1!$C$27</f>
        <v>KEE</v>
      </c>
      <c r="B59" s="394"/>
      <c r="C59" s="39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  <c r="S59" s="208"/>
      <c r="T59" s="208"/>
      <c r="U59" s="208"/>
      <c r="V59" s="208"/>
      <c r="W59" s="208"/>
      <c r="X59" s="208"/>
      <c r="Y59" s="208"/>
      <c r="Z59" s="208"/>
      <c r="AA59" s="208"/>
      <c r="AB59" s="208"/>
      <c r="AC59" s="208"/>
      <c r="AD59" s="208"/>
      <c r="AE59" s="208"/>
      <c r="AF59" s="208"/>
      <c r="AG59" s="208"/>
      <c r="AH59" s="208"/>
      <c r="AI59" s="208"/>
      <c r="AJ59" s="208"/>
      <c r="AK59" s="208"/>
      <c r="AL59" s="208"/>
      <c r="AM59" s="208"/>
      <c r="AN59" s="208"/>
      <c r="AO59" s="208"/>
      <c r="AP59" s="208"/>
      <c r="AQ59" s="208"/>
      <c r="AR59" s="208"/>
      <c r="AS59" s="208"/>
      <c r="AT59" s="208"/>
      <c r="AU59" s="208"/>
    </row>
    <row r="60" spans="1:47" s="122" customFormat="1" ht="12.95" customHeight="1" x14ac:dyDescent="0.2">
      <c r="A60" s="331"/>
      <c r="B60" s="332"/>
      <c r="C60" s="333"/>
      <c r="D60" s="396">
        <f ca="1">Sheet1!$J$1</f>
        <v>43987.692111226854</v>
      </c>
      <c r="E60" s="397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  <c r="S60" s="208"/>
      <c r="T60" s="208"/>
      <c r="U60" s="208"/>
      <c r="V60" s="208"/>
      <c r="W60" s="208"/>
      <c r="X60" s="208"/>
      <c r="Y60" s="208"/>
      <c r="Z60" s="208"/>
      <c r="AA60" s="208"/>
      <c r="AB60" s="208"/>
      <c r="AC60" s="208"/>
      <c r="AD60" s="208"/>
      <c r="AE60" s="208"/>
      <c r="AF60" s="208"/>
      <c r="AG60" s="208"/>
      <c r="AH60" s="208"/>
      <c r="AI60" s="208"/>
      <c r="AJ60" s="208"/>
      <c r="AK60" s="208"/>
      <c r="AL60" s="208"/>
      <c r="AM60" s="208"/>
      <c r="AN60" s="208"/>
      <c r="AO60" s="208"/>
      <c r="AP60" s="208"/>
      <c r="AQ60" s="208"/>
      <c r="AR60" s="208"/>
      <c r="AS60" s="208"/>
      <c r="AT60" s="208"/>
      <c r="AU60" s="208"/>
    </row>
    <row r="61" spans="1:47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462"/>
      <c r="L61" s="463"/>
      <c r="M61" s="463"/>
      <c r="N61" s="463"/>
      <c r="S61" s="208"/>
      <c r="T61" s="208"/>
      <c r="U61" s="208"/>
      <c r="V61" s="208"/>
      <c r="W61" s="208"/>
      <c r="X61" s="208"/>
      <c r="Y61" s="208"/>
      <c r="Z61" s="208"/>
      <c r="AA61" s="208"/>
      <c r="AB61" s="208"/>
      <c r="AC61" s="208"/>
      <c r="AD61" s="208"/>
      <c r="AE61" s="208"/>
      <c r="AF61" s="208"/>
      <c r="AG61" s="208"/>
      <c r="AH61" s="208"/>
      <c r="AI61" s="208"/>
      <c r="AJ61" s="208"/>
      <c r="AK61" s="208"/>
      <c r="AL61" s="208"/>
      <c r="AM61" s="208"/>
      <c r="AN61" s="208"/>
      <c r="AO61" s="208"/>
      <c r="AP61" s="208"/>
      <c r="AQ61" s="208"/>
      <c r="AR61" s="208"/>
      <c r="AS61" s="208"/>
      <c r="AT61" s="208"/>
      <c r="AU61" s="208"/>
    </row>
    <row r="62" spans="1:47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4">
    <mergeCell ref="P13:Q13"/>
    <mergeCell ref="M62:N62"/>
    <mergeCell ref="F59:G59"/>
    <mergeCell ref="K61:N61"/>
    <mergeCell ref="M57:N57"/>
    <mergeCell ref="J60:L60"/>
    <mergeCell ref="F60:I60"/>
    <mergeCell ref="J58:N59"/>
    <mergeCell ref="P20:Q20"/>
    <mergeCell ref="P14:Q14"/>
    <mergeCell ref="P21:Q21"/>
    <mergeCell ref="P26:R27"/>
    <mergeCell ref="P28:Q28"/>
    <mergeCell ref="P15:Q15"/>
    <mergeCell ref="G2:J2"/>
    <mergeCell ref="B49:D49"/>
    <mergeCell ref="B50:D50"/>
    <mergeCell ref="B51:D51"/>
    <mergeCell ref="A53:F53"/>
    <mergeCell ref="B52:D52"/>
    <mergeCell ref="A58:C58"/>
    <mergeCell ref="A59:C60"/>
    <mergeCell ref="J54:L54"/>
    <mergeCell ref="A57:C57"/>
    <mergeCell ref="A54:C54"/>
    <mergeCell ref="D60:E60"/>
    <mergeCell ref="J57:K57"/>
    <mergeCell ref="D55:I55"/>
    <mergeCell ref="D56:I56"/>
    <mergeCell ref="A56:C56"/>
    <mergeCell ref="A55:C55"/>
    <mergeCell ref="J56:N56"/>
    <mergeCell ref="J55:L55"/>
    <mergeCell ref="M55:N55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indexed="43"/>
  </sheetPr>
  <dimension ref="A1:U120"/>
  <sheetViews>
    <sheetView workbookViewId="0">
      <selection activeCell="C27" sqref="C27"/>
    </sheetView>
  </sheetViews>
  <sheetFormatPr defaultRowHeight="12.75" x14ac:dyDescent="0.2"/>
  <cols>
    <col min="1" max="1" width="6.28515625" style="12" customWidth="1"/>
    <col min="2" max="2" width="6.7109375" style="121" customWidth="1"/>
    <col min="3" max="3" width="11.140625" style="121" customWidth="1"/>
    <col min="4" max="4" width="14.85546875" style="121" customWidth="1"/>
    <col min="5" max="5" width="7.140625" style="121" customWidth="1"/>
    <col min="6" max="6" width="7.42578125" style="121" customWidth="1"/>
    <col min="7" max="8" width="3.7109375" style="121" customWidth="1"/>
    <col min="9" max="9" width="4.7109375" style="121" customWidth="1"/>
    <col min="10" max="10" width="2.28515625" style="121" customWidth="1"/>
    <col min="11" max="14" width="6.85546875" style="121" customWidth="1"/>
    <col min="15" max="16384" width="9.140625" style="121"/>
  </cols>
  <sheetData>
    <row r="1" spans="1:21" s="12" customFormat="1" ht="12.75" customHeigh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</row>
    <row r="2" spans="1:21" s="12" customFormat="1" ht="12.75" customHeight="1" x14ac:dyDescent="0.25">
      <c r="A2" s="11"/>
      <c r="G2" s="381"/>
      <c r="H2" s="381"/>
      <c r="I2" s="381"/>
      <c r="J2" s="381"/>
      <c r="K2" s="13"/>
      <c r="L2" s="14"/>
      <c r="N2" s="15"/>
    </row>
    <row r="3" spans="1:21" s="12" customFormat="1" ht="12.75" customHeight="1" x14ac:dyDescent="0.2">
      <c r="A3" s="11"/>
      <c r="D3" s="16"/>
      <c r="N3" s="15"/>
    </row>
    <row r="4" spans="1:21" s="12" customFormat="1" ht="12.75" customHeight="1" x14ac:dyDescent="0.2">
      <c r="A4" s="11"/>
      <c r="N4" s="15"/>
    </row>
    <row r="5" spans="1:21" s="12" customFormat="1" ht="12.75" customHeight="1" x14ac:dyDescent="0.2">
      <c r="A5" s="11"/>
      <c r="N5" s="15"/>
    </row>
    <row r="6" spans="1:21" s="12" customFormat="1" ht="12.75" customHeight="1" x14ac:dyDescent="0.2">
      <c r="A6" s="11"/>
      <c r="N6" s="15"/>
    </row>
    <row r="7" spans="1:21" s="12" customFormat="1" ht="12.75" customHeight="1" x14ac:dyDescent="0.2">
      <c r="A7" s="11"/>
      <c r="N7" s="15"/>
    </row>
    <row r="8" spans="1:21" s="12" customFormat="1" ht="12.75" customHeight="1" x14ac:dyDescent="0.2">
      <c r="A8" s="11"/>
      <c r="N8" s="15"/>
    </row>
    <row r="9" spans="1:21" s="12" customFormat="1" ht="12.75" customHeight="1" x14ac:dyDescent="0.2">
      <c r="A9" s="11"/>
      <c r="N9" s="15"/>
    </row>
    <row r="10" spans="1:21" s="12" customFormat="1" ht="12.75" customHeight="1" x14ac:dyDescent="0.2">
      <c r="A10" s="11"/>
      <c r="N10" s="15"/>
    </row>
    <row r="11" spans="1:21" s="12" customFormat="1" ht="12.75" customHeight="1" x14ac:dyDescent="0.2">
      <c r="A11" s="11"/>
      <c r="N11" s="15"/>
      <c r="P11" s="127" t="s">
        <v>126</v>
      </c>
      <c r="R11" s="12" t="s">
        <v>110</v>
      </c>
    </row>
    <row r="12" spans="1:21" s="12" customFormat="1" ht="12.75" customHeight="1" x14ac:dyDescent="0.2">
      <c r="A12" s="11"/>
      <c r="N12" s="15"/>
    </row>
    <row r="13" spans="1:21" s="12" customFormat="1" ht="12.75" customHeight="1" x14ac:dyDescent="0.2">
      <c r="A13" s="11"/>
      <c r="N13" s="15"/>
      <c r="P13" s="401" t="s">
        <v>10</v>
      </c>
      <c r="Q13" s="401"/>
      <c r="R13" s="144">
        <f>Sheet1!I12</f>
        <v>41.169999999999995</v>
      </c>
      <c r="S13" s="129"/>
      <c r="T13" s="133"/>
      <c r="U13" s="133"/>
    </row>
    <row r="14" spans="1:21" s="12" customFormat="1" ht="12.75" customHeight="1" x14ac:dyDescent="0.2">
      <c r="A14" s="11"/>
      <c r="N14" s="15"/>
      <c r="P14" s="404" t="s">
        <v>11</v>
      </c>
      <c r="Q14" s="399"/>
      <c r="R14" s="144">
        <f>Sheet1!I13</f>
        <v>46.83</v>
      </c>
      <c r="S14" s="133"/>
      <c r="T14" s="119"/>
      <c r="U14" s="133"/>
    </row>
    <row r="15" spans="1:21" s="12" customFormat="1" ht="12.75" customHeight="1" x14ac:dyDescent="0.2">
      <c r="A15" s="11"/>
      <c r="N15" s="15"/>
      <c r="P15" s="404" t="s">
        <v>4</v>
      </c>
      <c r="Q15" s="399"/>
      <c r="R15" s="131">
        <f>Sheet1!C7</f>
        <v>41</v>
      </c>
      <c r="S15" s="133"/>
      <c r="T15" s="119"/>
      <c r="U15" s="133"/>
    </row>
    <row r="16" spans="1:21" s="12" customFormat="1" ht="12.75" customHeight="1" x14ac:dyDescent="0.2">
      <c r="A16" s="11"/>
      <c r="N16" s="15"/>
      <c r="S16" s="116"/>
      <c r="T16" s="129"/>
    </row>
    <row r="17" spans="1:20" s="12" customFormat="1" ht="12.75" customHeight="1" x14ac:dyDescent="0.2">
      <c r="A17" s="11"/>
      <c r="N17" s="15"/>
      <c r="S17" s="132"/>
      <c r="T17" s="119"/>
    </row>
    <row r="18" spans="1:20" s="12" customFormat="1" ht="12.75" customHeight="1" x14ac:dyDescent="0.2">
      <c r="A18" s="11"/>
      <c r="N18" s="15"/>
      <c r="S18" s="132"/>
      <c r="T18" s="129"/>
    </row>
    <row r="19" spans="1:20" s="12" customFormat="1" ht="12.75" customHeight="1" x14ac:dyDescent="0.2">
      <c r="A19" s="11"/>
      <c r="N19" s="15"/>
      <c r="S19" s="116"/>
    </row>
    <row r="20" spans="1:20" s="12" customFormat="1" ht="12.75" customHeight="1" x14ac:dyDescent="0.2">
      <c r="A20" s="11"/>
      <c r="N20" s="15"/>
      <c r="P20" s="404" t="s">
        <v>8</v>
      </c>
      <c r="Q20" s="399"/>
      <c r="R20" s="117">
        <f>Sheet1!$C$22</f>
        <v>5.7999999999999972</v>
      </c>
    </row>
    <row r="21" spans="1:20" s="12" customFormat="1" ht="12.75" customHeight="1" x14ac:dyDescent="0.2">
      <c r="A21" s="11"/>
      <c r="N21" s="15"/>
      <c r="P21" s="404" t="s">
        <v>78</v>
      </c>
      <c r="Q21" s="399"/>
      <c r="R21" s="67" t="b">
        <f>R20=0</f>
        <v>0</v>
      </c>
    </row>
    <row r="22" spans="1:20" s="12" customFormat="1" ht="12.75" customHeight="1" x14ac:dyDescent="0.2">
      <c r="A22" s="11"/>
      <c r="N22" s="15"/>
    </row>
    <row r="23" spans="1:20" s="12" customFormat="1" ht="12.75" customHeight="1" x14ac:dyDescent="0.2">
      <c r="A23" s="11"/>
      <c r="N23" s="15"/>
    </row>
    <row r="24" spans="1:20" s="12" customFormat="1" ht="12.75" customHeight="1" x14ac:dyDescent="0.2">
      <c r="A24" s="11"/>
      <c r="N24" s="15"/>
    </row>
    <row r="25" spans="1:20" s="12" customFormat="1" ht="12.75" customHeight="1" thickBot="1" x14ac:dyDescent="0.25">
      <c r="A25" s="11"/>
      <c r="N25" s="15"/>
    </row>
    <row r="26" spans="1:20" s="12" customFormat="1" ht="12.75" customHeight="1" thickTop="1" x14ac:dyDescent="0.2">
      <c r="A26" s="11"/>
      <c r="N26" s="15"/>
      <c r="P26" s="405" t="s">
        <v>115</v>
      </c>
      <c r="Q26" s="406"/>
      <c r="R26" s="407"/>
    </row>
    <row r="27" spans="1:20" s="12" customFormat="1" ht="12.75" customHeight="1" x14ac:dyDescent="0.2">
      <c r="A27" s="11"/>
      <c r="N27" s="15"/>
      <c r="P27" s="408"/>
      <c r="Q27" s="409"/>
      <c r="R27" s="410"/>
    </row>
    <row r="28" spans="1:20" s="12" customFormat="1" ht="12.75" customHeight="1" thickBot="1" x14ac:dyDescent="0.25">
      <c r="A28" s="11"/>
      <c r="N28" s="15"/>
      <c r="P28" s="464" t="s">
        <v>127</v>
      </c>
      <c r="Q28" s="465"/>
      <c r="R28" s="137" t="s">
        <v>117</v>
      </c>
    </row>
    <row r="29" spans="1:20" s="12" customFormat="1" ht="12.75" customHeight="1" thickTop="1" x14ac:dyDescent="0.2">
      <c r="A29" s="11"/>
      <c r="N29" s="15"/>
    </row>
    <row r="30" spans="1:20" s="12" customFormat="1" ht="12.75" customHeight="1" x14ac:dyDescent="0.2">
      <c r="A30" s="11"/>
      <c r="N30" s="15"/>
    </row>
    <row r="31" spans="1:20" s="12" customFormat="1" ht="12.75" customHeight="1" x14ac:dyDescent="0.2">
      <c r="A31" s="11"/>
      <c r="N31" s="15"/>
    </row>
    <row r="32" spans="1:20" s="12" customFormat="1" ht="12.75" customHeight="1" x14ac:dyDescent="0.2">
      <c r="A32" s="11"/>
      <c r="N32" s="15"/>
    </row>
    <row r="33" spans="1:14" s="12" customFormat="1" ht="12.75" customHeight="1" x14ac:dyDescent="0.2">
      <c r="A33" s="11"/>
      <c r="N33" s="15"/>
    </row>
    <row r="34" spans="1:14" s="12" customFormat="1" ht="12.75" customHeight="1" x14ac:dyDescent="0.2">
      <c r="A34" s="11"/>
      <c r="N34" s="15"/>
    </row>
    <row r="35" spans="1:14" s="12" customFormat="1" ht="12.75" customHeight="1" x14ac:dyDescent="0.2">
      <c r="A35" s="11"/>
      <c r="N35" s="15"/>
    </row>
    <row r="36" spans="1:14" s="12" customFormat="1" ht="12.75" customHeight="1" x14ac:dyDescent="0.2">
      <c r="A36" s="11"/>
      <c r="N36" s="15"/>
    </row>
    <row r="37" spans="1:14" s="12" customFormat="1" ht="12.75" customHeight="1" x14ac:dyDescent="0.2">
      <c r="A37" s="11"/>
      <c r="N37" s="15"/>
    </row>
    <row r="38" spans="1:14" ht="12.75" customHeight="1" x14ac:dyDescent="0.2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5"/>
    </row>
    <row r="39" spans="1:14" ht="12.75" customHeight="1" x14ac:dyDescent="0.2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"/>
    </row>
    <row r="40" spans="1:14" ht="12.75" customHeight="1" x14ac:dyDescent="0.2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5"/>
    </row>
    <row r="41" spans="1:14" ht="12.75" customHeight="1" x14ac:dyDescent="0.2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9"/>
    </row>
    <row r="42" spans="1:14" ht="12.75" customHeight="1" x14ac:dyDescent="0.2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  <row r="43" spans="1:14" ht="12.75" customHeight="1" x14ac:dyDescent="0.2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9"/>
    </row>
    <row r="44" spans="1:14" ht="12.75" customHeight="1" x14ac:dyDescent="0.2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9"/>
    </row>
    <row r="45" spans="1:14" ht="12.75" customHeight="1" x14ac:dyDescent="0.2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9"/>
    </row>
    <row r="46" spans="1:14" ht="12.75" customHeight="1" x14ac:dyDescent="0.2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9"/>
    </row>
    <row r="47" spans="1:14" ht="12.75" customHeight="1" x14ac:dyDescent="0.2">
      <c r="A47" s="17"/>
      <c r="B47" s="18"/>
      <c r="C47" s="18"/>
      <c r="D47" s="18"/>
      <c r="E47" s="18"/>
      <c r="F47" s="18"/>
      <c r="G47" s="20"/>
      <c r="H47" s="21"/>
      <c r="I47" s="21"/>
      <c r="J47" s="21"/>
      <c r="K47" s="21"/>
      <c r="L47" s="21"/>
      <c r="M47" s="21"/>
      <c r="N47" s="22"/>
    </row>
    <row r="48" spans="1:14" ht="12.75" customHeight="1" x14ac:dyDescent="0.5">
      <c r="A48" s="17"/>
      <c r="B48" s="18"/>
      <c r="C48" s="18"/>
      <c r="D48" s="18"/>
      <c r="E48" s="18"/>
      <c r="F48" s="18"/>
      <c r="G48" s="20"/>
      <c r="H48" s="21"/>
      <c r="I48" s="23"/>
      <c r="J48" s="23"/>
      <c r="K48" s="21"/>
      <c r="L48" s="21"/>
      <c r="M48" s="21"/>
      <c r="N48" s="22"/>
    </row>
    <row r="49" spans="1:14" s="122" customFormat="1" ht="15.95" customHeight="1" x14ac:dyDescent="0.35">
      <c r="A49" s="24"/>
      <c r="B49" s="358"/>
      <c r="C49" s="359"/>
      <c r="D49" s="360"/>
      <c r="E49" s="24"/>
      <c r="F49" s="25"/>
      <c r="G49" s="26"/>
      <c r="H49" s="27"/>
      <c r="I49" s="28"/>
      <c r="J49" s="29"/>
      <c r="K49" s="27"/>
      <c r="L49" s="27"/>
      <c r="M49" s="27"/>
      <c r="N49" s="30"/>
    </row>
    <row r="50" spans="1:14" s="122" customFormat="1" ht="15.95" customHeight="1" x14ac:dyDescent="0.25">
      <c r="A50" s="24"/>
      <c r="B50" s="358"/>
      <c r="C50" s="359"/>
      <c r="D50" s="360"/>
      <c r="E50" s="24"/>
      <c r="F50" s="25"/>
      <c r="G50" s="26"/>
      <c r="H50" s="27"/>
      <c r="I50" s="27"/>
      <c r="J50" s="29"/>
      <c r="K50" s="31"/>
      <c r="L50" s="32"/>
      <c r="M50" s="27"/>
      <c r="N50" s="30"/>
    </row>
    <row r="51" spans="1:14" s="122" customFormat="1" ht="15.95" customHeight="1" x14ac:dyDescent="0.2">
      <c r="A51" s="24"/>
      <c r="B51" s="358"/>
      <c r="C51" s="359"/>
      <c r="D51" s="360"/>
      <c r="E51" s="24"/>
      <c r="F51" s="25"/>
      <c r="G51" s="26"/>
      <c r="H51" s="27"/>
      <c r="I51" s="27"/>
      <c r="J51" s="33"/>
      <c r="K51" s="34"/>
      <c r="L51" s="32"/>
      <c r="M51" s="27"/>
      <c r="N51" s="30"/>
    </row>
    <row r="52" spans="1:14" s="122" customFormat="1" ht="15.95" customHeight="1" x14ac:dyDescent="0.2">
      <c r="A52" s="35" t="s">
        <v>35</v>
      </c>
      <c r="B52" s="313" t="s">
        <v>53</v>
      </c>
      <c r="C52" s="314"/>
      <c r="D52" s="315"/>
      <c r="E52" s="37" t="s">
        <v>54</v>
      </c>
      <c r="F52" s="36" t="s">
        <v>55</v>
      </c>
      <c r="G52" s="38"/>
      <c r="H52" s="39"/>
      <c r="I52" s="27"/>
      <c r="J52" s="33"/>
      <c r="K52" s="34"/>
      <c r="L52" s="32"/>
      <c r="M52" s="27"/>
      <c r="N52" s="30"/>
    </row>
    <row r="53" spans="1:14" s="122" customFormat="1" ht="15.95" customHeight="1" x14ac:dyDescent="0.2">
      <c r="A53" s="313" t="s">
        <v>56</v>
      </c>
      <c r="B53" s="314"/>
      <c r="C53" s="314"/>
      <c r="D53" s="314"/>
      <c r="E53" s="314"/>
      <c r="F53" s="315"/>
      <c r="G53" s="40"/>
      <c r="H53" s="41"/>
      <c r="I53" s="27"/>
      <c r="J53" s="27"/>
      <c r="K53" s="42"/>
      <c r="L53" s="43"/>
      <c r="M53" s="44"/>
      <c r="N53" s="45"/>
    </row>
    <row r="54" spans="1:14" s="122" customFormat="1" ht="11.1" customHeight="1" x14ac:dyDescent="0.2">
      <c r="A54" s="334" t="s">
        <v>57</v>
      </c>
      <c r="B54" s="335"/>
      <c r="C54" s="336"/>
      <c r="D54" s="48" t="s">
        <v>58</v>
      </c>
      <c r="E54" s="49"/>
      <c r="F54" s="49"/>
      <c r="G54" s="49"/>
      <c r="H54" s="46"/>
      <c r="I54" s="47"/>
      <c r="J54" s="329" t="s">
        <v>59</v>
      </c>
      <c r="K54" s="329"/>
      <c r="L54" s="330"/>
      <c r="M54" s="50" t="s">
        <v>60</v>
      </c>
      <c r="N54" s="30"/>
    </row>
    <row r="55" spans="1:14" s="122" customFormat="1" ht="20.100000000000001" customHeight="1" x14ac:dyDescent="0.2">
      <c r="A55" s="367"/>
      <c r="B55" s="368"/>
      <c r="C55" s="369"/>
      <c r="D55" s="340" t="s">
        <v>104</v>
      </c>
      <c r="E55" s="341"/>
      <c r="F55" s="341"/>
      <c r="G55" s="341"/>
      <c r="H55" s="341"/>
      <c r="I55" s="342"/>
      <c r="J55" s="318" t="s">
        <v>74</v>
      </c>
      <c r="K55" s="370"/>
      <c r="L55" s="371"/>
      <c r="M55" s="318">
        <v>3</v>
      </c>
      <c r="N55" s="319"/>
    </row>
    <row r="56" spans="1:14" s="122" customFormat="1" ht="15.6" customHeight="1" x14ac:dyDescent="0.2">
      <c r="A56" s="346" t="s">
        <v>62</v>
      </c>
      <c r="B56" s="347"/>
      <c r="C56" s="348"/>
      <c r="D56" s="343"/>
      <c r="E56" s="344"/>
      <c r="F56" s="344"/>
      <c r="G56" s="344"/>
      <c r="H56" s="344"/>
      <c r="I56" s="345"/>
      <c r="J56" s="334" t="s">
        <v>63</v>
      </c>
      <c r="K56" s="335"/>
      <c r="L56" s="335"/>
      <c r="M56" s="335"/>
      <c r="N56" s="336"/>
    </row>
    <row r="57" spans="1:14" s="122" customFormat="1" ht="18.75" customHeight="1" x14ac:dyDescent="0.25">
      <c r="A57" s="331" t="str">
        <f>Sheet1!$C$28</f>
        <v xml:space="preserve"> </v>
      </c>
      <c r="B57" s="332"/>
      <c r="C57" s="333"/>
      <c r="D57" s="54"/>
      <c r="E57" s="55"/>
      <c r="F57" s="56"/>
      <c r="G57" s="57"/>
      <c r="H57" s="58"/>
      <c r="I57" s="59"/>
      <c r="J57" s="372"/>
      <c r="K57" s="373"/>
      <c r="L57" s="60"/>
      <c r="M57" s="365"/>
      <c r="N57" s="366"/>
    </row>
    <row r="58" spans="1:14" s="122" customFormat="1" ht="9.9499999999999993" customHeight="1" x14ac:dyDescent="0.2">
      <c r="A58" s="320" t="s">
        <v>64</v>
      </c>
      <c r="B58" s="321"/>
      <c r="C58" s="322"/>
      <c r="D58" s="51"/>
      <c r="E58" s="52"/>
      <c r="F58" s="52"/>
      <c r="G58" s="52"/>
      <c r="H58" s="52"/>
      <c r="I58" s="53"/>
      <c r="J58" s="352"/>
      <c r="K58" s="353"/>
      <c r="L58" s="353"/>
      <c r="M58" s="353"/>
      <c r="N58" s="354"/>
    </row>
    <row r="59" spans="1:14" s="122" customFormat="1" ht="9.9499999999999993" customHeight="1" x14ac:dyDescent="0.2">
      <c r="A59" s="393" t="str">
        <f>Sheet1!$C$27</f>
        <v>KEE</v>
      </c>
      <c r="B59" s="394"/>
      <c r="C59" s="395"/>
      <c r="D59" s="61" t="s">
        <v>65</v>
      </c>
      <c r="E59" s="62"/>
      <c r="F59" s="316" t="s">
        <v>66</v>
      </c>
      <c r="G59" s="317"/>
      <c r="H59" s="46"/>
      <c r="I59" s="63"/>
      <c r="J59" s="355"/>
      <c r="K59" s="356"/>
      <c r="L59" s="356"/>
      <c r="M59" s="356"/>
      <c r="N59" s="357"/>
    </row>
    <row r="60" spans="1:14" s="122" customFormat="1" ht="12.95" customHeight="1" x14ac:dyDescent="0.2">
      <c r="A60" s="331"/>
      <c r="B60" s="332"/>
      <c r="C60" s="333"/>
      <c r="D60" s="396">
        <f ca="1">Sheet1!$J$1</f>
        <v>43987.692111226854</v>
      </c>
      <c r="E60" s="397"/>
      <c r="F60" s="349" t="s">
        <v>67</v>
      </c>
      <c r="G60" s="350"/>
      <c r="H60" s="350"/>
      <c r="I60" s="351"/>
      <c r="J60" s="339" t="s">
        <v>68</v>
      </c>
      <c r="K60" s="339"/>
      <c r="L60" s="339"/>
      <c r="M60" s="64" t="s">
        <v>69</v>
      </c>
      <c r="N60" s="45"/>
    </row>
    <row r="61" spans="1:14" s="122" customFormat="1" ht="15" customHeight="1" x14ac:dyDescent="0.2">
      <c r="A61" s="123" t="s">
        <v>70</v>
      </c>
      <c r="B61" s="124"/>
      <c r="C61" s="124"/>
      <c r="D61" s="125"/>
      <c r="E61" s="124"/>
      <c r="F61" s="124"/>
      <c r="G61" s="124"/>
      <c r="H61" s="124"/>
      <c r="I61" s="124"/>
      <c r="J61" s="124"/>
      <c r="K61" s="462"/>
      <c r="L61" s="463"/>
      <c r="M61" s="463"/>
      <c r="N61" s="463"/>
    </row>
    <row r="62" spans="1:14" x14ac:dyDescent="0.2">
      <c r="M62" s="312"/>
      <c r="N62" s="312"/>
    </row>
    <row r="114" ht="12.75" customHeight="1" x14ac:dyDescent="0.2"/>
    <row r="115" ht="13.5" customHeight="1" x14ac:dyDescent="0.2"/>
    <row r="116" ht="15" customHeight="1" x14ac:dyDescent="0.2"/>
    <row r="117" ht="12.75" customHeight="1" x14ac:dyDescent="0.2"/>
    <row r="118" ht="13.5" customHeight="1" x14ac:dyDescent="0.2"/>
    <row r="120" ht="13.5" customHeight="1" x14ac:dyDescent="0.2"/>
  </sheetData>
  <sheetProtection selectLockedCells="1"/>
  <mergeCells count="34">
    <mergeCell ref="P15:Q15"/>
    <mergeCell ref="P13:Q13"/>
    <mergeCell ref="A55:C55"/>
    <mergeCell ref="D55:I55"/>
    <mergeCell ref="G2:J2"/>
    <mergeCell ref="B49:D49"/>
    <mergeCell ref="B50:D50"/>
    <mergeCell ref="B51:D51"/>
    <mergeCell ref="P14:Q14"/>
    <mergeCell ref="M55:N55"/>
    <mergeCell ref="P20:Q20"/>
    <mergeCell ref="A53:F53"/>
    <mergeCell ref="P26:R27"/>
    <mergeCell ref="P28:Q28"/>
    <mergeCell ref="P21:Q21"/>
    <mergeCell ref="B52:D52"/>
    <mergeCell ref="A58:C58"/>
    <mergeCell ref="A59:C60"/>
    <mergeCell ref="J54:L54"/>
    <mergeCell ref="A57:C57"/>
    <mergeCell ref="A54:C54"/>
    <mergeCell ref="D60:E60"/>
    <mergeCell ref="J55:L55"/>
    <mergeCell ref="A56:C56"/>
    <mergeCell ref="D56:I56"/>
    <mergeCell ref="F60:I60"/>
    <mergeCell ref="J58:N59"/>
    <mergeCell ref="J57:K57"/>
    <mergeCell ref="J56:N56"/>
    <mergeCell ref="M62:N62"/>
    <mergeCell ref="F59:G59"/>
    <mergeCell ref="K61:N61"/>
    <mergeCell ref="M57:N57"/>
    <mergeCell ref="J60:L60"/>
  </mergeCells>
  <phoneticPr fontId="35" type="noConversion"/>
  <pageMargins left="0.52" right="0.34" top="0.6" bottom="0.1" header="0.3" footer="0.1"/>
  <pageSetup paperSize="9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70"/>
  <sheetViews>
    <sheetView workbookViewId="0">
      <selection activeCell="N4" sqref="N4"/>
    </sheetView>
  </sheetViews>
  <sheetFormatPr defaultRowHeight="12.75" x14ac:dyDescent="0.2"/>
  <cols>
    <col min="1" max="1" width="21" bestFit="1" customWidth="1"/>
    <col min="2" max="2" width="14" customWidth="1"/>
    <col min="5" max="5" width="10.28515625" customWidth="1"/>
    <col min="6" max="6" width="16.42578125" customWidth="1"/>
    <col min="7" max="7" width="8.42578125" customWidth="1"/>
    <col min="12" max="12" width="18.140625" customWidth="1"/>
    <col min="13" max="13" width="7.5703125" customWidth="1"/>
    <col min="18" max="18" width="15.85546875" customWidth="1"/>
    <col min="24" max="24" width="16.28515625" customWidth="1"/>
  </cols>
  <sheetData>
    <row r="1" spans="1:24" ht="20.100000000000001" customHeight="1" thickBot="1" x14ac:dyDescent="0.25">
      <c r="A1" t="s">
        <v>30</v>
      </c>
    </row>
    <row r="2" spans="1:24" ht="20.100000000000001" customHeight="1" thickTop="1" x14ac:dyDescent="0.2">
      <c r="A2" t="s">
        <v>23</v>
      </c>
      <c r="B2" s="1">
        <f>ROUND(Sheet1!C18+0.025,1)</f>
        <v>56.4</v>
      </c>
      <c r="L2" s="250"/>
      <c r="M2" s="251" t="s">
        <v>6</v>
      </c>
      <c r="N2" s="252">
        <f>Sheet1!C9</f>
        <v>0.8</v>
      </c>
      <c r="O2" s="253"/>
      <c r="P2" s="263"/>
      <c r="Q2" s="263"/>
      <c r="R2" s="263"/>
      <c r="S2" s="263"/>
      <c r="T2" s="263"/>
      <c r="U2" s="254"/>
      <c r="V2" s="254"/>
    </row>
    <row r="3" spans="1:24" ht="20.100000000000001" customHeight="1" x14ac:dyDescent="0.25">
      <c r="A3" t="s">
        <v>24</v>
      </c>
      <c r="B3" s="1">
        <f>ROUND(Sheet1!C18-0.025,1)</f>
        <v>56.4</v>
      </c>
      <c r="F3" s="5" t="s">
        <v>38</v>
      </c>
      <c r="G3" s="5"/>
      <c r="H3" s="5"/>
      <c r="I3" s="5"/>
      <c r="J3" s="5"/>
      <c r="K3" s="5"/>
      <c r="L3" s="255"/>
      <c r="M3" s="256" t="s">
        <v>152</v>
      </c>
      <c r="N3" s="257">
        <f>Sheet1!C14</f>
        <v>0</v>
      </c>
      <c r="O3" s="258"/>
      <c r="P3" s="263"/>
      <c r="Q3" s="263"/>
      <c r="R3" s="263"/>
      <c r="S3" s="263"/>
      <c r="T3" s="263"/>
      <c r="U3" s="254"/>
      <c r="V3" s="254"/>
    </row>
    <row r="4" spans="1:24" ht="20.100000000000001" customHeight="1" x14ac:dyDescent="0.25">
      <c r="A4" t="s">
        <v>25</v>
      </c>
      <c r="B4">
        <f>IF(Sheet1!C22&gt;0.8,3,2.5)</f>
        <v>3</v>
      </c>
      <c r="E4" s="503"/>
      <c r="F4" s="4" t="s">
        <v>42</v>
      </c>
      <c r="G4" s="4"/>
      <c r="I4" s="5" t="s">
        <v>40</v>
      </c>
      <c r="J4" s="5"/>
      <c r="L4" s="255"/>
      <c r="M4" s="257"/>
      <c r="N4" s="257"/>
      <c r="O4" s="258"/>
      <c r="P4" s="263"/>
      <c r="Q4" s="263"/>
      <c r="R4" s="263"/>
      <c r="S4" s="263"/>
      <c r="T4" s="263"/>
      <c r="U4" s="254"/>
      <c r="V4" s="254"/>
    </row>
    <row r="5" spans="1:24" ht="20.100000000000001" customHeight="1" x14ac:dyDescent="0.25">
      <c r="A5" t="s">
        <v>26</v>
      </c>
      <c r="B5" s="1">
        <f>ROUND(Sheet1!C21+B4,-1)</f>
        <v>60</v>
      </c>
      <c r="E5" s="503"/>
      <c r="F5" s="4" t="s">
        <v>43</v>
      </c>
      <c r="G5" s="4"/>
      <c r="I5" s="5" t="s">
        <v>41</v>
      </c>
      <c r="J5" s="5"/>
      <c r="L5" s="259" t="s">
        <v>153</v>
      </c>
      <c r="M5" s="257">
        <v>0</v>
      </c>
      <c r="N5" s="257" t="str">
        <f>IF(T5=TRUE,"C-Value"," --- ")</f>
        <v xml:space="preserve"> --- </v>
      </c>
      <c r="O5" s="258"/>
      <c r="P5" s="263">
        <v>0.5</v>
      </c>
      <c r="Q5" s="263">
        <f>P5*$N$2</f>
        <v>0.4</v>
      </c>
      <c r="R5" s="263" t="b">
        <f>$N$3&gt;0</f>
        <v>0</v>
      </c>
      <c r="S5" s="263" t="b">
        <f>$N$3&lt;=Q5</f>
        <v>1</v>
      </c>
      <c r="T5" s="263" t="b">
        <f>R5=S5</f>
        <v>0</v>
      </c>
      <c r="U5" s="254"/>
      <c r="V5" s="254"/>
    </row>
    <row r="6" spans="1:24" ht="20.100000000000001" customHeight="1" x14ac:dyDescent="0.25">
      <c r="A6" t="s">
        <v>27</v>
      </c>
      <c r="B6" s="1">
        <f>ROUNDUP(Sheet1!C21+B4,-1)</f>
        <v>60</v>
      </c>
      <c r="F6" s="4" t="s">
        <v>154</v>
      </c>
      <c r="I6" s="5" t="s">
        <v>155</v>
      </c>
      <c r="L6" s="259" t="s">
        <v>156</v>
      </c>
      <c r="M6" s="257">
        <v>0.1</v>
      </c>
      <c r="N6" s="257" t="str">
        <f t="shared" ref="N6:N9" si="0">IF(T6=TRUE,"C-Value"," --- ")</f>
        <v xml:space="preserve"> --- </v>
      </c>
      <c r="O6" s="258"/>
      <c r="P6" s="263">
        <v>1</v>
      </c>
      <c r="Q6" s="263">
        <f t="shared" ref="Q6:Q9" si="1">P6*$N$2</f>
        <v>0.8</v>
      </c>
      <c r="R6" s="263" t="b">
        <f>$N$3&gt;Q5</f>
        <v>0</v>
      </c>
      <c r="S6" s="263" t="b">
        <f t="shared" ref="S6:S9" si="2">$N$3&lt;=Q6</f>
        <v>1</v>
      </c>
      <c r="T6" s="263" t="b">
        <f t="shared" ref="T6:T9" si="3">R6=S6</f>
        <v>0</v>
      </c>
      <c r="U6" s="254"/>
      <c r="V6" s="254"/>
    </row>
    <row r="7" spans="1:24" ht="20.100000000000001" customHeight="1" x14ac:dyDescent="0.25">
      <c r="A7" t="s">
        <v>28</v>
      </c>
      <c r="B7" s="1">
        <f>ROUND(Sheet1!C21+4.25,0)</f>
        <v>61</v>
      </c>
      <c r="F7" s="5" t="s">
        <v>39</v>
      </c>
      <c r="G7" s="5"/>
      <c r="L7" s="259" t="s">
        <v>157</v>
      </c>
      <c r="M7" s="257">
        <v>0.2</v>
      </c>
      <c r="N7" s="257" t="str">
        <f t="shared" si="0"/>
        <v xml:space="preserve"> --- </v>
      </c>
      <c r="O7" s="258"/>
      <c r="P7" s="263">
        <v>1.5</v>
      </c>
      <c r="Q7" s="263">
        <f t="shared" si="1"/>
        <v>1.2000000000000002</v>
      </c>
      <c r="R7" s="263" t="b">
        <f>$N$3&gt;Q6</f>
        <v>0</v>
      </c>
      <c r="S7" s="263" t="b">
        <f>$N$3&lt;=Q7</f>
        <v>1</v>
      </c>
      <c r="T7" s="263" t="b">
        <f t="shared" si="3"/>
        <v>0</v>
      </c>
      <c r="U7" s="254"/>
      <c r="V7" s="254"/>
    </row>
    <row r="8" spans="1:24" ht="20.100000000000001" customHeight="1" x14ac:dyDescent="0.25">
      <c r="A8" t="s">
        <v>29</v>
      </c>
      <c r="B8" s="1">
        <f>ROUND(Sheet1!C21+3.75,0)</f>
        <v>60</v>
      </c>
      <c r="E8" s="503"/>
      <c r="F8" s="4" t="s">
        <v>45</v>
      </c>
      <c r="G8" s="4"/>
      <c r="I8" s="5" t="s">
        <v>40</v>
      </c>
      <c r="J8" s="5"/>
      <c r="L8" s="259" t="s">
        <v>158</v>
      </c>
      <c r="M8" s="257">
        <v>0.3</v>
      </c>
      <c r="N8" s="257" t="str">
        <f t="shared" si="0"/>
        <v xml:space="preserve"> --- </v>
      </c>
      <c r="O8" s="258"/>
      <c r="P8" s="263">
        <v>2</v>
      </c>
      <c r="Q8" s="263">
        <f t="shared" si="1"/>
        <v>1.6</v>
      </c>
      <c r="R8" s="263" t="b">
        <f>$N$3&gt;Q7</f>
        <v>0</v>
      </c>
      <c r="S8" s="263" t="b">
        <f t="shared" si="2"/>
        <v>1</v>
      </c>
      <c r="T8" s="263" t="b">
        <f t="shared" si="3"/>
        <v>0</v>
      </c>
      <c r="U8" s="254"/>
      <c r="V8" s="254"/>
    </row>
    <row r="9" spans="1:24" ht="20.100000000000001" customHeight="1" x14ac:dyDescent="0.25">
      <c r="A9" t="s">
        <v>31</v>
      </c>
      <c r="B9" s="2" t="str">
        <f>IF(Sheet1!C15&gt;30.4,"FDA",IF(Sheet1!C15&gt;20.4,"FSC",IF(Sheet1!C15&gt;10.4,"FSB","FSA")))</f>
        <v>FDA</v>
      </c>
      <c r="E9" s="503"/>
      <c r="F9" s="4" t="s">
        <v>44</v>
      </c>
      <c r="G9" s="4"/>
      <c r="I9" s="5" t="s">
        <v>41</v>
      </c>
      <c r="J9" s="5"/>
      <c r="L9" s="259" t="s">
        <v>159</v>
      </c>
      <c r="M9" s="257">
        <v>0.4</v>
      </c>
      <c r="N9" s="257" t="str">
        <f t="shared" si="0"/>
        <v xml:space="preserve"> --- </v>
      </c>
      <c r="O9" s="258"/>
      <c r="P9" s="263">
        <v>2.5</v>
      </c>
      <c r="Q9" s="263">
        <f t="shared" si="1"/>
        <v>2</v>
      </c>
      <c r="R9" s="263" t="b">
        <f>$N$3&gt;Q8</f>
        <v>0</v>
      </c>
      <c r="S9" s="263" t="b">
        <f t="shared" si="2"/>
        <v>1</v>
      </c>
      <c r="T9" s="263" t="b">
        <f t="shared" si="3"/>
        <v>0</v>
      </c>
      <c r="U9" s="254"/>
      <c r="V9" s="254"/>
    </row>
    <row r="10" spans="1:24" ht="20.100000000000001" customHeight="1" thickBot="1" x14ac:dyDescent="0.25">
      <c r="A10" t="s">
        <v>32</v>
      </c>
      <c r="B10" s="2" t="str">
        <f>IF(Sheet1!C15&gt;150.56,"N.A.",IF(Sheet1!C15&gt;140.55,"FDL",IF(Sheet1!C15&gt;130.55,"FDK",IF(Sheet1!C15&gt;120.55,"FDJ","FDI"))))</f>
        <v>FDI</v>
      </c>
      <c r="L10" s="260" t="s">
        <v>160</v>
      </c>
      <c r="M10" s="261">
        <f>IF(N5="C-Value",0,IF(N6="C-Value",M6,IF(N7="C-Value",M7,IF(N8="C-Value",M8,M9))))</f>
        <v>0.4</v>
      </c>
      <c r="N10" s="261"/>
      <c r="O10" s="262"/>
      <c r="P10" s="263"/>
      <c r="Q10" s="263"/>
      <c r="R10" s="263"/>
      <c r="S10" s="263"/>
      <c r="T10" s="263"/>
      <c r="U10" s="254"/>
      <c r="V10" s="254"/>
    </row>
    <row r="11" spans="1:24" ht="20.100000000000001" customHeight="1" thickTop="1" x14ac:dyDescent="0.2">
      <c r="A11" s="3" t="s">
        <v>34</v>
      </c>
      <c r="B11">
        <f>IF(Sheet1!C10="y",Sheet1!C8+0.5,Sheet1!C8)</f>
        <v>5.7</v>
      </c>
      <c r="F11" s="4" t="s">
        <v>161</v>
      </c>
      <c r="I11" s="509" t="s">
        <v>162</v>
      </c>
      <c r="J11" s="509"/>
      <c r="K11" s="509"/>
      <c r="P11" s="254"/>
      <c r="Q11" s="254"/>
      <c r="R11" s="254"/>
      <c r="S11" s="254"/>
      <c r="T11" s="254"/>
    </row>
    <row r="12" spans="1:24" ht="20.100000000000001" customHeight="1" x14ac:dyDescent="0.45">
      <c r="A12" s="503" t="s">
        <v>46</v>
      </c>
      <c r="B12" s="6" t="str">
        <f>IF(AND(Sheet1!C16="FSA",Sheet1!C22&lt;=3.45),"OP",IF(AND(Sheet1!C16="FSB",Sheet1!C22&lt;=3.45),"OP",IF(AND(Sheet1!C16="FSC",Sheet1!C22&lt;=3.45),"OP",IF(AND(Sheet1!C16="FDA",Sheet1!C22&lt;=4.45),"OP",IF(AND(Sheet1!C16="FDB",Sheet1!C22&lt;=4.45),"OP",IF(AND(Sheet1!C16="FDC",Sheet1!C22&lt;=5.45),"OP",IF(AND(Sheet1!C16="FDD",Sheet1!C22&lt;=5.45),"OP","")))))))</f>
        <v/>
      </c>
      <c r="D12" t="s">
        <v>141</v>
      </c>
      <c r="E12" s="148">
        <f>Sheet1!C9</f>
        <v>0.8</v>
      </c>
      <c r="P12" s="254"/>
      <c r="Q12" s="254"/>
      <c r="R12" s="254"/>
      <c r="S12" s="254"/>
      <c r="T12" s="254"/>
    </row>
    <row r="13" spans="1:24" ht="25.5" x14ac:dyDescent="0.45">
      <c r="A13" s="503"/>
      <c r="B13" s="7" t="str">
        <f>IF(AND(Sheet1!C16="FDE",Sheet1!C22&lt;=5.45),"OP",IF(AND(Sheet1!C16="FDF",Sheet1!C22&lt;=5.45),"OP",IF(AND(Sheet1!C16="FDG",Sheet1!C22&lt;=5.45),"OP",IF(AND(Sheet1!C16="FDH",Sheet1!C22&lt;=6.45),"OP",IF(AND(Sheet1!C16="FDI",Sheet1!C22&lt;=6.45),"OP","")))))</f>
        <v/>
      </c>
      <c r="D13" s="186" t="s">
        <v>48</v>
      </c>
      <c r="E13" s="187" t="str">
        <f>IF(OR(E59="YES",E60="YES",E61="YES",E62="YES",E63="YES",E64="YES",E65="YES",E66="YES",E67="YES"),"YES","NO MATERIAL AVAILABLE IN NAB")</f>
        <v>YES</v>
      </c>
    </row>
    <row r="14" spans="1:24" ht="22.5" x14ac:dyDescent="0.45">
      <c r="A14" s="503"/>
      <c r="B14" s="6" t="str">
        <f>IF(AND(Sheet1!C16="FDJ",Sheet1!C22&lt;=8.45),"OP",IF(AND(Sheet1!C16="FDK",Sheet1!C22&lt;=8.45),"OP",IF(AND(Sheet1!C16="FDL",Sheet1!C22&lt;=8.45),"OP","")))</f>
        <v/>
      </c>
    </row>
    <row r="15" spans="1:24" ht="13.5" thickBot="1" x14ac:dyDescent="0.25"/>
    <row r="16" spans="1:24" s="149" customFormat="1" ht="20.100000000000001" customHeight="1" thickTop="1" x14ac:dyDescent="0.2">
      <c r="B16" s="480" t="s">
        <v>47</v>
      </c>
      <c r="C16" s="481"/>
      <c r="D16" s="150" t="s">
        <v>138</v>
      </c>
      <c r="E16" s="150" t="s">
        <v>139</v>
      </c>
      <c r="F16" s="151" t="s">
        <v>48</v>
      </c>
      <c r="G16" s="152"/>
      <c r="H16" s="480" t="s">
        <v>47</v>
      </c>
      <c r="I16" s="481"/>
      <c r="J16" s="150" t="s">
        <v>138</v>
      </c>
      <c r="K16" s="150" t="s">
        <v>139</v>
      </c>
      <c r="L16" s="153" t="s">
        <v>48</v>
      </c>
      <c r="M16" s="154"/>
      <c r="N16" s="155"/>
      <c r="O16" s="155"/>
      <c r="P16" s="154"/>
      <c r="Q16" s="154"/>
      <c r="R16" s="154"/>
      <c r="S16" s="154"/>
      <c r="T16" s="155"/>
      <c r="U16" s="155"/>
      <c r="V16" s="155"/>
      <c r="W16" s="154"/>
      <c r="X16" s="154"/>
    </row>
    <row r="17" spans="2:24" x14ac:dyDescent="0.2">
      <c r="B17" s="505">
        <v>0.4</v>
      </c>
      <c r="C17" s="156">
        <v>15</v>
      </c>
      <c r="D17" s="507">
        <f>Sheet1!C17</f>
        <v>60</v>
      </c>
      <c r="E17" s="157" t="b">
        <f>C17=$D$17</f>
        <v>0</v>
      </c>
      <c r="F17" s="495" t="str">
        <f>IF(E17=TRUE,"YES",IF(E18=TRUE,"YES",IF(E19=TRUE,"YES",IF( E20=TRUE,"YES",IF( E21=TRUE,"YES",IF(E22=TRUE,"YES",IF( E23=TRUE,"YES","NO")))))))</f>
        <v>NO</v>
      </c>
      <c r="G17" s="158"/>
      <c r="H17" s="505">
        <v>0.6</v>
      </c>
      <c r="I17" s="156">
        <v>15</v>
      </c>
      <c r="J17" s="485">
        <f>Sheet1!C17</f>
        <v>60</v>
      </c>
      <c r="K17" s="157" t="b">
        <f>I17=$J$17</f>
        <v>0</v>
      </c>
      <c r="L17" s="469" t="str">
        <f>IF(OR(H25="YES",H26="YES"),"YES","NO")</f>
        <v>YES</v>
      </c>
      <c r="M17" s="159"/>
      <c r="N17" s="160"/>
      <c r="O17" s="160"/>
      <c r="P17" s="159"/>
      <c r="Q17" s="159"/>
      <c r="R17" s="159"/>
      <c r="S17" s="159"/>
      <c r="T17" s="160"/>
      <c r="U17" s="160"/>
      <c r="V17" s="160"/>
      <c r="W17" s="159"/>
      <c r="X17" s="159"/>
    </row>
    <row r="18" spans="2:24" x14ac:dyDescent="0.2">
      <c r="B18" s="505"/>
      <c r="C18" s="156">
        <v>20</v>
      </c>
      <c r="D18" s="507"/>
      <c r="E18" s="157" t="b">
        <f t="shared" ref="E18:E23" si="4">C18=$D$17</f>
        <v>0</v>
      </c>
      <c r="F18" s="495"/>
      <c r="G18" s="158"/>
      <c r="H18" s="505"/>
      <c r="I18" s="156">
        <v>20</v>
      </c>
      <c r="J18" s="486"/>
      <c r="K18" s="157" t="b">
        <f t="shared" ref="K18:K31" si="5">I18=$J$17</f>
        <v>0</v>
      </c>
      <c r="L18" s="470"/>
      <c r="M18" s="159"/>
      <c r="N18" s="160"/>
      <c r="O18" s="160"/>
      <c r="P18" s="159"/>
      <c r="Q18" s="159"/>
      <c r="R18" s="159"/>
      <c r="S18" s="159"/>
      <c r="T18" s="160"/>
      <c r="U18" s="160"/>
      <c r="V18" s="160"/>
      <c r="W18" s="159"/>
      <c r="X18" s="159"/>
    </row>
    <row r="19" spans="2:24" x14ac:dyDescent="0.2">
      <c r="B19" s="505"/>
      <c r="C19" s="156">
        <v>25</v>
      </c>
      <c r="D19" s="507"/>
      <c r="E19" s="157" t="b">
        <f t="shared" si="4"/>
        <v>0</v>
      </c>
      <c r="F19" s="495"/>
      <c r="G19" s="158"/>
      <c r="H19" s="505"/>
      <c r="I19" s="156">
        <v>25</v>
      </c>
      <c r="J19" s="486"/>
      <c r="K19" s="157" t="b">
        <f t="shared" si="5"/>
        <v>0</v>
      </c>
      <c r="L19" s="470"/>
      <c r="M19" s="159"/>
      <c r="N19" s="160"/>
      <c r="O19" s="160"/>
      <c r="P19" s="159"/>
      <c r="Q19" s="159"/>
      <c r="R19" s="159"/>
      <c r="S19" s="159"/>
      <c r="T19" s="160"/>
      <c r="U19" s="160"/>
      <c r="V19" s="160"/>
      <c r="W19" s="159"/>
      <c r="X19" s="159"/>
    </row>
    <row r="20" spans="2:24" x14ac:dyDescent="0.2">
      <c r="B20" s="505"/>
      <c r="C20" s="156">
        <v>30</v>
      </c>
      <c r="D20" s="507"/>
      <c r="E20" s="157" t="b">
        <f t="shared" si="4"/>
        <v>0</v>
      </c>
      <c r="F20" s="495"/>
      <c r="G20" s="158"/>
      <c r="H20" s="505"/>
      <c r="I20" s="156">
        <v>30</v>
      </c>
      <c r="J20" s="486"/>
      <c r="K20" s="157" t="b">
        <f t="shared" si="5"/>
        <v>0</v>
      </c>
      <c r="L20" s="470"/>
      <c r="M20" s="159"/>
      <c r="N20" s="160"/>
      <c r="O20" s="160"/>
      <c r="P20" s="159"/>
      <c r="Q20" s="159"/>
      <c r="R20" s="159"/>
      <c r="S20" s="159"/>
      <c r="T20" s="160"/>
      <c r="U20" s="160"/>
      <c r="V20" s="160"/>
      <c r="W20" s="159"/>
      <c r="X20" s="159"/>
    </row>
    <row r="21" spans="2:24" x14ac:dyDescent="0.2">
      <c r="B21" s="505"/>
      <c r="C21" s="156">
        <v>35</v>
      </c>
      <c r="D21" s="507"/>
      <c r="E21" s="157" t="b">
        <f t="shared" si="4"/>
        <v>0</v>
      </c>
      <c r="F21" s="495"/>
      <c r="G21" s="158"/>
      <c r="H21" s="505"/>
      <c r="I21" s="156">
        <v>35</v>
      </c>
      <c r="J21" s="486"/>
      <c r="K21" s="157" t="b">
        <f t="shared" si="5"/>
        <v>0</v>
      </c>
      <c r="L21" s="470"/>
      <c r="M21" s="159"/>
      <c r="N21" s="160"/>
      <c r="O21" s="160"/>
      <c r="P21" s="159"/>
      <c r="Q21" s="159"/>
      <c r="R21" s="159"/>
      <c r="S21" s="159"/>
      <c r="T21" s="160"/>
      <c r="U21" s="160"/>
      <c r="V21" s="160"/>
      <c r="W21" s="159"/>
      <c r="X21" s="159"/>
    </row>
    <row r="22" spans="2:24" x14ac:dyDescent="0.2">
      <c r="B22" s="497"/>
      <c r="C22" s="156">
        <v>40</v>
      </c>
      <c r="D22" s="507"/>
      <c r="E22" s="157" t="b">
        <f t="shared" si="4"/>
        <v>0</v>
      </c>
      <c r="F22" s="495"/>
      <c r="G22" s="158"/>
      <c r="H22" s="505"/>
      <c r="I22" s="156">
        <v>40</v>
      </c>
      <c r="J22" s="486"/>
      <c r="K22" s="157" t="b">
        <f t="shared" si="5"/>
        <v>0</v>
      </c>
      <c r="L22" s="470"/>
      <c r="M22" s="159"/>
      <c r="N22" s="160"/>
      <c r="O22" s="160"/>
      <c r="P22" s="159"/>
      <c r="Q22" s="159"/>
      <c r="R22" s="159"/>
      <c r="S22" s="159"/>
      <c r="T22" s="160"/>
      <c r="U22" s="160"/>
      <c r="V22" s="160"/>
      <c r="W22" s="159"/>
      <c r="X22" s="159"/>
    </row>
    <row r="23" spans="2:24" ht="13.5" thickBot="1" x14ac:dyDescent="0.25">
      <c r="B23" s="161"/>
      <c r="C23" s="162">
        <v>45</v>
      </c>
      <c r="D23" s="508"/>
      <c r="E23" s="163" t="b">
        <f t="shared" si="4"/>
        <v>0</v>
      </c>
      <c r="F23" s="496"/>
      <c r="G23" s="158"/>
      <c r="H23" s="497"/>
      <c r="I23" s="156">
        <v>45</v>
      </c>
      <c r="J23" s="486"/>
      <c r="K23" s="164" t="b">
        <f t="shared" si="5"/>
        <v>0</v>
      </c>
      <c r="L23" s="470"/>
      <c r="M23" s="159"/>
      <c r="N23" s="160"/>
      <c r="O23" s="160"/>
      <c r="P23" s="159"/>
      <c r="Q23" s="159"/>
      <c r="R23" s="159"/>
      <c r="S23" s="159"/>
      <c r="T23" s="160"/>
      <c r="U23" s="160"/>
      <c r="V23" s="160"/>
      <c r="W23" s="159"/>
      <c r="X23" s="159"/>
    </row>
    <row r="24" spans="2:24" ht="13.5" thickTop="1" x14ac:dyDescent="0.2">
      <c r="B24" s="160"/>
      <c r="C24" s="160"/>
      <c r="D24" s="159"/>
      <c r="E24" s="160"/>
      <c r="F24" s="159"/>
      <c r="G24" s="159"/>
      <c r="H24" s="165"/>
      <c r="I24" s="134">
        <v>50</v>
      </c>
      <c r="J24" s="486"/>
      <c r="K24" s="157" t="b">
        <f t="shared" si="5"/>
        <v>0</v>
      </c>
      <c r="L24" s="489"/>
      <c r="M24" s="159"/>
      <c r="N24" s="160"/>
      <c r="O24" s="160"/>
      <c r="P24" s="159"/>
      <c r="Q24" s="159"/>
      <c r="R24" s="159"/>
      <c r="S24" s="159"/>
      <c r="T24" s="160"/>
      <c r="U24" s="160"/>
      <c r="V24" s="160"/>
      <c r="W24" s="159"/>
      <c r="X24" s="159"/>
    </row>
    <row r="25" spans="2:24" x14ac:dyDescent="0.2">
      <c r="B25" s="160"/>
      <c r="C25" s="160"/>
      <c r="D25" s="159"/>
      <c r="E25" s="160"/>
      <c r="F25" s="159"/>
      <c r="G25" s="159"/>
      <c r="H25" s="166" t="str">
        <f>IF(K17=TRUE,"YES",IF(K18=TRUE,"YES",IF(K19=TRUE,"YES",IF( K20=TRUE,"YES",IF( K21=TRUE,"YES",IF(K22=TRUE,"YES",IF( K23=TRUE,"YES","NO")))))))</f>
        <v>NO</v>
      </c>
      <c r="I25" s="134">
        <v>55</v>
      </c>
      <c r="J25" s="486"/>
      <c r="K25" s="157" t="b">
        <f t="shared" si="5"/>
        <v>0</v>
      </c>
      <c r="L25" s="489"/>
      <c r="M25" s="159"/>
      <c r="N25" s="160"/>
      <c r="O25" s="160"/>
      <c r="P25" s="159"/>
      <c r="Q25" s="159"/>
      <c r="R25" s="159"/>
      <c r="S25" s="159"/>
      <c r="T25" s="160"/>
      <c r="U25" s="160"/>
      <c r="V25" s="160"/>
      <c r="W25" s="159"/>
      <c r="X25" s="159"/>
    </row>
    <row r="26" spans="2:24" x14ac:dyDescent="0.2">
      <c r="B26" s="160"/>
      <c r="C26" s="160"/>
      <c r="D26" s="159"/>
      <c r="E26" s="160"/>
      <c r="F26" s="159"/>
      <c r="G26" s="159"/>
      <c r="H26" s="166" t="str">
        <f>IF(K24=TRUE,"YES",IF(K25=TRUE,"YES",IF(K26=TRUE,"YES",IF( K27=TRUE,"YES",IF( K28=TRUE,"YES",IF(K29=TRUE,"YES",IF( K31=TRUE,"YES","NO")))))))</f>
        <v>YES</v>
      </c>
      <c r="I26" s="134">
        <v>60</v>
      </c>
      <c r="J26" s="486"/>
      <c r="K26" s="157" t="b">
        <f t="shared" si="5"/>
        <v>1</v>
      </c>
      <c r="L26" s="489"/>
      <c r="M26" s="159"/>
      <c r="N26" s="160"/>
      <c r="O26" s="160"/>
      <c r="P26" s="159"/>
      <c r="Q26" s="159"/>
      <c r="R26" s="159"/>
      <c r="S26" s="159"/>
      <c r="T26" s="160"/>
      <c r="U26" s="160"/>
      <c r="V26" s="160"/>
      <c r="W26" s="159"/>
      <c r="X26" s="159"/>
    </row>
    <row r="27" spans="2:24" x14ac:dyDescent="0.2">
      <c r="B27" s="160"/>
      <c r="C27" s="160"/>
      <c r="D27" s="159"/>
      <c r="E27" s="160"/>
      <c r="F27" s="159"/>
      <c r="G27" s="159"/>
      <c r="H27" s="165"/>
      <c r="I27" s="134">
        <v>65</v>
      </c>
      <c r="J27" s="486"/>
      <c r="K27" s="157" t="b">
        <f t="shared" si="5"/>
        <v>0</v>
      </c>
      <c r="L27" s="489"/>
      <c r="M27" s="159"/>
      <c r="N27" s="160"/>
      <c r="O27" s="160"/>
      <c r="P27" s="159"/>
      <c r="Q27" s="159"/>
      <c r="R27" s="159"/>
      <c r="S27" s="159"/>
      <c r="T27" s="160"/>
      <c r="U27" s="160"/>
      <c r="V27" s="160"/>
      <c r="W27" s="159"/>
      <c r="X27" s="159"/>
    </row>
    <row r="28" spans="2:24" x14ac:dyDescent="0.2">
      <c r="B28" s="160"/>
      <c r="C28" s="160"/>
      <c r="D28" s="159"/>
      <c r="E28" s="160"/>
      <c r="F28" s="159"/>
      <c r="G28" s="159"/>
      <c r="H28" s="165"/>
      <c r="I28" s="134">
        <v>70</v>
      </c>
      <c r="J28" s="486"/>
      <c r="K28" s="157" t="b">
        <f t="shared" si="5"/>
        <v>0</v>
      </c>
      <c r="L28" s="489"/>
      <c r="M28" s="159"/>
      <c r="N28" s="160"/>
      <c r="O28" s="160"/>
      <c r="P28" s="159"/>
      <c r="Q28" s="159"/>
      <c r="R28" s="159"/>
      <c r="S28" s="159"/>
      <c r="T28" s="160"/>
      <c r="U28" s="160"/>
      <c r="V28" s="160"/>
      <c r="W28" s="159"/>
      <c r="X28" s="159"/>
    </row>
    <row r="29" spans="2:24" x14ac:dyDescent="0.2">
      <c r="B29" s="160"/>
      <c r="C29" s="160"/>
      <c r="D29" s="159"/>
      <c r="E29" s="160"/>
      <c r="F29" s="159"/>
      <c r="G29" s="159"/>
      <c r="H29" s="165"/>
      <c r="I29" s="134">
        <v>80</v>
      </c>
      <c r="J29" s="486"/>
      <c r="K29" s="157" t="b">
        <f t="shared" si="5"/>
        <v>0</v>
      </c>
      <c r="L29" s="489"/>
      <c r="M29" s="159"/>
      <c r="N29" s="160"/>
      <c r="O29" s="160"/>
      <c r="P29" s="159"/>
      <c r="Q29" s="159"/>
      <c r="R29" s="159"/>
      <c r="S29" s="159"/>
      <c r="T29" s="160"/>
      <c r="U29" s="160"/>
      <c r="V29" s="160"/>
      <c r="W29" s="159"/>
      <c r="X29" s="159"/>
    </row>
    <row r="30" spans="2:24" x14ac:dyDescent="0.2">
      <c r="B30" s="160"/>
      <c r="C30" s="160"/>
      <c r="D30" s="159"/>
      <c r="E30" s="160"/>
      <c r="F30" s="159"/>
      <c r="G30" s="159"/>
      <c r="H30" s="165"/>
      <c r="I30" s="134">
        <v>95</v>
      </c>
      <c r="J30" s="486"/>
      <c r="K30" s="157" t="b">
        <f t="shared" si="5"/>
        <v>0</v>
      </c>
      <c r="L30" s="489"/>
      <c r="M30" s="159"/>
      <c r="N30" s="160"/>
      <c r="O30" s="160"/>
      <c r="P30" s="159"/>
      <c r="Q30" s="159"/>
      <c r="R30" s="159"/>
      <c r="S30" s="159"/>
      <c r="T30" s="160"/>
      <c r="U30" s="160"/>
      <c r="V30" s="160"/>
      <c r="W30" s="159"/>
      <c r="X30" s="159"/>
    </row>
    <row r="31" spans="2:24" ht="13.5" thickBot="1" x14ac:dyDescent="0.25">
      <c r="B31" s="160"/>
      <c r="C31" s="160"/>
      <c r="D31" s="159"/>
      <c r="E31" s="160"/>
      <c r="F31" s="159"/>
      <c r="G31" s="159"/>
      <c r="H31" s="167"/>
      <c r="I31" s="168">
        <v>105</v>
      </c>
      <c r="J31" s="500"/>
      <c r="K31" s="163" t="b">
        <f t="shared" si="5"/>
        <v>0</v>
      </c>
      <c r="L31" s="490"/>
      <c r="M31" s="159"/>
      <c r="N31" s="160"/>
      <c r="O31" s="160"/>
      <c r="P31" s="159"/>
      <c r="Q31" s="159"/>
      <c r="R31" s="159"/>
      <c r="S31" s="159"/>
      <c r="T31" s="160"/>
      <c r="U31" s="160"/>
      <c r="V31" s="160"/>
      <c r="W31" s="159"/>
      <c r="X31" s="159"/>
    </row>
    <row r="32" spans="2:24" ht="13.5" thickTop="1" x14ac:dyDescent="0.2">
      <c r="B32" s="160"/>
      <c r="C32" s="160"/>
      <c r="D32" s="159"/>
      <c r="E32" s="160"/>
      <c r="F32" s="159"/>
      <c r="G32" s="159"/>
      <c r="H32" s="160"/>
      <c r="I32" s="160"/>
      <c r="J32" s="159"/>
      <c r="K32" s="159"/>
      <c r="L32" s="159"/>
      <c r="M32" s="159"/>
      <c r="N32" s="160"/>
      <c r="O32" s="160"/>
      <c r="P32" s="159"/>
      <c r="Q32" s="159"/>
      <c r="R32" s="159"/>
      <c r="S32" s="159"/>
      <c r="T32" s="160"/>
      <c r="U32" s="160"/>
      <c r="V32" s="160"/>
      <c r="W32" s="159"/>
      <c r="X32" s="159"/>
    </row>
    <row r="33" spans="2:24" ht="13.5" thickBot="1" x14ac:dyDescent="0.25">
      <c r="B33" s="160"/>
      <c r="C33" s="160"/>
      <c r="D33" s="159"/>
      <c r="E33" s="160"/>
      <c r="F33" s="159"/>
      <c r="G33" s="159"/>
      <c r="H33" s="160"/>
      <c r="I33" s="160"/>
      <c r="J33" s="159"/>
      <c r="K33" s="159"/>
      <c r="L33" s="159"/>
      <c r="M33" s="159"/>
      <c r="N33" s="160"/>
      <c r="O33" s="160"/>
      <c r="P33" s="159"/>
      <c r="Q33" s="159"/>
      <c r="R33" s="159"/>
      <c r="S33" s="159"/>
      <c r="T33" s="160"/>
      <c r="U33" s="160"/>
      <c r="V33" s="160"/>
      <c r="W33" s="159"/>
      <c r="X33" s="159"/>
    </row>
    <row r="34" spans="2:24" ht="20.100000000000001" customHeight="1" thickTop="1" x14ac:dyDescent="0.2">
      <c r="B34" s="480" t="s">
        <v>47</v>
      </c>
      <c r="C34" s="481"/>
      <c r="D34" s="150" t="s">
        <v>138</v>
      </c>
      <c r="E34" s="150" t="s">
        <v>139</v>
      </c>
      <c r="F34" s="151" t="s">
        <v>48</v>
      </c>
      <c r="G34" s="159"/>
      <c r="H34" s="480" t="s">
        <v>47</v>
      </c>
      <c r="I34" s="481"/>
      <c r="J34" s="150" t="s">
        <v>138</v>
      </c>
      <c r="K34" s="150" t="s">
        <v>139</v>
      </c>
      <c r="L34" s="153" t="s">
        <v>48</v>
      </c>
      <c r="M34" s="159"/>
      <c r="N34" s="480" t="s">
        <v>47</v>
      </c>
      <c r="O34" s="481"/>
      <c r="P34" s="150" t="s">
        <v>138</v>
      </c>
      <c r="Q34" s="150" t="s">
        <v>139</v>
      </c>
      <c r="R34" s="151" t="s">
        <v>48</v>
      </c>
      <c r="S34" s="159"/>
      <c r="T34" s="480" t="s">
        <v>47</v>
      </c>
      <c r="U34" s="481"/>
      <c r="V34" s="150" t="s">
        <v>138</v>
      </c>
      <c r="W34" s="150" t="s">
        <v>139</v>
      </c>
      <c r="X34" s="151" t="s">
        <v>48</v>
      </c>
    </row>
    <row r="35" spans="2:24" x14ac:dyDescent="0.2">
      <c r="B35" s="497">
        <v>0.8</v>
      </c>
      <c r="C35" s="156">
        <v>20</v>
      </c>
      <c r="D35" s="485">
        <f>Sheet1!C17</f>
        <v>60</v>
      </c>
      <c r="E35" s="169" t="b">
        <f>C35=$D$35</f>
        <v>0</v>
      </c>
      <c r="F35" s="469" t="str">
        <f>IF(OR(B48="YES",B49="YES",B50="YES"),"YES","NO")</f>
        <v>YES</v>
      </c>
      <c r="G35" s="159"/>
      <c r="H35" s="497">
        <v>1</v>
      </c>
      <c r="I35" s="156">
        <v>25</v>
      </c>
      <c r="J35" s="485">
        <f>Sheet1!C17</f>
        <v>60</v>
      </c>
      <c r="K35" s="164" t="b">
        <f>I35=$J$35</f>
        <v>0</v>
      </c>
      <c r="L35" s="469" t="str">
        <f>IF(OR(H50="YES",H51="YES",H52="YES",H53="YES"),"YES","NO")</f>
        <v>YES</v>
      </c>
      <c r="M35" s="159"/>
      <c r="N35" s="505">
        <v>1.2</v>
      </c>
      <c r="O35" s="156">
        <v>35</v>
      </c>
      <c r="P35" s="466">
        <f>Sheet1!C17</f>
        <v>60</v>
      </c>
      <c r="Q35" s="157" t="b">
        <f>O35=$P$35</f>
        <v>0</v>
      </c>
      <c r="R35" s="469" t="str">
        <f>IF(OR(N44="YES",N45="YES"),"YES","NO")</f>
        <v>YES</v>
      </c>
      <c r="S35" s="159"/>
      <c r="T35" s="505">
        <v>1.5</v>
      </c>
      <c r="U35" s="156">
        <v>45</v>
      </c>
      <c r="V35" s="507">
        <f>Sheet1!C17</f>
        <v>60</v>
      </c>
      <c r="W35" s="157" t="b">
        <f t="shared" ref="W35:W40" si="6">U35=$V$35</f>
        <v>0</v>
      </c>
      <c r="X35" s="495" t="str">
        <f>IF(W35=TRUE,"YES",IF(W36=TRUE,"YES",IF(W37=TRUE,"YES",IF( W38=TRUE,"YES",IF( W39=TRUE,"YES",IF(W40=TRUE,"YES","NO"))))))</f>
        <v>NO</v>
      </c>
    </row>
    <row r="36" spans="2:24" x14ac:dyDescent="0.2">
      <c r="B36" s="498"/>
      <c r="C36" s="156">
        <v>25</v>
      </c>
      <c r="D36" s="486"/>
      <c r="E36" s="169" t="b">
        <f t="shared" ref="E36:E55" si="7">C36=$D$35</f>
        <v>0</v>
      </c>
      <c r="F36" s="470"/>
      <c r="G36" s="159"/>
      <c r="H36" s="498"/>
      <c r="I36" s="156">
        <v>35</v>
      </c>
      <c r="J36" s="486"/>
      <c r="K36" s="164" t="b">
        <f t="shared" ref="K36:K61" si="8">I36=$J$35</f>
        <v>0</v>
      </c>
      <c r="L36" s="470"/>
      <c r="M36" s="159"/>
      <c r="N36" s="505"/>
      <c r="O36" s="156">
        <v>55</v>
      </c>
      <c r="P36" s="467"/>
      <c r="Q36" s="157" t="b">
        <f t="shared" ref="Q36:Q48" si="9">O36=$P$35</f>
        <v>0</v>
      </c>
      <c r="R36" s="470"/>
      <c r="S36" s="159"/>
      <c r="T36" s="505"/>
      <c r="U36" s="156">
        <v>85</v>
      </c>
      <c r="V36" s="507"/>
      <c r="W36" s="157" t="b">
        <f t="shared" si="6"/>
        <v>0</v>
      </c>
      <c r="X36" s="495"/>
    </row>
    <row r="37" spans="2:24" x14ac:dyDescent="0.2">
      <c r="B37" s="498"/>
      <c r="C37" s="156">
        <v>30</v>
      </c>
      <c r="D37" s="486"/>
      <c r="E37" s="169" t="b">
        <f t="shared" si="7"/>
        <v>0</v>
      </c>
      <c r="F37" s="470"/>
      <c r="G37" s="159"/>
      <c r="H37" s="498"/>
      <c r="I37" s="156">
        <v>40</v>
      </c>
      <c r="J37" s="486"/>
      <c r="K37" s="164" t="b">
        <f t="shared" si="8"/>
        <v>0</v>
      </c>
      <c r="L37" s="470"/>
      <c r="M37" s="159"/>
      <c r="N37" s="505"/>
      <c r="O37" s="156">
        <v>60</v>
      </c>
      <c r="P37" s="467"/>
      <c r="Q37" s="157" t="b">
        <f t="shared" si="9"/>
        <v>1</v>
      </c>
      <c r="R37" s="470"/>
      <c r="S37" s="159"/>
      <c r="T37" s="505"/>
      <c r="U37" s="156">
        <v>95</v>
      </c>
      <c r="V37" s="507"/>
      <c r="W37" s="157" t="b">
        <f t="shared" si="6"/>
        <v>0</v>
      </c>
      <c r="X37" s="495"/>
    </row>
    <row r="38" spans="2:24" x14ac:dyDescent="0.2">
      <c r="B38" s="498"/>
      <c r="C38" s="156">
        <v>35</v>
      </c>
      <c r="D38" s="486"/>
      <c r="E38" s="169" t="b">
        <f t="shared" si="7"/>
        <v>0</v>
      </c>
      <c r="F38" s="470"/>
      <c r="G38" s="159"/>
      <c r="H38" s="498"/>
      <c r="I38" s="156">
        <v>45</v>
      </c>
      <c r="J38" s="486"/>
      <c r="K38" s="164" t="b">
        <f t="shared" si="8"/>
        <v>0</v>
      </c>
      <c r="L38" s="470"/>
      <c r="M38" s="159"/>
      <c r="N38" s="505"/>
      <c r="O38" s="156">
        <v>65</v>
      </c>
      <c r="P38" s="467"/>
      <c r="Q38" s="157" t="b">
        <f t="shared" si="9"/>
        <v>0</v>
      </c>
      <c r="R38" s="470"/>
      <c r="S38" s="159"/>
      <c r="T38" s="505"/>
      <c r="U38" s="156">
        <v>135</v>
      </c>
      <c r="V38" s="507"/>
      <c r="W38" s="157" t="b">
        <f t="shared" si="6"/>
        <v>0</v>
      </c>
      <c r="X38" s="495"/>
    </row>
    <row r="39" spans="2:24" x14ac:dyDescent="0.2">
      <c r="B39" s="498"/>
      <c r="C39" s="156">
        <v>40</v>
      </c>
      <c r="D39" s="486"/>
      <c r="E39" s="169" t="b">
        <f t="shared" si="7"/>
        <v>0</v>
      </c>
      <c r="F39" s="470"/>
      <c r="G39" s="159"/>
      <c r="H39" s="498"/>
      <c r="I39" s="156">
        <v>50</v>
      </c>
      <c r="J39" s="486"/>
      <c r="K39" s="164" t="b">
        <f t="shared" si="8"/>
        <v>0</v>
      </c>
      <c r="L39" s="470"/>
      <c r="M39" s="159"/>
      <c r="N39" s="505"/>
      <c r="O39" s="156">
        <v>90</v>
      </c>
      <c r="P39" s="467"/>
      <c r="Q39" s="157" t="b">
        <f t="shared" si="9"/>
        <v>0</v>
      </c>
      <c r="R39" s="470"/>
      <c r="S39" s="159"/>
      <c r="T39" s="505"/>
      <c r="U39" s="156">
        <v>166</v>
      </c>
      <c r="V39" s="507"/>
      <c r="W39" s="157" t="b">
        <f t="shared" si="6"/>
        <v>0</v>
      </c>
      <c r="X39" s="495"/>
    </row>
    <row r="40" spans="2:24" x14ac:dyDescent="0.2">
      <c r="B40" s="498"/>
      <c r="C40" s="156">
        <v>45</v>
      </c>
      <c r="D40" s="486"/>
      <c r="E40" s="169" t="b">
        <f t="shared" si="7"/>
        <v>0</v>
      </c>
      <c r="F40" s="470"/>
      <c r="G40" s="159"/>
      <c r="H40" s="498"/>
      <c r="I40" s="156">
        <v>55</v>
      </c>
      <c r="J40" s="486"/>
      <c r="K40" s="164" t="b">
        <f t="shared" si="8"/>
        <v>0</v>
      </c>
      <c r="L40" s="470"/>
      <c r="M40" s="159"/>
      <c r="N40" s="505"/>
      <c r="O40" s="156">
        <v>100</v>
      </c>
      <c r="P40" s="467"/>
      <c r="Q40" s="157" t="b">
        <f t="shared" si="9"/>
        <v>0</v>
      </c>
      <c r="R40" s="470"/>
      <c r="S40" s="159"/>
      <c r="T40" s="505"/>
      <c r="U40" s="156">
        <v>180</v>
      </c>
      <c r="V40" s="507"/>
      <c r="W40" s="157" t="b">
        <f t="shared" si="6"/>
        <v>0</v>
      </c>
      <c r="X40" s="495"/>
    </row>
    <row r="41" spans="2:24" x14ac:dyDescent="0.2">
      <c r="B41" s="498"/>
      <c r="C41" s="156">
        <v>50</v>
      </c>
      <c r="D41" s="486"/>
      <c r="E41" s="169" t="b">
        <f t="shared" si="7"/>
        <v>0</v>
      </c>
      <c r="F41" s="470"/>
      <c r="G41" s="159"/>
      <c r="H41" s="498"/>
      <c r="I41" s="156">
        <v>60</v>
      </c>
      <c r="J41" s="486"/>
      <c r="K41" s="164" t="b">
        <f t="shared" si="8"/>
        <v>1</v>
      </c>
      <c r="L41" s="470"/>
      <c r="M41" s="159"/>
      <c r="N41" s="505"/>
      <c r="O41" s="156">
        <v>130</v>
      </c>
      <c r="P41" s="467"/>
      <c r="Q41" s="157" t="b">
        <f t="shared" si="9"/>
        <v>0</v>
      </c>
      <c r="R41" s="470"/>
      <c r="S41" s="159"/>
      <c r="T41" s="505"/>
      <c r="U41" s="156"/>
      <c r="V41" s="507"/>
      <c r="W41" s="157"/>
      <c r="X41" s="495"/>
    </row>
    <row r="42" spans="2:24" ht="13.5" thickBot="1" x14ac:dyDescent="0.25">
      <c r="B42" s="498"/>
      <c r="C42" s="134">
        <v>55</v>
      </c>
      <c r="D42" s="486"/>
      <c r="E42" s="169" t="b">
        <f t="shared" si="7"/>
        <v>0</v>
      </c>
      <c r="F42" s="501"/>
      <c r="G42" s="159"/>
      <c r="H42" s="498"/>
      <c r="I42" s="134">
        <v>65</v>
      </c>
      <c r="J42" s="486"/>
      <c r="K42" s="164" t="b">
        <f t="shared" si="8"/>
        <v>0</v>
      </c>
      <c r="L42" s="489"/>
      <c r="M42" s="159"/>
      <c r="N42" s="497"/>
      <c r="O42" s="134">
        <v>135</v>
      </c>
      <c r="P42" s="467"/>
      <c r="Q42" s="164" t="b">
        <f t="shared" si="9"/>
        <v>0</v>
      </c>
      <c r="R42" s="470"/>
      <c r="S42" s="159"/>
      <c r="T42" s="506"/>
      <c r="U42" s="168"/>
      <c r="V42" s="508"/>
      <c r="W42" s="163"/>
      <c r="X42" s="496"/>
    </row>
    <row r="43" spans="2:24" ht="13.5" thickTop="1" x14ac:dyDescent="0.2">
      <c r="B43" s="498"/>
      <c r="C43" s="134">
        <v>60</v>
      </c>
      <c r="D43" s="486"/>
      <c r="E43" s="169" t="b">
        <f t="shared" si="7"/>
        <v>1</v>
      </c>
      <c r="F43" s="501"/>
      <c r="G43" s="159"/>
      <c r="H43" s="498"/>
      <c r="I43" s="134">
        <v>70</v>
      </c>
      <c r="J43" s="486"/>
      <c r="K43" s="164" t="b">
        <f t="shared" si="8"/>
        <v>0</v>
      </c>
      <c r="L43" s="489"/>
      <c r="M43" s="159"/>
      <c r="N43" s="171"/>
      <c r="O43" s="134">
        <v>155</v>
      </c>
      <c r="P43" s="467"/>
      <c r="Q43" s="157" t="b">
        <f t="shared" si="9"/>
        <v>0</v>
      </c>
      <c r="R43" s="489"/>
      <c r="S43" s="159"/>
      <c r="T43" s="160"/>
      <c r="U43" s="160"/>
      <c r="V43" s="160"/>
      <c r="W43" s="159"/>
      <c r="X43" s="159"/>
    </row>
    <row r="44" spans="2:24" ht="13.5" thickBot="1" x14ac:dyDescent="0.25">
      <c r="B44" s="498"/>
      <c r="C44" s="134">
        <v>65</v>
      </c>
      <c r="D44" s="486"/>
      <c r="E44" s="169" t="b">
        <f t="shared" si="7"/>
        <v>0</v>
      </c>
      <c r="F44" s="501"/>
      <c r="G44" s="159"/>
      <c r="H44" s="498"/>
      <c r="I44" s="134">
        <v>75</v>
      </c>
      <c r="J44" s="486"/>
      <c r="K44" s="164" t="b">
        <f t="shared" si="8"/>
        <v>0</v>
      </c>
      <c r="L44" s="489"/>
      <c r="M44" s="159"/>
      <c r="N44" s="166" t="str">
        <f>IF(Q35=TRUE,"YES",IF(Q36=TRUE,"YES",IF(Q37=TRUE,"YES",IF(Q38=TRUE,"YES",IF(Q39=TRUE,"YES",IF(Q40=TRUE,"YES",IF(Q41=TRUE,"YES",IF(Q42=TRUE,"YES","NO"))))))))</f>
        <v>YES</v>
      </c>
      <c r="O44" s="134">
        <v>165</v>
      </c>
      <c r="P44" s="467"/>
      <c r="Q44" s="157" t="b">
        <f t="shared" si="9"/>
        <v>0</v>
      </c>
      <c r="R44" s="489"/>
      <c r="S44" s="159"/>
      <c r="T44" s="160"/>
      <c r="U44" s="160"/>
      <c r="V44" s="160"/>
      <c r="W44" s="159"/>
      <c r="X44" s="159"/>
    </row>
    <row r="45" spans="2:24" ht="13.5" thickTop="1" x14ac:dyDescent="0.2">
      <c r="B45" s="498"/>
      <c r="C45" s="134">
        <v>70</v>
      </c>
      <c r="D45" s="486"/>
      <c r="E45" s="169" t="b">
        <f t="shared" si="7"/>
        <v>0</v>
      </c>
      <c r="F45" s="501"/>
      <c r="G45" s="159"/>
      <c r="H45" s="498"/>
      <c r="I45" s="134">
        <v>80</v>
      </c>
      <c r="J45" s="486"/>
      <c r="K45" s="164" t="b">
        <f t="shared" si="8"/>
        <v>0</v>
      </c>
      <c r="L45" s="489"/>
      <c r="M45" s="159"/>
      <c r="N45" s="166" t="str">
        <f>IF(Q43=TRUE,"YES",IF(Q44=TRUE,"YES",IF(Q45=TRUE,"YES",IF(Q46=TRUE,"YES",IF(Q47=TRUE,"YES",IF(Q48=TRUE,"YES","NO"))))))</f>
        <v>NO</v>
      </c>
      <c r="O45" s="134">
        <v>170</v>
      </c>
      <c r="P45" s="467"/>
      <c r="Q45" s="157" t="b">
        <f t="shared" si="9"/>
        <v>0</v>
      </c>
      <c r="R45" s="489"/>
      <c r="S45" s="159"/>
      <c r="T45" s="480" t="s">
        <v>47</v>
      </c>
      <c r="U45" s="481"/>
      <c r="V45" s="150" t="s">
        <v>138</v>
      </c>
      <c r="W45" s="150" t="s">
        <v>139</v>
      </c>
      <c r="X45" s="151" t="s">
        <v>48</v>
      </c>
    </row>
    <row r="46" spans="2:24" x14ac:dyDescent="0.2">
      <c r="B46" s="170"/>
      <c r="C46" s="134">
        <v>75</v>
      </c>
      <c r="D46" s="486"/>
      <c r="E46" s="169" t="b">
        <f t="shared" si="7"/>
        <v>0</v>
      </c>
      <c r="F46" s="501"/>
      <c r="G46" s="159"/>
      <c r="H46" s="498"/>
      <c r="I46" s="134">
        <v>85</v>
      </c>
      <c r="J46" s="486"/>
      <c r="K46" s="164" t="b">
        <f t="shared" si="8"/>
        <v>0</v>
      </c>
      <c r="L46" s="489"/>
      <c r="M46" s="159"/>
      <c r="N46" s="171"/>
      <c r="O46" s="134">
        <v>180</v>
      </c>
      <c r="P46" s="467"/>
      <c r="Q46" s="157" t="b">
        <f t="shared" si="9"/>
        <v>0</v>
      </c>
      <c r="R46" s="489"/>
      <c r="S46" s="159"/>
      <c r="T46" s="497">
        <v>1.6</v>
      </c>
      <c r="U46" s="156">
        <v>55</v>
      </c>
      <c r="V46" s="466">
        <f>Sheet1!C17</f>
        <v>60</v>
      </c>
      <c r="W46" s="172" t="b">
        <f>U46=$V$46</f>
        <v>0</v>
      </c>
      <c r="X46" s="469" t="str">
        <f>IF(W46=TRUE,"YES",IF(W47=TRUE,"YES",IF(W48=TRUE,"YES","NO")))</f>
        <v>NO</v>
      </c>
    </row>
    <row r="47" spans="2:24" x14ac:dyDescent="0.2">
      <c r="B47" s="170"/>
      <c r="C47" s="134">
        <v>80</v>
      </c>
      <c r="D47" s="486"/>
      <c r="E47" s="169" t="b">
        <f t="shared" si="7"/>
        <v>0</v>
      </c>
      <c r="F47" s="501"/>
      <c r="G47" s="159"/>
      <c r="H47" s="498"/>
      <c r="I47" s="134">
        <v>90</v>
      </c>
      <c r="J47" s="486"/>
      <c r="K47" s="164" t="b">
        <f t="shared" si="8"/>
        <v>0</v>
      </c>
      <c r="L47" s="489"/>
      <c r="M47" s="159"/>
      <c r="N47" s="171"/>
      <c r="O47" s="134">
        <v>190</v>
      </c>
      <c r="P47" s="467"/>
      <c r="Q47" s="157" t="b">
        <f t="shared" si="9"/>
        <v>0</v>
      </c>
      <c r="R47" s="489"/>
      <c r="S47" s="159"/>
      <c r="T47" s="498"/>
      <c r="U47" s="156">
        <v>70</v>
      </c>
      <c r="V47" s="467"/>
      <c r="W47" s="172" t="b">
        <f>U47=$V$46</f>
        <v>0</v>
      </c>
      <c r="X47" s="470"/>
    </row>
    <row r="48" spans="2:24" ht="13.5" thickBot="1" x14ac:dyDescent="0.25">
      <c r="B48" s="173" t="str">
        <f>IF(E35=TRUE,"YES",IF(E36=TRUE,"YES",IF(E37=TRUE,"YES",IF(E38=TRUE,"YES",IF(E39=TRUE,"YES",IF(E40=TRUE,"YES",IF(E41=TRUE,"YES",IF(E42=TRUE,"YES","NO"))))))))</f>
        <v>NO</v>
      </c>
      <c r="C48" s="134">
        <v>85</v>
      </c>
      <c r="D48" s="486"/>
      <c r="E48" s="169" t="b">
        <f t="shared" si="7"/>
        <v>0</v>
      </c>
      <c r="F48" s="501"/>
      <c r="G48" s="159"/>
      <c r="H48" s="498"/>
      <c r="I48" s="134">
        <v>95</v>
      </c>
      <c r="J48" s="486"/>
      <c r="K48" s="164" t="b">
        <f t="shared" si="8"/>
        <v>0</v>
      </c>
      <c r="L48" s="489"/>
      <c r="M48" s="159"/>
      <c r="N48" s="174"/>
      <c r="O48" s="168">
        <v>195</v>
      </c>
      <c r="P48" s="468"/>
      <c r="Q48" s="163" t="b">
        <f t="shared" si="9"/>
        <v>0</v>
      </c>
      <c r="R48" s="490"/>
      <c r="S48" s="159"/>
      <c r="T48" s="498"/>
      <c r="U48" s="156">
        <v>80</v>
      </c>
      <c r="V48" s="467"/>
      <c r="W48" s="172" t="b">
        <f>U48=$V$46</f>
        <v>0</v>
      </c>
      <c r="X48" s="470"/>
    </row>
    <row r="49" spans="2:24" ht="14.25" thickTop="1" thickBot="1" x14ac:dyDescent="0.25">
      <c r="B49" s="173" t="str">
        <f>IF(E43=TRUE,"YES",IF(E44=TRUE,"YES",IF(E45=TRUE,"YES",IF(E46=TRUE,"YES",IF(E47=TRUE,"YES",IF(E48=TRUE,"YES",IF(E49=TRUE,"YES",IF(E50=TRUE,"YES","NO"))))))))</f>
        <v>YES</v>
      </c>
      <c r="C49" s="134">
        <v>90</v>
      </c>
      <c r="D49" s="486"/>
      <c r="E49" s="169" t="b">
        <f t="shared" si="7"/>
        <v>0</v>
      </c>
      <c r="F49" s="501"/>
      <c r="G49" s="159"/>
      <c r="H49" s="165"/>
      <c r="I49" s="134">
        <v>100</v>
      </c>
      <c r="J49" s="486"/>
      <c r="K49" s="164" t="b">
        <f t="shared" si="8"/>
        <v>0</v>
      </c>
      <c r="L49" s="489"/>
      <c r="M49" s="159"/>
      <c r="N49" s="160"/>
      <c r="O49" s="147"/>
      <c r="P49" s="158"/>
      <c r="Q49" s="175"/>
      <c r="R49" s="176"/>
      <c r="S49" s="159"/>
      <c r="T49" s="504"/>
      <c r="U49" s="162"/>
      <c r="V49" s="468"/>
      <c r="W49" s="177"/>
      <c r="X49" s="471"/>
    </row>
    <row r="50" spans="2:24" ht="13.5" thickTop="1" x14ac:dyDescent="0.2">
      <c r="B50" s="173" t="str">
        <f>IF(E51=TRUE,"YES",IF(E52=TRUE,"YES",IF(E53=TRUE,"YES",IF(E54=TRUE,"YES",IF(E55=TRUE,"YES","NO")))))</f>
        <v>NO</v>
      </c>
      <c r="C50" s="134">
        <v>95</v>
      </c>
      <c r="D50" s="486"/>
      <c r="E50" s="169" t="b">
        <f t="shared" si="7"/>
        <v>0</v>
      </c>
      <c r="F50" s="501"/>
      <c r="G50" s="159"/>
      <c r="H50" s="166" t="str">
        <f>IF(K35=TRUE,"YES",IF(K36=TRUE,"YES",IF(K37=TRUE,"YES",IF(K38=TRUE,"YES",IF(K39=TRUE,"YES",IF(K40=TRUE,"YES",IF(K41=TRUE,"YES",IF(K42=TRUE,"YES","NO"))))))))</f>
        <v>YES</v>
      </c>
      <c r="I50" s="134">
        <v>105</v>
      </c>
      <c r="J50" s="486"/>
      <c r="K50" s="164" t="b">
        <f t="shared" si="8"/>
        <v>0</v>
      </c>
      <c r="L50" s="489"/>
      <c r="M50" s="159"/>
      <c r="N50" s="160"/>
      <c r="O50" s="147"/>
      <c r="P50" s="158"/>
      <c r="Q50" s="175"/>
      <c r="R50" s="176"/>
      <c r="S50" s="159"/>
      <c r="T50" s="160"/>
      <c r="U50" s="160"/>
      <c r="V50" s="160"/>
      <c r="W50" s="159"/>
      <c r="X50" s="159"/>
    </row>
    <row r="51" spans="2:24" ht="13.5" thickBot="1" x14ac:dyDescent="0.25">
      <c r="B51" s="170"/>
      <c r="C51" s="134">
        <v>100</v>
      </c>
      <c r="D51" s="486"/>
      <c r="E51" s="169" t="b">
        <f t="shared" si="7"/>
        <v>0</v>
      </c>
      <c r="F51" s="501"/>
      <c r="G51" s="159"/>
      <c r="H51" s="166" t="str">
        <f>IF(K43=TRUE,"YES",IF(K44=TRUE,"YES",IF(K45=TRUE,"YES",IF(K46=TRUE,"YES",IF(K47=TRUE,"YES",IF(K48=TRUE,"YES",IF(K49=TRUE,"YES",IF(K50=TRUE,"YES","NO"))))))))</f>
        <v>NO</v>
      </c>
      <c r="I51" s="134">
        <v>110</v>
      </c>
      <c r="J51" s="486"/>
      <c r="K51" s="164" t="b">
        <f t="shared" si="8"/>
        <v>0</v>
      </c>
      <c r="L51" s="489"/>
      <c r="M51" s="159"/>
      <c r="N51" s="160"/>
      <c r="O51" s="147"/>
      <c r="P51" s="158"/>
      <c r="Q51" s="491"/>
      <c r="R51" s="176"/>
      <c r="S51" s="159"/>
      <c r="T51" s="160"/>
      <c r="U51" s="160"/>
      <c r="V51" s="160"/>
      <c r="W51" s="159"/>
      <c r="X51" s="159"/>
    </row>
    <row r="52" spans="2:24" ht="13.5" thickTop="1" x14ac:dyDescent="0.2">
      <c r="B52" s="170"/>
      <c r="C52" s="134">
        <v>110</v>
      </c>
      <c r="D52" s="486"/>
      <c r="E52" s="169" t="b">
        <f t="shared" si="7"/>
        <v>0</v>
      </c>
      <c r="F52" s="501"/>
      <c r="G52" s="159"/>
      <c r="H52" s="166" t="str">
        <f>IF(K51=TRUE,"YES",IF(K52=TRUE,"YES",IF(K53=TRUE,"YES",IF(K54=TRUE,"YES",IF(K55=TRUE,"YES",IF(K56=TRUE,"YES",IF(K57=TRUE,"YES",IF(K58=TRUE,"YES","NO"))))))))</f>
        <v>NO</v>
      </c>
      <c r="I52" s="134">
        <v>115</v>
      </c>
      <c r="J52" s="486"/>
      <c r="K52" s="164" t="b">
        <f t="shared" si="8"/>
        <v>0</v>
      </c>
      <c r="L52" s="489"/>
      <c r="M52" s="159"/>
      <c r="N52" s="160"/>
      <c r="O52" s="147"/>
      <c r="P52" s="158"/>
      <c r="Q52" s="491"/>
      <c r="R52" s="176"/>
      <c r="S52" s="159"/>
      <c r="T52" s="480" t="s">
        <v>47</v>
      </c>
      <c r="U52" s="481"/>
      <c r="V52" s="150" t="s">
        <v>138</v>
      </c>
      <c r="W52" s="150" t="s">
        <v>139</v>
      </c>
      <c r="X52" s="151" t="s">
        <v>48</v>
      </c>
    </row>
    <row r="53" spans="2:24" x14ac:dyDescent="0.2">
      <c r="B53" s="170"/>
      <c r="C53" s="134">
        <v>120</v>
      </c>
      <c r="D53" s="486"/>
      <c r="E53" s="169" t="b">
        <f t="shared" si="7"/>
        <v>0</v>
      </c>
      <c r="F53" s="501"/>
      <c r="G53" s="159"/>
      <c r="H53" s="166" t="str">
        <f>IF(K59=TRUE,"YES",IF(K60=TRUE,"YES",IF(K61=TRUE,"YES","NO")))</f>
        <v>NO</v>
      </c>
      <c r="I53" s="134">
        <v>120</v>
      </c>
      <c r="J53" s="486"/>
      <c r="K53" s="164" t="b">
        <f t="shared" si="8"/>
        <v>0</v>
      </c>
      <c r="L53" s="489"/>
      <c r="M53" s="159"/>
      <c r="N53" s="160"/>
      <c r="O53" s="147"/>
      <c r="P53" s="158"/>
      <c r="Q53" s="491"/>
      <c r="R53" s="176"/>
      <c r="S53" s="159"/>
      <c r="T53" s="482">
        <v>2</v>
      </c>
      <c r="U53" s="156">
        <v>40</v>
      </c>
      <c r="V53" s="466">
        <f>Sheet1!C17</f>
        <v>60</v>
      </c>
      <c r="W53" s="172" t="b">
        <f>U53=$V$53</f>
        <v>0</v>
      </c>
      <c r="X53" s="492" t="str">
        <f>IF(W53=TRUE,"YES",IF(W54=TRUE,"YES","NO"))</f>
        <v>NO</v>
      </c>
    </row>
    <row r="54" spans="2:24" x14ac:dyDescent="0.2">
      <c r="B54" s="170"/>
      <c r="C54" s="134">
        <v>135</v>
      </c>
      <c r="D54" s="499"/>
      <c r="E54" s="169" t="b">
        <f t="shared" si="7"/>
        <v>0</v>
      </c>
      <c r="F54" s="501"/>
      <c r="G54" s="159"/>
      <c r="H54" s="165"/>
      <c r="I54" s="134">
        <v>130</v>
      </c>
      <c r="J54" s="486"/>
      <c r="K54" s="164" t="b">
        <f t="shared" si="8"/>
        <v>0</v>
      </c>
      <c r="L54" s="489"/>
      <c r="M54" s="159"/>
      <c r="N54" s="160"/>
      <c r="O54" s="147"/>
      <c r="P54" s="158"/>
      <c r="Q54" s="491"/>
      <c r="R54" s="176"/>
      <c r="S54" s="159"/>
      <c r="T54" s="483"/>
      <c r="U54" s="156">
        <v>85</v>
      </c>
      <c r="V54" s="467"/>
      <c r="W54" s="172" t="b">
        <f>U54=$V$53</f>
        <v>0</v>
      </c>
      <c r="X54" s="493"/>
    </row>
    <row r="55" spans="2:24" ht="13.5" thickBot="1" x14ac:dyDescent="0.25">
      <c r="B55" s="161"/>
      <c r="C55" s="168">
        <v>140</v>
      </c>
      <c r="D55" s="500"/>
      <c r="E55" s="163" t="b">
        <f t="shared" si="7"/>
        <v>0</v>
      </c>
      <c r="F55" s="502"/>
      <c r="G55" s="159"/>
      <c r="H55" s="165"/>
      <c r="I55" s="134">
        <v>140</v>
      </c>
      <c r="J55" s="486"/>
      <c r="K55" s="164" t="b">
        <f t="shared" si="8"/>
        <v>0</v>
      </c>
      <c r="L55" s="489"/>
      <c r="M55" s="159"/>
      <c r="N55" s="160"/>
      <c r="O55" s="147"/>
      <c r="P55" s="158"/>
      <c r="Q55" s="491"/>
      <c r="R55" s="176"/>
      <c r="S55" s="159"/>
      <c r="T55" s="483"/>
      <c r="U55" s="156"/>
      <c r="V55" s="467"/>
      <c r="W55" s="172"/>
      <c r="X55" s="493"/>
    </row>
    <row r="56" spans="2:24" ht="14.25" thickTop="1" thickBot="1" x14ac:dyDescent="0.25">
      <c r="B56" s="160"/>
      <c r="C56" s="160"/>
      <c r="D56" s="159"/>
      <c r="E56" s="160"/>
      <c r="F56" s="159"/>
      <c r="G56" s="159"/>
      <c r="H56" s="165"/>
      <c r="I56" s="134">
        <v>150</v>
      </c>
      <c r="J56" s="487"/>
      <c r="K56" s="164" t="b">
        <f t="shared" si="8"/>
        <v>0</v>
      </c>
      <c r="L56" s="489"/>
      <c r="M56" s="159"/>
      <c r="N56" s="160"/>
      <c r="O56" s="160"/>
      <c r="P56" s="159"/>
      <c r="Q56" s="159"/>
      <c r="R56" s="159"/>
      <c r="S56" s="159"/>
      <c r="T56" s="484"/>
      <c r="U56" s="162"/>
      <c r="V56" s="468"/>
      <c r="W56" s="177"/>
      <c r="X56" s="494"/>
    </row>
    <row r="57" spans="2:24" ht="14.25" thickTop="1" thickBot="1" x14ac:dyDescent="0.25">
      <c r="B57" s="472" t="s">
        <v>140</v>
      </c>
      <c r="C57" s="473"/>
      <c r="D57" s="476" t="s">
        <v>48</v>
      </c>
      <c r="E57" s="477"/>
      <c r="F57" s="159"/>
      <c r="G57" s="159"/>
      <c r="H57" s="165"/>
      <c r="I57" s="134">
        <v>155</v>
      </c>
      <c r="J57" s="487"/>
      <c r="K57" s="164" t="b">
        <f t="shared" si="8"/>
        <v>0</v>
      </c>
      <c r="L57" s="489"/>
      <c r="M57" s="159"/>
      <c r="N57" s="160"/>
      <c r="O57" s="160"/>
      <c r="P57" s="159"/>
      <c r="Q57" s="159"/>
      <c r="R57" s="159"/>
      <c r="S57" s="159"/>
      <c r="T57" s="160"/>
      <c r="U57" s="160"/>
      <c r="V57" s="160"/>
      <c r="W57" s="159"/>
      <c r="X57" s="159"/>
    </row>
    <row r="58" spans="2:24" ht="13.5" thickTop="1" x14ac:dyDescent="0.2">
      <c r="B58" s="474"/>
      <c r="C58" s="475"/>
      <c r="D58" s="478"/>
      <c r="E58" s="479"/>
      <c r="F58" s="159"/>
      <c r="G58" s="159"/>
      <c r="H58" s="165"/>
      <c r="I58" s="134">
        <v>165</v>
      </c>
      <c r="J58" s="487"/>
      <c r="K58" s="164" t="b">
        <f t="shared" si="8"/>
        <v>0</v>
      </c>
      <c r="L58" s="489"/>
      <c r="M58" s="159"/>
      <c r="N58" s="160"/>
      <c r="O58" s="160"/>
      <c r="P58" s="159"/>
      <c r="Q58" s="159"/>
      <c r="R58" s="159"/>
      <c r="S58" s="159"/>
      <c r="T58" s="480" t="s">
        <v>47</v>
      </c>
      <c r="U58" s="481"/>
      <c r="V58" s="150"/>
      <c r="W58" s="150" t="s">
        <v>139</v>
      </c>
      <c r="X58" s="151" t="s">
        <v>48</v>
      </c>
    </row>
    <row r="59" spans="2:24" x14ac:dyDescent="0.2">
      <c r="B59" s="178">
        <f>B17</f>
        <v>0.4</v>
      </c>
      <c r="C59" s="179" t="b">
        <f>B59=$E$12</f>
        <v>0</v>
      </c>
      <c r="D59" s="180" t="str">
        <f>F17</f>
        <v>NO</v>
      </c>
      <c r="E59" s="181" t="str">
        <f>IF(AND(C59=TRUE,D59="YES"),"YES","NO")</f>
        <v>NO</v>
      </c>
      <c r="F59" s="160"/>
      <c r="G59" s="159"/>
      <c r="H59" s="165"/>
      <c r="I59" s="134">
        <v>170</v>
      </c>
      <c r="J59" s="487"/>
      <c r="K59" s="164" t="b">
        <f t="shared" si="8"/>
        <v>0</v>
      </c>
      <c r="L59" s="489"/>
      <c r="M59" s="159"/>
      <c r="N59" s="160"/>
      <c r="O59" s="160"/>
      <c r="P59" s="159"/>
      <c r="Q59" s="159"/>
      <c r="R59" s="159"/>
      <c r="S59" s="159"/>
      <c r="T59" s="482">
        <v>2.2999999999999998</v>
      </c>
      <c r="U59" s="156">
        <v>80</v>
      </c>
      <c r="V59" s="466">
        <f>Sheet1!C17</f>
        <v>60</v>
      </c>
      <c r="W59" s="172" t="b">
        <f>U59=$V$59</f>
        <v>0</v>
      </c>
      <c r="X59" s="469" t="str">
        <f>IF(W59=TRUE,"YES","NO")</f>
        <v>NO</v>
      </c>
    </row>
    <row r="60" spans="2:24" x14ac:dyDescent="0.2">
      <c r="B60" s="178">
        <f>H17</f>
        <v>0.6</v>
      </c>
      <c r="C60" s="179" t="b">
        <f t="shared" ref="C60:C67" si="10">B60=$E$12</f>
        <v>0</v>
      </c>
      <c r="D60" s="180" t="str">
        <f>L17</f>
        <v>YES</v>
      </c>
      <c r="E60" s="181" t="str">
        <f>IF(AND(C60=TRUE,D60="YES"),"YES","NO")</f>
        <v>NO</v>
      </c>
      <c r="F60" s="159"/>
      <c r="G60" s="159"/>
      <c r="H60" s="165"/>
      <c r="I60" s="134">
        <v>180</v>
      </c>
      <c r="J60" s="487"/>
      <c r="K60" s="164" t="b">
        <f t="shared" si="8"/>
        <v>0</v>
      </c>
      <c r="L60" s="489"/>
      <c r="M60" s="159"/>
      <c r="N60" s="160"/>
      <c r="O60" s="160"/>
      <c r="P60" s="159"/>
      <c r="Q60" s="159"/>
      <c r="R60" s="159"/>
      <c r="S60" s="159"/>
      <c r="T60" s="483"/>
      <c r="U60" s="156"/>
      <c r="V60" s="467"/>
      <c r="W60" s="172"/>
      <c r="X60" s="470"/>
    </row>
    <row r="61" spans="2:24" ht="13.5" thickBot="1" x14ac:dyDescent="0.25">
      <c r="B61" s="178">
        <f>B35</f>
        <v>0.8</v>
      </c>
      <c r="C61" s="179" t="b">
        <f t="shared" si="10"/>
        <v>1</v>
      </c>
      <c r="D61" s="180" t="str">
        <f>F35</f>
        <v>YES</v>
      </c>
      <c r="E61" s="181" t="str">
        <f t="shared" ref="E61:E66" si="11">IF(AND(C61=TRUE,D61="YES"),"YES","NO")</f>
        <v>YES</v>
      </c>
      <c r="F61" s="159"/>
      <c r="G61" s="159"/>
      <c r="H61" s="167"/>
      <c r="I61" s="168">
        <v>190</v>
      </c>
      <c r="J61" s="488"/>
      <c r="K61" s="163" t="b">
        <f t="shared" si="8"/>
        <v>0</v>
      </c>
      <c r="L61" s="490"/>
      <c r="M61" s="159"/>
      <c r="N61" s="160"/>
      <c r="O61" s="160"/>
      <c r="P61" s="159"/>
      <c r="Q61" s="159"/>
      <c r="R61" s="159"/>
      <c r="S61" s="159"/>
      <c r="T61" s="483"/>
      <c r="U61" s="156"/>
      <c r="V61" s="467"/>
      <c r="W61" s="172"/>
      <c r="X61" s="470"/>
    </row>
    <row r="62" spans="2:24" ht="14.25" thickTop="1" thickBot="1" x14ac:dyDescent="0.25">
      <c r="B62" s="178">
        <f>H35</f>
        <v>1</v>
      </c>
      <c r="C62" s="179" t="b">
        <f t="shared" si="10"/>
        <v>0</v>
      </c>
      <c r="D62" s="180" t="str">
        <f>L35</f>
        <v>YES</v>
      </c>
      <c r="E62" s="181" t="str">
        <f t="shared" si="11"/>
        <v>NO</v>
      </c>
      <c r="F62" s="159"/>
      <c r="G62" s="159"/>
      <c r="H62" s="160"/>
      <c r="I62" s="160"/>
      <c r="J62" s="159"/>
      <c r="K62" s="159"/>
      <c r="L62" s="159"/>
      <c r="M62" s="159"/>
      <c r="N62" s="160"/>
      <c r="O62" s="160"/>
      <c r="P62" s="159"/>
      <c r="Q62" s="159"/>
      <c r="R62" s="159"/>
      <c r="S62" s="159"/>
      <c r="T62" s="484"/>
      <c r="U62" s="162"/>
      <c r="V62" s="468"/>
      <c r="W62" s="177"/>
      <c r="X62" s="471"/>
    </row>
    <row r="63" spans="2:24" ht="13.5" thickTop="1" x14ac:dyDescent="0.2">
      <c r="B63" s="178">
        <f>N35</f>
        <v>1.2</v>
      </c>
      <c r="C63" s="179" t="b">
        <f t="shared" si="10"/>
        <v>0</v>
      </c>
      <c r="D63" s="180" t="str">
        <f>R35</f>
        <v>YES</v>
      </c>
      <c r="E63" s="181" t="str">
        <f t="shared" si="11"/>
        <v>NO</v>
      </c>
      <c r="F63" s="159"/>
      <c r="G63" s="159"/>
      <c r="H63" s="160"/>
      <c r="I63" s="160"/>
      <c r="J63" s="159"/>
      <c r="K63" s="159"/>
      <c r="L63" s="159"/>
      <c r="M63" s="159"/>
      <c r="N63" s="160"/>
      <c r="O63" s="160"/>
      <c r="P63" s="159"/>
      <c r="Q63" s="159"/>
      <c r="R63" s="159"/>
      <c r="S63" s="159"/>
      <c r="T63" s="160"/>
      <c r="U63" s="160"/>
      <c r="V63" s="160"/>
      <c r="W63" s="159"/>
      <c r="X63" s="159"/>
    </row>
    <row r="64" spans="2:24" x14ac:dyDescent="0.2">
      <c r="B64" s="178">
        <f>T35</f>
        <v>1.5</v>
      </c>
      <c r="C64" s="179" t="b">
        <f t="shared" si="10"/>
        <v>0</v>
      </c>
      <c r="D64" s="180" t="str">
        <f>X35</f>
        <v>NO</v>
      </c>
      <c r="E64" s="181" t="str">
        <f t="shared" si="11"/>
        <v>NO</v>
      </c>
      <c r="F64" s="159"/>
      <c r="G64" s="159"/>
      <c r="H64" s="160"/>
      <c r="I64" s="160"/>
      <c r="J64" s="159"/>
      <c r="K64" s="159"/>
      <c r="L64" s="159"/>
      <c r="M64" s="159"/>
      <c r="N64" s="160"/>
      <c r="O64" s="160"/>
      <c r="P64" s="159"/>
      <c r="Q64" s="159"/>
      <c r="R64" s="159"/>
      <c r="S64" s="159"/>
      <c r="T64" s="160"/>
      <c r="U64" s="160"/>
      <c r="V64" s="160"/>
      <c r="W64" s="159"/>
      <c r="X64" s="159"/>
    </row>
    <row r="65" spans="2:24" x14ac:dyDescent="0.2">
      <c r="B65" s="178">
        <f>T46</f>
        <v>1.6</v>
      </c>
      <c r="C65" s="179" t="b">
        <f t="shared" si="10"/>
        <v>0</v>
      </c>
      <c r="D65" s="180" t="str">
        <f>X46</f>
        <v>NO</v>
      </c>
      <c r="E65" s="181" t="str">
        <f t="shared" si="11"/>
        <v>NO</v>
      </c>
      <c r="F65" s="159"/>
      <c r="G65" s="159"/>
      <c r="H65" s="160"/>
      <c r="I65" s="160"/>
      <c r="J65" s="159"/>
      <c r="K65" s="159"/>
      <c r="L65" s="159"/>
      <c r="M65" s="159"/>
      <c r="N65" s="160"/>
      <c r="O65" s="160"/>
      <c r="P65" s="159"/>
      <c r="Q65" s="159"/>
      <c r="R65" s="159"/>
      <c r="S65" s="159"/>
      <c r="T65" s="160"/>
      <c r="U65" s="160"/>
      <c r="V65" s="160"/>
      <c r="W65" s="159"/>
      <c r="X65" s="159"/>
    </row>
    <row r="66" spans="2:24" x14ac:dyDescent="0.2">
      <c r="B66" s="178">
        <f>T53</f>
        <v>2</v>
      </c>
      <c r="C66" s="179" t="b">
        <f t="shared" si="10"/>
        <v>0</v>
      </c>
      <c r="D66" s="180" t="str">
        <f>X53</f>
        <v>NO</v>
      </c>
      <c r="E66" s="181" t="str">
        <f t="shared" si="11"/>
        <v>NO</v>
      </c>
      <c r="F66" s="159"/>
      <c r="G66" s="159"/>
      <c r="H66" s="160"/>
      <c r="I66" s="160"/>
      <c r="J66" s="159"/>
      <c r="K66" s="159"/>
      <c r="L66" s="159"/>
      <c r="M66" s="159"/>
      <c r="N66" s="160"/>
      <c r="O66" s="160"/>
      <c r="P66" s="159"/>
      <c r="Q66" s="159"/>
      <c r="R66" s="159"/>
      <c r="S66" s="159"/>
      <c r="T66" s="160"/>
      <c r="U66" s="160"/>
      <c r="V66" s="160"/>
      <c r="W66" s="159"/>
      <c r="X66" s="159"/>
    </row>
    <row r="67" spans="2:24" ht="13.5" thickBot="1" x14ac:dyDescent="0.25">
      <c r="B67" s="182">
        <f>T59</f>
        <v>2.2999999999999998</v>
      </c>
      <c r="C67" s="183" t="b">
        <f t="shared" si="10"/>
        <v>0</v>
      </c>
      <c r="D67" s="184" t="str">
        <f>X59</f>
        <v>NO</v>
      </c>
      <c r="E67" s="185" t="str">
        <f>IF(AND(C67=TRUE,D67="YES"),"YES","NO")</f>
        <v>NO</v>
      </c>
      <c r="F67" s="159"/>
      <c r="G67" s="159"/>
      <c r="H67" s="160"/>
      <c r="I67" s="160"/>
      <c r="J67" s="159"/>
      <c r="K67" s="159"/>
      <c r="L67" s="159"/>
      <c r="M67" s="159"/>
      <c r="N67" s="160"/>
      <c r="O67" s="160"/>
      <c r="P67" s="159"/>
      <c r="Q67" s="159"/>
      <c r="R67" s="159"/>
      <c r="S67" s="159"/>
      <c r="T67" s="160"/>
      <c r="U67" s="160"/>
      <c r="V67" s="160"/>
      <c r="W67" s="159"/>
      <c r="X67" s="159"/>
    </row>
    <row r="68" spans="2:24" ht="13.5" thickTop="1" x14ac:dyDescent="0.2">
      <c r="B68" s="160"/>
      <c r="C68" s="160"/>
      <c r="D68" s="159"/>
      <c r="E68" s="160"/>
      <c r="F68" s="159"/>
      <c r="G68" s="159"/>
      <c r="H68" s="160"/>
      <c r="I68" s="160"/>
      <c r="J68" s="159"/>
      <c r="K68" s="159"/>
      <c r="L68" s="159"/>
      <c r="M68" s="159"/>
      <c r="N68" s="160"/>
      <c r="O68" s="160"/>
      <c r="P68" s="159"/>
      <c r="Q68" s="159"/>
      <c r="R68" s="159"/>
      <c r="S68" s="159"/>
      <c r="T68" s="160"/>
      <c r="U68" s="160"/>
      <c r="V68" s="160"/>
      <c r="W68" s="159"/>
      <c r="X68" s="159"/>
    </row>
    <row r="69" spans="2:24" x14ac:dyDescent="0.2">
      <c r="B69" s="148"/>
      <c r="C69" s="148"/>
      <c r="E69" s="148"/>
      <c r="H69" s="148"/>
      <c r="I69" s="148"/>
      <c r="N69" s="148"/>
      <c r="O69" s="148"/>
      <c r="T69" s="148"/>
      <c r="U69" s="148"/>
      <c r="V69" s="148"/>
    </row>
    <row r="70" spans="2:24" x14ac:dyDescent="0.2">
      <c r="B70" s="148"/>
      <c r="C70" s="148"/>
      <c r="E70" s="148"/>
      <c r="H70" s="148"/>
      <c r="I70" s="148"/>
      <c r="N70" s="148"/>
      <c r="O70" s="148"/>
      <c r="T70" s="148"/>
      <c r="U70" s="148"/>
      <c r="V70" s="148"/>
    </row>
  </sheetData>
  <sheetProtection selectLockedCells="1" selectUnlockedCells="1"/>
  <mergeCells count="43">
    <mergeCell ref="A12:A14"/>
    <mergeCell ref="F17:F23"/>
    <mergeCell ref="B16:C16"/>
    <mergeCell ref="D17:D23"/>
    <mergeCell ref="J17:J31"/>
    <mergeCell ref="H16:I16"/>
    <mergeCell ref="B17:B22"/>
    <mergeCell ref="H17:H23"/>
    <mergeCell ref="E4:E5"/>
    <mergeCell ref="E8:E9"/>
    <mergeCell ref="T45:U45"/>
    <mergeCell ref="T46:T49"/>
    <mergeCell ref="V46:V49"/>
    <mergeCell ref="L17:L31"/>
    <mergeCell ref="T34:U34"/>
    <mergeCell ref="T35:T42"/>
    <mergeCell ref="V35:V42"/>
    <mergeCell ref="N34:O34"/>
    <mergeCell ref="N35:N42"/>
    <mergeCell ref="H34:I34"/>
    <mergeCell ref="H35:H48"/>
    <mergeCell ref="I11:K11"/>
    <mergeCell ref="X35:X42"/>
    <mergeCell ref="B34:C34"/>
    <mergeCell ref="B35:B45"/>
    <mergeCell ref="D35:D55"/>
    <mergeCell ref="F35:F55"/>
    <mergeCell ref="V59:V62"/>
    <mergeCell ref="X59:X62"/>
    <mergeCell ref="B57:C58"/>
    <mergeCell ref="D57:E58"/>
    <mergeCell ref="T58:U58"/>
    <mergeCell ref="T59:T62"/>
    <mergeCell ref="J35:J61"/>
    <mergeCell ref="L35:L61"/>
    <mergeCell ref="P35:P48"/>
    <mergeCell ref="Q51:Q55"/>
    <mergeCell ref="X46:X49"/>
    <mergeCell ref="T52:U52"/>
    <mergeCell ref="T53:T56"/>
    <mergeCell ref="V53:V56"/>
    <mergeCell ref="X53:X56"/>
    <mergeCell ref="R35:R48"/>
  </mergeCells>
  <phoneticPr fontId="0" type="noConversion"/>
  <conditionalFormatting sqref="F17:F23">
    <cfRule type="expression" dxfId="8" priority="1" stopIfTrue="1">
      <formula>IF($F$17="NO",TRUE," ")</formula>
    </cfRule>
  </conditionalFormatting>
  <conditionalFormatting sqref="F35:F55">
    <cfRule type="expression" dxfId="7" priority="2" stopIfTrue="1">
      <formula>IF($F$35="NO",TRUE," ")</formula>
    </cfRule>
  </conditionalFormatting>
  <conditionalFormatting sqref="L17:L31">
    <cfRule type="expression" dxfId="6" priority="3" stopIfTrue="1">
      <formula>IF($L$17="NO",TRUE," ")</formula>
    </cfRule>
  </conditionalFormatting>
  <conditionalFormatting sqref="L35:L61">
    <cfRule type="expression" dxfId="5" priority="4" stopIfTrue="1">
      <formula>IF($L$35="NO",TRUE," ")</formula>
    </cfRule>
  </conditionalFormatting>
  <conditionalFormatting sqref="R35:R48">
    <cfRule type="expression" dxfId="4" priority="5" stopIfTrue="1">
      <formula>IF($R$35="NO",TRUE," ")</formula>
    </cfRule>
  </conditionalFormatting>
  <conditionalFormatting sqref="X35:X42">
    <cfRule type="expression" dxfId="3" priority="6" stopIfTrue="1">
      <formula>IF($X$35="NO",TRUE," ")</formula>
    </cfRule>
  </conditionalFormatting>
  <conditionalFormatting sqref="X46:X49">
    <cfRule type="expression" dxfId="2" priority="7" stopIfTrue="1">
      <formula>IF($X$46="NO",TRUE," ")</formula>
    </cfRule>
  </conditionalFormatting>
  <conditionalFormatting sqref="X53:X56">
    <cfRule type="expression" dxfId="1" priority="8" stopIfTrue="1">
      <formula>IF($X$53="NO",TRUE," ")</formula>
    </cfRule>
  </conditionalFormatting>
  <conditionalFormatting sqref="X59">
    <cfRule type="expression" dxfId="0" priority="9" stopIfTrue="1">
      <formula>IF($X$59="NO",TRUE," ")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21</vt:i4>
      </vt:variant>
    </vt:vector>
  </HeadingPairs>
  <TitlesOfParts>
    <vt:vector size="44" baseType="lpstr">
      <vt:lpstr>Sheet1</vt:lpstr>
      <vt:lpstr>IPH</vt:lpstr>
      <vt:lpstr>IP1</vt:lpstr>
      <vt:lpstr>IP3</vt:lpstr>
      <vt:lpstr>NC1</vt:lpstr>
      <vt:lpstr>NC2</vt:lpstr>
      <vt:lpstr>NC3</vt:lpstr>
      <vt:lpstr>NC4</vt:lpstr>
      <vt:lpstr>NC6</vt:lpstr>
      <vt:lpstr>OP1</vt:lpstr>
      <vt:lpstr>OP2</vt:lpstr>
      <vt:lpstr>OD</vt:lpstr>
      <vt:lpstr>EC1</vt:lpstr>
      <vt:lpstr>EC2</vt:lpstr>
      <vt:lpstr>DP1</vt:lpstr>
      <vt:lpstr>DP2</vt:lpstr>
      <vt:lpstr>DP3</vt:lpstr>
      <vt:lpstr>DP4</vt:lpstr>
      <vt:lpstr>DP26</vt:lpstr>
      <vt:lpstr>DP8</vt:lpstr>
      <vt:lpstr>DP9</vt:lpstr>
      <vt:lpstr>Sheet2</vt:lpstr>
      <vt:lpstr>Sheet3</vt:lpstr>
      <vt:lpstr>'DP1'!Print_Area</vt:lpstr>
      <vt:lpstr>'DP2'!Print_Area</vt:lpstr>
      <vt:lpstr>'DP26'!Print_Area</vt:lpstr>
      <vt:lpstr>'DP3'!Print_Area</vt:lpstr>
      <vt:lpstr>'DP4'!Print_Area</vt:lpstr>
      <vt:lpstr>'DP8'!Print_Area</vt:lpstr>
      <vt:lpstr>'DP9'!Print_Area</vt:lpstr>
      <vt:lpstr>'EC1'!Print_Area</vt:lpstr>
      <vt:lpstr>'EC2'!Print_Area</vt:lpstr>
      <vt:lpstr>'IP1'!Print_Area</vt:lpstr>
      <vt:lpstr>'IP3'!Print_Area</vt:lpstr>
      <vt:lpstr>IPH!Print_Area</vt:lpstr>
      <vt:lpstr>'NC1'!Print_Area</vt:lpstr>
      <vt:lpstr>'NC2'!Print_Area</vt:lpstr>
      <vt:lpstr>'NC3'!Print_Area</vt:lpstr>
      <vt:lpstr>'NC4'!Print_Area</vt:lpstr>
      <vt:lpstr>'NC6'!Print_Area</vt:lpstr>
      <vt:lpstr>OD!Print_Area</vt:lpstr>
      <vt:lpstr>'OP1'!Print_Area</vt:lpstr>
      <vt:lpstr>'OP2'!Print_Area</vt:lpstr>
      <vt:lpstr>Sheet1!Print_Area</vt:lpstr>
    </vt:vector>
  </TitlesOfParts>
  <Company>NOK Asia Company Pte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 HC</dc:creator>
  <cp:lastModifiedBy>Kee Hui Chiun</cp:lastModifiedBy>
  <cp:lastPrinted>2020-01-06T00:20:39Z</cp:lastPrinted>
  <dcterms:created xsi:type="dcterms:W3CDTF">2001-11-16T02:32:41Z</dcterms:created>
  <dcterms:modified xsi:type="dcterms:W3CDTF">2020-06-05T08:36:47Z</dcterms:modified>
</cp:coreProperties>
</file>