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drawings/drawing18.xml" ContentType="application/vnd.openxmlformats-officedocument.drawing+xml"/>
  <Override PartName="/xl/tables/table15.xml" ContentType="application/vnd.openxmlformats-officedocument.spreadsheetml.table+xml"/>
  <Override PartName="/xl/drawings/drawing19.xml" ContentType="application/vnd.openxmlformats-officedocument.drawing+xml"/>
  <Override PartName="/xl/tables/table16.xml" ContentType="application/vnd.openxmlformats-officedocument.spreadsheetml.table+xml"/>
  <Override PartName="/xl/drawings/drawing20.xml" ContentType="application/vnd.openxmlformats-officedocument.drawing+xml"/>
  <Override PartName="/xl/tables/table17.xml" ContentType="application/vnd.openxmlformats-officedocument.spreadsheetml.table+xml"/>
  <Override PartName="/xl/drawings/drawing21.xml" ContentType="application/vnd.openxmlformats-officedocument.drawing+xml"/>
  <Override PartName="/xl/tables/table18.xml" ContentType="application/vnd.openxmlformats-officedocument.spreadsheetml.table+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tables/table20.xml" ContentType="application/vnd.openxmlformats-officedocument.spreadsheetml.table+xml"/>
  <Override PartName="/xl/drawings/drawing24.xml" ContentType="application/vnd.openxmlformats-officedocument.drawing+xml"/>
  <Override PartName="/xl/tables/table21.xml" ContentType="application/vnd.openxmlformats-officedocument.spreadsheetml.table+xml"/>
  <Override PartName="/xl/drawings/drawing25.xml" ContentType="application/vnd.openxmlformats-officedocument.drawing+xml"/>
  <Override PartName="/xl/tables/table22.xml" ContentType="application/vnd.openxmlformats-officedocument.spreadsheetml.table+xml"/>
  <Override PartName="/xl/drawings/drawing26.xml" ContentType="application/vnd.openxmlformats-officedocument.drawing+xml"/>
  <Override PartName="/xl/tables/table23.xml" ContentType="application/vnd.openxmlformats-officedocument.spreadsheetml.table+xml"/>
  <Override PartName="/xl/drawings/drawing27.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olan\OneDrive\Documents\GitHub\graceful\backend\models\data\"/>
    </mc:Choice>
  </mc:AlternateContent>
  <xr:revisionPtr revIDLastSave="0" documentId="13_ncr:1_{67FE52E9-D1D3-40A4-8219-83153F00DE27}" xr6:coauthVersionLast="47" xr6:coauthVersionMax="47" xr10:uidLastSave="{00000000-0000-0000-0000-000000000000}"/>
  <bookViews>
    <workbookView xWindow="26775" yWindow="690" windowWidth="24090" windowHeight="11835" tabRatio="916" firstSheet="6" activeTab="8"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s"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 i="44" l="1"/>
  <c r="R56" i="8"/>
  <c r="Q52" i="8"/>
  <c r="P51" i="8"/>
  <c r="V46" i="8"/>
  <c r="V55" i="8"/>
  <c r="V78" i="8"/>
  <c r="M63" i="8"/>
  <c r="M57" i="8"/>
  <c r="O53" i="8"/>
  <c r="M47" i="8"/>
  <c r="G2" i="63"/>
  <c r="N34" i="59"/>
  <c r="F2" i="61"/>
  <c r="F3" i="61"/>
  <c r="F4" i="61"/>
  <c r="F5" i="61"/>
  <c r="F6" i="61"/>
  <c r="F7" i="61"/>
  <c r="F8" i="61"/>
  <c r="F9" i="61"/>
  <c r="F11" i="61"/>
  <c r="F12" i="61"/>
  <c r="F13" i="61"/>
  <c r="F14" i="61"/>
  <c r="F15" i="61"/>
  <c r="F17" i="61"/>
  <c r="F18" i="61"/>
  <c r="F19" i="61"/>
  <c r="F20" i="61"/>
  <c r="F21" i="61"/>
  <c r="F23" i="61"/>
  <c r="F26" i="61"/>
  <c r="F27" i="61"/>
  <c r="F28" i="61"/>
  <c r="F29" i="61"/>
  <c r="F30" i="61"/>
  <c r="F32" i="61"/>
  <c r="F33" i="61"/>
  <c r="F34" i="61"/>
  <c r="F35" i="61"/>
  <c r="F36" i="61"/>
  <c r="Q30" i="13"/>
  <c r="E9" i="13"/>
  <c r="B2" i="20"/>
  <c r="C3" i="50"/>
  <c r="P69" i="58"/>
  <c r="AE2" i="58"/>
  <c r="Q36" i="41"/>
  <c r="A36" i="41" s="1"/>
  <c r="Q35" i="41"/>
  <c r="A35" i="41" s="1"/>
  <c r="Q34" i="41"/>
  <c r="A34" i="41" s="1"/>
  <c r="Q33" i="41"/>
  <c r="A33" i="41" s="1"/>
  <c r="Q32" i="41"/>
  <c r="A32" i="41" s="1"/>
  <c r="Q31" i="41"/>
  <c r="A31" i="41" s="1"/>
  <c r="Q30" i="41"/>
  <c r="A30" i="41" s="1"/>
  <c r="Q29" i="41"/>
  <c r="A29" i="41" s="1"/>
  <c r="Q28" i="41"/>
  <c r="A28" i="41" s="1"/>
  <c r="Q27" i="41"/>
  <c r="A27" i="41" s="1"/>
  <c r="Q26" i="41"/>
  <c r="A26" i="41" s="1"/>
  <c r="Q25" i="41"/>
  <c r="A25" i="41" s="1"/>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50" i="8"/>
  <c r="V60" i="8"/>
  <c r="V74" i="8"/>
  <c r="V75" i="8"/>
  <c r="V76" i="8"/>
  <c r="V77"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2" i="53"/>
  <c r="H84" i="15"/>
  <c r="D6" i="19"/>
  <c r="E6" i="19" s="1"/>
  <c r="C6" i="19"/>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5" i="49"/>
  <c r="C6" i="49"/>
  <c r="C7" i="49"/>
  <c r="C8" i="49"/>
  <c r="C9" i="49"/>
  <c r="C10" i="49"/>
  <c r="J2" i="50" s="1"/>
  <c r="J28" i="50" s="1"/>
  <c r="C11" i="49"/>
  <c r="C12" i="49"/>
  <c r="C13" i="49"/>
  <c r="C14" i="49"/>
  <c r="I2" i="50" s="1"/>
  <c r="C15" i="49"/>
  <c r="C3" i="49"/>
  <c r="B7" i="50" s="1"/>
  <c r="B28" i="50" s="1"/>
  <c r="J2" i="38" l="1"/>
  <c r="J64" i="38" s="1"/>
  <c r="G2" i="38"/>
  <c r="K13" i="38"/>
  <c r="K55" i="38"/>
  <c r="K88" i="38"/>
  <c r="K11" i="38"/>
  <c r="K12" i="38"/>
  <c r="K15" i="38"/>
  <c r="K16" i="38"/>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F3" i="50"/>
  <c r="F28" i="50" s="1"/>
  <c r="G3" i="50"/>
  <c r="G7" i="50" s="1"/>
  <c r="H2" i="50"/>
  <c r="H28" i="50" s="1"/>
  <c r="K2" i="50"/>
  <c r="K23" i="50" s="1"/>
  <c r="N2" i="50"/>
  <c r="M2" i="50"/>
  <c r="M23" i="50" s="1"/>
  <c r="L2" i="50"/>
  <c r="L13" i="50" s="1"/>
  <c r="J9" i="50"/>
  <c r="J14" i="50"/>
  <c r="J20" i="50"/>
  <c r="J25" i="50"/>
  <c r="J3" i="50"/>
  <c r="J11" i="50"/>
  <c r="J16" i="50"/>
  <c r="J21" i="50"/>
  <c r="J26" i="50"/>
  <c r="J4" i="50"/>
  <c r="J12" i="50"/>
  <c r="J18" i="50"/>
  <c r="J22" i="50"/>
  <c r="J27" i="50"/>
  <c r="J5" i="50"/>
  <c r="J13" i="50"/>
  <c r="J19" i="50"/>
  <c r="J23" i="50"/>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C4" i="63"/>
  <c r="C9" i="63" s="1"/>
  <c r="M12" i="63"/>
  <c r="A12" i="63" s="1"/>
  <c r="M18" i="63"/>
  <c r="A18" i="63" s="1"/>
  <c r="M21" i="63"/>
  <c r="A21" i="63" s="1"/>
  <c r="M23" i="63"/>
  <c r="A23" i="63" s="1"/>
  <c r="M26" i="63"/>
  <c r="A26" i="63" s="1"/>
  <c r="M28" i="63"/>
  <c r="A28" i="63" s="1"/>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C12" i="64"/>
  <c r="H2" i="63" s="1"/>
  <c r="C7" i="64"/>
  <c r="C6" i="64"/>
  <c r="C5" i="64"/>
  <c r="D4" i="63" s="1"/>
  <c r="D25" i="63" s="1"/>
  <c r="C4" i="64"/>
  <c r="E2" i="63" s="1"/>
  <c r="E27" i="63" s="1"/>
  <c r="C3" i="64"/>
  <c r="B2" i="63" s="1"/>
  <c r="C10" i="57"/>
  <c r="I12" i="60" s="1"/>
  <c r="I19" i="60" s="1"/>
  <c r="C9" i="57"/>
  <c r="H33" i="60" s="1"/>
  <c r="I2" i="60" l="1"/>
  <c r="I127" i="60" s="1"/>
  <c r="L2" i="63"/>
  <c r="L15" i="63" s="1"/>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K7" i="63"/>
  <c r="K13" i="63"/>
  <c r="K8" i="63"/>
  <c r="K22" i="63"/>
  <c r="K30" i="63"/>
  <c r="K4" i="63"/>
  <c r="M4" i="63" s="1"/>
  <c r="A4" i="63" s="1"/>
  <c r="K16" i="63"/>
  <c r="K14" i="63"/>
  <c r="K10" i="63"/>
  <c r="M8" i="63"/>
  <c r="A8" i="63" s="1"/>
  <c r="I30" i="63"/>
  <c r="I25" i="63"/>
  <c r="I19" i="63"/>
  <c r="I14" i="63"/>
  <c r="I9" i="63"/>
  <c r="I5" i="63"/>
  <c r="I27" i="63"/>
  <c r="I22" i="63"/>
  <c r="I16" i="63"/>
  <c r="I11" i="63"/>
  <c r="I7" i="63"/>
  <c r="I32" i="63"/>
  <c r="I20" i="63"/>
  <c r="I15" i="63"/>
  <c r="I10" i="63"/>
  <c r="I29" i="63"/>
  <c r="I24" i="63"/>
  <c r="I17" i="63"/>
  <c r="I13" i="63"/>
  <c r="I8" i="63"/>
  <c r="I6" i="63"/>
  <c r="J27" i="63"/>
  <c r="J14" i="63"/>
  <c r="J17" i="63"/>
  <c r="J13" i="63"/>
  <c r="J5" i="63"/>
  <c r="M5" i="63" s="1"/>
  <c r="A5" i="63" s="1"/>
  <c r="J16" i="63"/>
  <c r="J9" i="63"/>
  <c r="J15" i="63"/>
  <c r="F5" i="63"/>
  <c r="F20" i="63"/>
  <c r="F15" i="63"/>
  <c r="F10" i="63"/>
  <c r="F6" i="63"/>
  <c r="F19" i="63"/>
  <c r="F14" i="63"/>
  <c r="F9" i="63"/>
  <c r="F17" i="63"/>
  <c r="F13" i="63"/>
  <c r="F8" i="63"/>
  <c r="F16" i="63"/>
  <c r="F11" i="63"/>
  <c r="F7" i="63"/>
  <c r="M27" i="63"/>
  <c r="A27" i="63" s="1"/>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B2" i="59"/>
  <c r="W2" i="59"/>
  <c r="V2" i="59"/>
  <c r="U2" i="59"/>
  <c r="T2" i="59"/>
  <c r="S2" i="59"/>
  <c r="R3" i="59"/>
  <c r="Q7" i="59"/>
  <c r="P5" i="59"/>
  <c r="O5" i="59"/>
  <c r="N8" i="59"/>
  <c r="M7" i="59"/>
  <c r="M2" i="59"/>
  <c r="L2" i="59"/>
  <c r="K2" i="59"/>
  <c r="K20" i="59"/>
  <c r="J2" i="59"/>
  <c r="I2" i="59"/>
  <c r="B5" i="59"/>
  <c r="C25" i="56"/>
  <c r="C26" i="56"/>
  <c r="C16" i="56"/>
  <c r="C17" i="56"/>
  <c r="C18" i="56"/>
  <c r="C12" i="56"/>
  <c r="K5" i="61" s="1"/>
  <c r="K37" i="61" s="1"/>
  <c r="C13" i="56"/>
  <c r="L17" i="61" s="1"/>
  <c r="L27" i="61" s="1"/>
  <c r="C8" i="56"/>
  <c r="C4" i="56"/>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C15" i="55"/>
  <c r="AA2" i="58" s="1"/>
  <c r="C16" i="55"/>
  <c r="AB2" i="58" s="1"/>
  <c r="C17" i="55"/>
  <c r="AC2" i="58" s="1"/>
  <c r="C18" i="55"/>
  <c r="C19" i="55"/>
  <c r="C20" i="55"/>
  <c r="I2" i="58" l="1"/>
  <c r="I44" i="58" s="1"/>
  <c r="Z98" i="58"/>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AA103" i="58"/>
  <c r="AA99" i="58"/>
  <c r="AA95" i="58"/>
  <c r="AA91" i="58"/>
  <c r="AA86" i="58"/>
  <c r="AA102" i="58"/>
  <c r="AA98" i="58"/>
  <c r="AA94" i="58"/>
  <c r="AA90" i="58"/>
  <c r="AA105" i="58"/>
  <c r="AA101" i="58"/>
  <c r="AA97" i="58"/>
  <c r="AA93" i="58"/>
  <c r="AA88" i="58"/>
  <c r="AA100" i="58"/>
  <c r="AA96" i="58"/>
  <c r="AA104" i="58"/>
  <c r="AA92" i="58"/>
  <c r="AA87"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AD2"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T7" i="58"/>
  <c r="Q2" i="58"/>
  <c r="P2" i="58"/>
  <c r="M2" i="58"/>
  <c r="N4" i="45"/>
  <c r="N6" i="45"/>
  <c r="N8" i="45"/>
  <c r="N10" i="45"/>
  <c r="N11" i="45"/>
  <c r="N12" i="45"/>
  <c r="C7" i="48"/>
  <c r="L5" i="45" s="1"/>
  <c r="C8" i="48"/>
  <c r="K2" i="45" s="1"/>
  <c r="C16" i="48"/>
  <c r="C12" i="48"/>
  <c r="J7" i="45" s="1"/>
  <c r="C13" i="48"/>
  <c r="I2" i="45" s="1"/>
  <c r="I94" i="58" l="1"/>
  <c r="I22" i="58"/>
  <c r="I101" i="58"/>
  <c r="I29" i="58"/>
  <c r="I18" i="58"/>
  <c r="I40" i="58"/>
  <c r="I103" i="58"/>
  <c r="I17" i="58"/>
  <c r="I25" i="58"/>
  <c r="I36" i="58"/>
  <c r="I86" i="58"/>
  <c r="I106" i="58"/>
  <c r="I85" i="58"/>
  <c r="I13" i="58"/>
  <c r="I93" i="58"/>
  <c r="I20" i="58"/>
  <c r="I104" i="58"/>
  <c r="I32" i="58"/>
  <c r="I71" i="58"/>
  <c r="I78" i="58"/>
  <c r="I9" i="58"/>
  <c r="I88" i="58"/>
  <c r="I16" i="58"/>
  <c r="I100" i="58"/>
  <c r="I28" i="58"/>
  <c r="I63" i="58"/>
  <c r="I97" i="58"/>
  <c r="I5" i="58"/>
  <c r="I12" i="58"/>
  <c r="I24" i="58"/>
  <c r="I95" i="58"/>
  <c r="I77" i="58"/>
  <c r="I92" i="58"/>
  <c r="I35" i="58"/>
  <c r="I66" i="58"/>
  <c r="I79" i="58"/>
  <c r="I73" i="58"/>
  <c r="I4" i="58"/>
  <c r="I87" i="58"/>
  <c r="I15" i="58"/>
  <c r="I23" i="58"/>
  <c r="I90" i="58"/>
  <c r="I6" i="58"/>
  <c r="I74" i="58"/>
  <c r="I84" i="58"/>
  <c r="I96" i="58"/>
  <c r="I47" i="58"/>
  <c r="I70" i="58"/>
  <c r="I8" i="58"/>
  <c r="I19" i="58"/>
  <c r="I58" i="58"/>
  <c r="I67" i="58"/>
  <c r="I69" i="58"/>
  <c r="I83" i="58"/>
  <c r="I11" i="58"/>
  <c r="I14" i="58"/>
  <c r="I51" i="58"/>
  <c r="I65" i="58"/>
  <c r="I7" i="58"/>
  <c r="I50" i="58"/>
  <c r="I39" i="58"/>
  <c r="I57" i="58"/>
  <c r="I72" i="58"/>
  <c r="I3" i="58"/>
  <c r="I46" i="58"/>
  <c r="I27" i="58"/>
  <c r="I53" i="58"/>
  <c r="I99" i="58"/>
  <c r="I68" i="58"/>
  <c r="I42" i="58"/>
  <c r="I10" i="58"/>
  <c r="I49" i="58"/>
  <c r="I91" i="58"/>
  <c r="I64" i="58"/>
  <c r="I54" i="58"/>
  <c r="I76" i="58"/>
  <c r="I38" i="58"/>
  <c r="I45" i="58"/>
  <c r="I75" i="58"/>
  <c r="I56" i="58"/>
  <c r="I34" i="58"/>
  <c r="I41" i="58"/>
  <c r="I55" i="58"/>
  <c r="I52" i="58"/>
  <c r="I102" i="58"/>
  <c r="I30" i="58"/>
  <c r="I37" i="58"/>
  <c r="I43" i="58"/>
  <c r="I48" i="58"/>
  <c r="I98" i="58"/>
  <c r="I26" i="58"/>
  <c r="I105" i="58"/>
  <c r="I33" i="58"/>
  <c r="I31" i="58"/>
  <c r="AE102" i="58"/>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Q11" i="41"/>
  <c r="Q20" i="41"/>
  <c r="Q22" i="41"/>
  <c r="Q23" i="41"/>
  <c r="Q24"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B12" i="41"/>
  <c r="B5" i="41"/>
  <c r="C7" i="41"/>
  <c r="C17" i="41"/>
  <c r="C8" i="41"/>
  <c r="C19" i="41"/>
  <c r="C6" i="41"/>
  <c r="C10" i="41"/>
  <c r="C3" i="41"/>
  <c r="F6" i="41"/>
  <c r="F12" i="41"/>
  <c r="F7" i="41"/>
  <c r="F13" i="41"/>
  <c r="F3" i="41"/>
  <c r="F8" i="41"/>
  <c r="F21" i="41"/>
  <c r="F4" i="41"/>
  <c r="I14" i="41"/>
  <c r="I18" i="41"/>
  <c r="I5" i="41"/>
  <c r="I17" i="41"/>
  <c r="I7" i="41"/>
  <c r="I10" i="41"/>
  <c r="I15" i="41"/>
  <c r="I19" i="41"/>
  <c r="I13" i="41"/>
  <c r="I4" i="41"/>
  <c r="I12" i="41"/>
  <c r="I16" i="41"/>
  <c r="M9" i="41"/>
  <c r="M17" i="41"/>
  <c r="M14" i="41"/>
  <c r="M18" i="41"/>
  <c r="M16" i="41"/>
  <c r="M10" i="41"/>
  <c r="M3" i="41"/>
  <c r="M15" i="41"/>
  <c r="O3" i="41"/>
  <c r="O10" i="41"/>
  <c r="O14" i="41"/>
  <c r="O18" i="41"/>
  <c r="O17" i="41"/>
  <c r="O4" i="41"/>
  <c r="O9" i="41"/>
  <c r="O15" i="41"/>
  <c r="O19" i="41"/>
  <c r="O6" i="41"/>
  <c r="O13" i="41"/>
  <c r="O5" i="41"/>
  <c r="O12" i="41"/>
  <c r="O16"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L7" i="43"/>
  <c r="L11" i="43"/>
  <c r="L15" i="43"/>
  <c r="L6" i="43"/>
  <c r="K15" i="43"/>
  <c r="K7" i="43"/>
  <c r="K16" i="43"/>
  <c r="K6" i="43"/>
  <c r="K9" i="43"/>
  <c r="K18" i="43"/>
  <c r="K11" i="43"/>
  <c r="K12" i="43"/>
  <c r="K13" i="43"/>
  <c r="K4" i="43"/>
  <c r="K10" i="43"/>
  <c r="K14" i="43"/>
  <c r="D14" i="43"/>
  <c r="S17" i="23"/>
  <c r="S35" i="23"/>
  <c r="S47" i="23"/>
  <c r="S56" i="23"/>
  <c r="S77" i="23"/>
  <c r="S89" i="23"/>
  <c r="S90" i="23"/>
  <c r="S91" i="23"/>
  <c r="S92" i="23"/>
  <c r="S93" i="23"/>
  <c r="S94" i="23"/>
  <c r="S95" i="23"/>
  <c r="S96" i="23"/>
  <c r="S97" i="23"/>
  <c r="S98" i="23"/>
  <c r="S99" i="23"/>
  <c r="C11" i="24"/>
  <c r="R2" i="23" s="1"/>
  <c r="R88" i="23" s="1"/>
  <c r="C17" i="24"/>
  <c r="Q5" i="23" s="1"/>
  <c r="C16" i="24"/>
  <c r="C15" i="24"/>
  <c r="C12" i="24"/>
  <c r="N7" i="23" s="1"/>
  <c r="N19" i="23" s="1"/>
  <c r="C9" i="24"/>
  <c r="C19" i="24"/>
  <c r="H45" i="23" s="1"/>
  <c r="H76" i="23" s="1"/>
  <c r="C7" i="24"/>
  <c r="C8" i="24"/>
  <c r="C6" i="24"/>
  <c r="B25" i="23"/>
  <c r="O2" i="23" l="1"/>
  <c r="O10" i="23" s="1"/>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P14" i="23"/>
  <c r="Q88" i="23"/>
  <c r="Q27" i="23"/>
  <c r="Q23" i="23"/>
  <c r="Q18"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E21" i="31" s="1"/>
  <c r="C6" i="35"/>
  <c r="C7" i="35"/>
  <c r="G5" i="32" s="1"/>
  <c r="G15" i="32" s="1"/>
  <c r="C5" i="35"/>
  <c r="P10" i="23" l="1"/>
  <c r="P19" i="23"/>
  <c r="P23"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l="1"/>
  <c r="F58" i="3"/>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P146" i="3" l="1"/>
  <c r="A32" i="60"/>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D23" i="59"/>
  <c r="AD35" i="59"/>
  <c r="AD39" i="59"/>
  <c r="M12" i="59"/>
  <c r="K34" i="59"/>
  <c r="K2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C5" i="62"/>
  <c r="C6" i="62"/>
  <c r="C7" i="62"/>
  <c r="E10" i="59" l="1"/>
  <c r="D9" i="59"/>
  <c r="C2" i="59"/>
  <c r="C17" i="59" s="1"/>
  <c r="F36" i="59"/>
  <c r="AC23" i="60"/>
  <c r="A23" i="60" s="1"/>
  <c r="AC82" i="60"/>
  <c r="A82" i="60" s="1"/>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C84" i="60"/>
  <c r="A84" i="60" s="1"/>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Z16" i="61"/>
  <c r="A16" i="61" s="1"/>
  <c r="Z31" i="61"/>
  <c r="A31" i="61" s="1"/>
  <c r="Z38" i="61"/>
  <c r="A38" i="61" s="1"/>
  <c r="Z39" i="61"/>
  <c r="A39" i="61" s="1"/>
  <c r="Z40" i="61"/>
  <c r="A40" i="61" s="1"/>
  <c r="C23" i="56"/>
  <c r="U35" i="61" s="1"/>
  <c r="C24" i="56"/>
  <c r="C22" i="56"/>
  <c r="C15" i="56"/>
  <c r="C14" i="56"/>
  <c r="C10" i="56"/>
  <c r="C9" i="56"/>
  <c r="C11" i="56"/>
  <c r="C7" i="56"/>
  <c r="J10" i="61" s="1"/>
  <c r="J37" i="61" s="1"/>
  <c r="C20" i="56"/>
  <c r="C21" i="56"/>
  <c r="C19" i="56"/>
  <c r="S12" i="61" s="1"/>
  <c r="C34" i="59" l="1"/>
  <c r="R2" i="61"/>
  <c r="R33" i="61" s="1"/>
  <c r="N2" i="61"/>
  <c r="M2" i="61"/>
  <c r="I2" i="61"/>
  <c r="H2" i="61"/>
  <c r="S34" i="61"/>
  <c r="S14" i="61"/>
  <c r="R32" i="61"/>
  <c r="R7" i="61"/>
  <c r="R27" i="61"/>
  <c r="R3" i="61"/>
  <c r="R22" i="61"/>
  <c r="R11" i="61"/>
  <c r="T15" i="61"/>
  <c r="T25" i="61" s="1"/>
  <c r="J22" i="61"/>
  <c r="J25" i="61"/>
  <c r="J24" i="61"/>
  <c r="R4" i="61"/>
  <c r="R8" i="61"/>
  <c r="R17" i="61"/>
  <c r="R23" i="61"/>
  <c r="R28" i="61"/>
  <c r="R36" i="61"/>
  <c r="S19" i="61"/>
  <c r="R5" i="61"/>
  <c r="R9" i="61"/>
  <c r="R18" i="61"/>
  <c r="R24" i="61"/>
  <c r="R29" i="61"/>
  <c r="R37" i="61"/>
  <c r="S30" i="61"/>
  <c r="R6" i="61"/>
  <c r="R10" i="61"/>
  <c r="R21" i="61"/>
  <c r="R26" i="61"/>
  <c r="S13"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Z23" i="6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V2" i="58"/>
  <c r="V77" i="58" s="1"/>
  <c r="C8" i="55"/>
  <c r="C9" i="55"/>
  <c r="C10" i="55"/>
  <c r="C11" i="55"/>
  <c r="C7" i="55"/>
  <c r="C31" i="55"/>
  <c r="S3" i="58" s="1"/>
  <c r="S106" i="58" s="1"/>
  <c r="C30" i="55"/>
  <c r="R2" i="58" s="1"/>
  <c r="C29" i="55"/>
  <c r="O7" i="58" s="1"/>
  <c r="O81" i="58" s="1"/>
  <c r="C28" i="55"/>
  <c r="N2" i="58" s="1"/>
  <c r="N99" i="58" s="1"/>
  <c r="C5" i="55"/>
  <c r="C4" i="55"/>
  <c r="C3" i="55"/>
  <c r="C27" i="55"/>
  <c r="C24" i="55"/>
  <c r="Y4" i="58" l="1"/>
  <c r="Y84" i="58" s="1"/>
  <c r="U8" i="58"/>
  <c r="U100" i="58" s="1"/>
  <c r="W9" i="58"/>
  <c r="W104" i="58" s="1"/>
  <c r="X3" i="58"/>
  <c r="X97" i="58" s="1"/>
  <c r="U27" i="58"/>
  <c r="U80"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K2" i="58"/>
  <c r="R100" i="58"/>
  <c r="R13" i="58"/>
  <c r="S65" i="58"/>
  <c r="S12" i="58"/>
  <c r="S86" i="58"/>
  <c r="S47" i="58"/>
  <c r="J11" i="58"/>
  <c r="J87" i="58" s="1"/>
  <c r="L7" i="58"/>
  <c r="L101" i="58" s="1"/>
  <c r="S31" i="58"/>
  <c r="N96" i="58"/>
  <c r="O47" i="58"/>
  <c r="N6" i="58"/>
  <c r="N105" i="58"/>
  <c r="O77" i="58"/>
  <c r="R70" i="58"/>
  <c r="S17" i="58"/>
  <c r="S35" i="58"/>
  <c r="S51" i="58"/>
  <c r="S73" i="58"/>
  <c r="S96" i="58"/>
  <c r="N71" i="58"/>
  <c r="O11" i="58"/>
  <c r="S22" i="58"/>
  <c r="S39" i="58"/>
  <c r="S55" i="58"/>
  <c r="S77" i="58"/>
  <c r="S101" i="58"/>
  <c r="N92" i="58"/>
  <c r="O27" i="58"/>
  <c r="S8" i="58"/>
  <c r="S27" i="58"/>
  <c r="S43" i="58"/>
  <c r="S60" i="58"/>
  <c r="S82" i="58"/>
  <c r="O15" i="58"/>
  <c r="O31" i="58"/>
  <c r="O5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O23" i="58"/>
  <c r="O39" i="58"/>
  <c r="O68" i="58"/>
  <c r="O101" i="58"/>
  <c r="R92" i="58"/>
  <c r="R85" i="58"/>
  <c r="R69" i="58"/>
  <c r="R6" i="58"/>
  <c r="R91" i="58"/>
  <c r="R72" i="58"/>
  <c r="R24" i="58"/>
  <c r="R5" i="58"/>
  <c r="R104" i="58"/>
  <c r="R90" i="58"/>
  <c r="R71" i="58"/>
  <c r="R19" i="58"/>
  <c r="R87" i="58"/>
  <c r="N3" i="58"/>
  <c r="N67" i="58"/>
  <c r="N72" i="58"/>
  <c r="N93" i="58"/>
  <c r="N97"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W52" i="58" l="1"/>
  <c r="W54" i="58"/>
  <c r="W32" i="58"/>
  <c r="L79" i="58"/>
  <c r="L97" i="58"/>
  <c r="K96" i="58"/>
  <c r="X71" i="58"/>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E51" i="58"/>
  <c r="AF51" i="58" s="1"/>
  <c r="A51" i="58" s="1"/>
  <c r="D47" i="58"/>
  <c r="G33" i="59"/>
  <c r="G31" i="59"/>
  <c r="G28" i="59"/>
  <c r="G32" i="59"/>
  <c r="G29" i="59"/>
  <c r="G30" i="59"/>
  <c r="L29" i="31"/>
  <c r="A29" i="31" s="1"/>
  <c r="L30" i="31"/>
  <c r="A30" i="31" s="1"/>
  <c r="L31" i="31"/>
  <c r="A31" i="31" s="1"/>
  <c r="L32" i="31"/>
  <c r="A32" i="31" s="1"/>
  <c r="A2" i="58" l="1"/>
  <c r="X19" i="59"/>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A24" i="50"/>
  <c r="A6" i="50"/>
  <c r="A8" i="50"/>
  <c r="A10" i="50"/>
  <c r="A15" i="50"/>
  <c r="A17" i="50"/>
  <c r="F3" i="53" l="1"/>
  <c r="F7" i="53"/>
  <c r="A7" i="53" s="1"/>
  <c r="A4" i="53"/>
  <c r="A5" i="53"/>
  <c r="A3" i="53"/>
  <c r="O2" i="50"/>
  <c r="M14" i="53" l="1"/>
  <c r="A14" i="53" s="1"/>
  <c r="M16" i="53"/>
  <c r="A16" i="53" s="1"/>
  <c r="M11" i="53"/>
  <c r="A11" i="53" s="1"/>
  <c r="M9" i="53"/>
  <c r="A9" i="53" s="1"/>
  <c r="M13" i="53"/>
  <c r="A13" i="53" s="1"/>
  <c r="O22" i="50"/>
  <c r="A22" i="50" s="1"/>
  <c r="A2" i="50"/>
  <c r="O26" i="50"/>
  <c r="N7" i="52"/>
  <c r="A7" i="52" s="1"/>
  <c r="N20" i="52"/>
  <c r="A20" i="52" s="1"/>
  <c r="N22" i="52"/>
  <c r="A22" i="52" s="1"/>
  <c r="N24" i="52"/>
  <c r="A24" i="52" s="1"/>
  <c r="N26" i="52"/>
  <c r="C7" i="51"/>
  <c r="C8" i="51"/>
  <c r="C9" i="51"/>
  <c r="C10" i="51"/>
  <c r="C6" i="51"/>
  <c r="E10" i="52"/>
  <c r="E14" i="52" s="1"/>
  <c r="L9" i="52" l="1"/>
  <c r="F5" i="52"/>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C21" i="52" l="1"/>
  <c r="C19" i="52"/>
  <c r="C18" i="52"/>
  <c r="C17" i="52"/>
  <c r="C14" i="52"/>
  <c r="C8" i="52"/>
  <c r="C4" i="52"/>
  <c r="J16" i="52"/>
  <c r="M17" i="52"/>
  <c r="G2" i="52"/>
  <c r="G12" i="52" s="1"/>
  <c r="H12" i="52"/>
  <c r="H15" i="52" s="1"/>
  <c r="K12" i="52"/>
  <c r="M11" i="52"/>
  <c r="M8" i="52"/>
  <c r="M18" i="52"/>
  <c r="I25" i="52"/>
  <c r="D15" i="52"/>
  <c r="C3" i="52"/>
  <c r="C5" i="52"/>
  <c r="C6" i="52"/>
  <c r="A11" i="41"/>
  <c r="A20" i="41"/>
  <c r="A22" i="41"/>
  <c r="A23" i="41"/>
  <c r="A24" i="41"/>
  <c r="G15" i="52" l="1"/>
  <c r="G10" i="52"/>
  <c r="G5" i="52"/>
  <c r="G14" i="52"/>
  <c r="N14" i="52" s="1"/>
  <c r="A14" i="52" s="1"/>
  <c r="G3" i="52"/>
  <c r="G9" i="52"/>
  <c r="G6" i="52"/>
  <c r="G19" i="52"/>
  <c r="G17" i="52"/>
  <c r="N17" i="52" s="1"/>
  <c r="A17" i="52" s="1"/>
  <c r="G13" i="52"/>
  <c r="N2" i="52"/>
  <c r="A2" i="52" s="1"/>
  <c r="G18" i="52"/>
  <c r="G11" i="52"/>
  <c r="G16" i="52"/>
  <c r="N10" i="52"/>
  <c r="A10" i="52" s="1"/>
  <c r="N5" i="52"/>
  <c r="A5" i="52" s="1"/>
  <c r="N8" i="52"/>
  <c r="A8" i="52" s="1"/>
  <c r="N4" i="52"/>
  <c r="A4" i="52" s="1"/>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2" i="45"/>
  <c r="H9" i="45" s="1"/>
  <c r="B5" i="45"/>
  <c r="B7" i="45" s="1"/>
  <c r="I5" i="45"/>
  <c r="G5" i="45"/>
  <c r="G9" i="45"/>
  <c r="G7" i="45"/>
  <c r="C2" i="45"/>
  <c r="D3" i="45"/>
  <c r="I9" i="45"/>
  <c r="K3" i="45"/>
  <c r="K7" i="45"/>
  <c r="N2" i="45" l="1"/>
  <c r="A2" i="45" s="1"/>
  <c r="N3" i="45"/>
  <c r="A3" i="45" s="1"/>
  <c r="D7" i="45"/>
  <c r="D5" i="45"/>
  <c r="N5" i="45" s="1"/>
  <c r="C9" i="45"/>
  <c r="L21" i="41"/>
  <c r="L10" i="41"/>
  <c r="L8" i="41"/>
  <c r="L6" i="41"/>
  <c r="L5" i="41"/>
  <c r="L4" i="41"/>
  <c r="K16" i="41"/>
  <c r="H19" i="41"/>
  <c r="G21" i="41"/>
  <c r="C6" i="47"/>
  <c r="C4" i="47"/>
  <c r="N7" i="45" l="1"/>
  <c r="A7" i="45" s="1"/>
  <c r="A5" i="45"/>
  <c r="N9" i="45"/>
  <c r="A9" i="45" s="1"/>
  <c r="C21" i="41"/>
  <c r="E2" i="41"/>
  <c r="D3" i="41"/>
  <c r="K13" i="41"/>
  <c r="K7" i="41"/>
  <c r="K14" i="41"/>
  <c r="K18" i="41"/>
  <c r="K17" i="41"/>
  <c r="K9" i="41"/>
  <c r="K15" i="41"/>
  <c r="K19" i="41"/>
  <c r="K12" i="41"/>
  <c r="C15" i="41"/>
  <c r="C16" i="41"/>
  <c r="G4" i="41"/>
  <c r="H9" i="41"/>
  <c r="C18" i="41"/>
  <c r="G5" i="41"/>
  <c r="G10" i="41"/>
  <c r="H14" i="41"/>
  <c r="H18" i="41"/>
  <c r="G7" i="41"/>
  <c r="G13" i="41"/>
  <c r="H16" i="41"/>
  <c r="G8" i="41"/>
  <c r="H17" i="41"/>
  <c r="C14" i="41"/>
  <c r="G6" i="41"/>
  <c r="G12" i="41"/>
  <c r="H15" i="41"/>
  <c r="K2" i="44"/>
  <c r="K3" i="44" s="1"/>
  <c r="J2" i="44"/>
  <c r="J16" i="44" s="1"/>
  <c r="H18" i="44"/>
  <c r="H4" i="44"/>
  <c r="H14" i="44"/>
  <c r="G16" i="44"/>
  <c r="E11" i="44"/>
  <c r="Q3" i="41" l="1"/>
  <c r="Q2" i="41"/>
  <c r="E15" i="41"/>
  <c r="E5" i="41"/>
  <c r="E16" i="41"/>
  <c r="E12" i="41"/>
  <c r="E21" i="41"/>
  <c r="E14" i="41"/>
  <c r="E4" i="41"/>
  <c r="E18" i="41"/>
  <c r="E13" i="41"/>
  <c r="D10" i="41"/>
  <c r="Q10" i="41" s="1"/>
  <c r="D8" i="41"/>
  <c r="D13" i="41"/>
  <c r="D7" i="41"/>
  <c r="Q7" i="41" s="1"/>
  <c r="D4"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L6" i="44" s="1"/>
  <c r="A6" i="44" s="1"/>
  <c r="B20" i="44"/>
  <c r="L20" i="44" s="1"/>
  <c r="A20" i="44" s="1"/>
  <c r="B7" i="44"/>
  <c r="L7" i="44" s="1"/>
  <c r="A7" i="44" s="1"/>
  <c r="B18" i="44"/>
  <c r="L18" i="44" s="1"/>
  <c r="A18" i="44" s="1"/>
  <c r="A2" i="44"/>
  <c r="B17" i="44"/>
  <c r="L17" i="44" s="1"/>
  <c r="A17" i="44" s="1"/>
  <c r="B4" i="44"/>
  <c r="L4" i="44" s="1"/>
  <c r="A4" i="44" s="1"/>
  <c r="B5" i="44"/>
  <c r="L5" i="44" s="1"/>
  <c r="A5" i="44" s="1"/>
  <c r="B14" i="44"/>
  <c r="L14" i="44" s="1"/>
  <c r="A14" i="44" s="1"/>
  <c r="B3" i="44"/>
  <c r="L3" i="44" s="1"/>
  <c r="A3" i="44" s="1"/>
  <c r="B22" i="44"/>
  <c r="L22" i="44" s="1"/>
  <c r="A22" i="44" s="1"/>
  <c r="B11" i="44"/>
  <c r="L11" i="44" s="1"/>
  <c r="A11" i="44" s="1"/>
  <c r="B9" i="44"/>
  <c r="L9" i="44" s="1"/>
  <c r="A9" i="44" s="1"/>
  <c r="B10" i="44"/>
  <c r="L10" i="44" s="1"/>
  <c r="A10" i="44" s="1"/>
  <c r="B13" i="44"/>
  <c r="L13" i="44" s="1"/>
  <c r="A13" i="44" s="1"/>
  <c r="B15" i="44"/>
  <c r="L15" i="44" s="1"/>
  <c r="A15" i="44" s="1"/>
  <c r="B21" i="44"/>
  <c r="L21" i="44" s="1"/>
  <c r="A21" i="44" s="1"/>
  <c r="A19" i="44"/>
  <c r="A8" i="44"/>
  <c r="A12" i="44"/>
  <c r="N20" i="43"/>
  <c r="N21" i="43"/>
  <c r="N8" i="43"/>
  <c r="N17" i="43"/>
  <c r="N22" i="43"/>
  <c r="N23" i="43"/>
  <c r="I14" i="43"/>
  <c r="H13" i="43"/>
  <c r="C16" i="43"/>
  <c r="B13" i="43"/>
  <c r="I16" i="43" l="1"/>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H8"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Q2" i="38"/>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S7"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R13" i="38"/>
  <c r="R35" i="38"/>
  <c r="R55" i="38"/>
  <c r="R84" i="38"/>
  <c r="R25" i="38"/>
  <c r="R79" i="38"/>
  <c r="R14" i="38"/>
  <c r="R36" i="38"/>
  <c r="R56" i="38"/>
  <c r="R86" i="38"/>
  <c r="R15" i="38"/>
  <c r="R38" i="38"/>
  <c r="R82" i="38"/>
  <c r="R47" i="38"/>
  <c r="R75" i="38"/>
  <c r="R58"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l="1"/>
  <c r="G16" i="31" s="1"/>
  <c r="I19" i="31"/>
  <c r="J7" i="31"/>
  <c r="J16" i="31"/>
  <c r="J10" i="31"/>
  <c r="K8" i="31"/>
  <c r="J13" i="31"/>
  <c r="J17" i="31"/>
  <c r="K4" i="31"/>
  <c r="K11" i="31"/>
  <c r="J14" i="31"/>
  <c r="J18" i="31"/>
  <c r="K5" i="31"/>
  <c r="K19" i="31"/>
  <c r="J15" i="31"/>
  <c r="J25" i="31"/>
  <c r="G27" i="31"/>
  <c r="G15" i="31"/>
  <c r="A28" i="31"/>
  <c r="C8" i="37"/>
  <c r="H19" i="31" l="1"/>
  <c r="D24" i="31"/>
  <c r="D25" i="31" s="1"/>
  <c r="B10" i="31"/>
  <c r="F13" i="31"/>
  <c r="E23" i="31"/>
  <c r="C2"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J9" i="30" s="1"/>
  <c r="A9" i="30" s="1"/>
  <c r="C32" i="30"/>
  <c r="J32" i="30" s="1"/>
  <c r="A32" i="30" s="1"/>
  <c r="C5" i="30"/>
  <c r="J5" i="30" s="1"/>
  <c r="A5" i="30" s="1"/>
  <c r="C13" i="30"/>
  <c r="C33" i="30"/>
  <c r="C8" i="30"/>
  <c r="C23" i="30"/>
  <c r="C7" i="30"/>
  <c r="D3" i="30"/>
  <c r="D13" i="30" s="1"/>
  <c r="F14" i="30"/>
  <c r="F32" i="30" s="1"/>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12" i="30"/>
  <c r="A12" i="30" s="1"/>
  <c r="J27" i="30"/>
  <c r="A27" i="30" s="1"/>
  <c r="J42" i="30"/>
  <c r="A42" i="30" s="1"/>
  <c r="J43" i="30"/>
  <c r="A43" i="30" s="1"/>
  <c r="J44" i="30"/>
  <c r="A44" i="30" s="1"/>
  <c r="J45" i="30"/>
  <c r="A45" i="30" s="1"/>
  <c r="J46" i="30"/>
  <c r="A46" i="30" s="1"/>
  <c r="J47" i="30"/>
  <c r="A47" i="30" s="1"/>
  <c r="J48" i="30"/>
  <c r="A48" i="30" s="1"/>
  <c r="J49" i="30"/>
  <c r="A49" i="30" s="1"/>
  <c r="J50" i="30"/>
  <c r="A50" i="30" s="1"/>
  <c r="J15" i="30" l="1"/>
  <c r="A15" i="30" s="1"/>
  <c r="J7" i="30"/>
  <c r="A7" i="30" s="1"/>
  <c r="F31" i="30"/>
  <c r="J31" i="30" s="1"/>
  <c r="A31" i="30" s="1"/>
  <c r="J40" i="30"/>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s="1"/>
  <c r="A37" i="30" s="1"/>
  <c r="G18" i="30"/>
  <c r="J18" i="30" s="1"/>
  <c r="A18" i="30" s="1"/>
  <c r="G16" i="30"/>
  <c r="J16" i="30" s="1"/>
  <c r="A16" i="30" s="1"/>
  <c r="G39" i="30"/>
  <c r="J39" i="30" s="1"/>
  <c r="A39" i="30" s="1"/>
  <c r="G10" i="30"/>
  <c r="G26" i="30"/>
  <c r="J26" i="30" s="1"/>
  <c r="A26" i="30" s="1"/>
  <c r="D34" i="30"/>
  <c r="J10" i="30"/>
  <c r="A10" i="30" s="1"/>
  <c r="J13" i="30"/>
  <c r="A13" i="30" s="1"/>
  <c r="D38" i="30"/>
  <c r="J38" i="30" s="1"/>
  <c r="A38" i="30" s="1"/>
  <c r="D23" i="30"/>
  <c r="J23" i="30" s="1"/>
  <c r="A23" i="30" s="1"/>
  <c r="D22" i="30"/>
  <c r="J22" i="30" s="1"/>
  <c r="A22" i="30" s="1"/>
  <c r="J34" i="30"/>
  <c r="A34" i="30" s="1"/>
  <c r="M2" i="23" l="1"/>
  <c r="M87" i="23" s="1"/>
  <c r="L2" i="23"/>
  <c r="H2" i="23"/>
  <c r="H86" i="23" s="1"/>
  <c r="C10" i="24"/>
  <c r="L87" i="23" l="1"/>
  <c r="L75" i="23"/>
  <c r="K2" i="23"/>
  <c r="K53" i="23" s="1"/>
  <c r="L18" i="23"/>
  <c r="L24" i="23"/>
  <c r="L13" i="23"/>
  <c r="L3" i="23"/>
  <c r="H3" i="23"/>
  <c r="H7" i="23"/>
  <c r="H11" i="23"/>
  <c r="H15" i="23"/>
  <c r="H20" i="23"/>
  <c r="H24" i="23"/>
  <c r="H28" i="23"/>
  <c r="H32" i="23"/>
  <c r="H37" i="23"/>
  <c r="H41" i="23"/>
  <c r="H46" i="23"/>
  <c r="H51" i="23"/>
  <c r="H58" i="23"/>
  <c r="H62" i="23"/>
  <c r="H66" i="23"/>
  <c r="H70" i="23"/>
  <c r="H74" i="23"/>
  <c r="H83" i="23"/>
  <c r="H87"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G72" i="23"/>
  <c r="E9" i="23"/>
  <c r="E33" i="23"/>
  <c r="E63" i="23"/>
  <c r="E80" i="23"/>
  <c r="F75" i="23"/>
  <c r="G22" i="23"/>
  <c r="G50" i="23"/>
  <c r="G85" i="23"/>
  <c r="G13" i="23"/>
  <c r="E16" i="23"/>
  <c r="E42" i="23"/>
  <c r="E69" i="23"/>
  <c r="F34" i="23"/>
  <c r="F79" i="23"/>
  <c r="G28" i="23"/>
  <c r="G54" i="23"/>
  <c r="I79" i="23"/>
  <c r="G43" i="23"/>
  <c r="E18" i="23"/>
  <c r="E44" i="23"/>
  <c r="E73" i="23"/>
  <c r="F55" i="23"/>
  <c r="G8" i="23"/>
  <c r="G36" i="23"/>
  <c r="G65" i="23"/>
  <c r="E24" i="23"/>
  <c r="E45" i="23"/>
  <c r="E66" i="23"/>
  <c r="E74" i="23"/>
  <c r="E82" i="23"/>
  <c r="G3" i="23"/>
  <c r="G10" i="23"/>
  <c r="G19" i="23"/>
  <c r="G23" i="23"/>
  <c r="G29" i="23"/>
  <c r="G39" i="23"/>
  <c r="G46" i="23"/>
  <c r="G51" i="23"/>
  <c r="G58" i="23"/>
  <c r="G67" i="23"/>
  <c r="G78" i="23"/>
  <c r="G86" i="23"/>
  <c r="I41" i="23"/>
  <c r="I80" i="23"/>
  <c r="I85" i="23"/>
  <c r="E14" i="23"/>
  <c r="E37" i="23"/>
  <c r="E15" i="23"/>
  <c r="E26" i="23"/>
  <c r="E38" i="23"/>
  <c r="E59" i="23"/>
  <c r="E68" i="23"/>
  <c r="E76" i="23"/>
  <c r="G5" i="23"/>
  <c r="G11" i="23"/>
  <c r="G20" i="23"/>
  <c r="G25" i="23"/>
  <c r="G30" i="23"/>
  <c r="G40" i="23"/>
  <c r="G48" i="23"/>
  <c r="G52" i="23"/>
  <c r="G60" i="23"/>
  <c r="G70" i="23"/>
  <c r="G81" i="23"/>
  <c r="G87" i="23"/>
  <c r="I31" i="23"/>
  <c r="I38" i="23"/>
  <c r="I78" i="23"/>
  <c r="I82" i="23"/>
  <c r="G6" i="23"/>
  <c r="G12" i="23"/>
  <c r="G21" i="23"/>
  <c r="G27" i="23"/>
  <c r="G31" i="23"/>
  <c r="G41" i="23"/>
  <c r="G49" i="23"/>
  <c r="G53" i="23"/>
  <c r="G61" i="23"/>
  <c r="G71" i="23"/>
  <c r="G83"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A13" i="23" s="1"/>
  <c r="I51" i="23"/>
  <c r="I7" i="23"/>
  <c r="S7" i="23" s="1"/>
  <c r="A7" i="23" s="1"/>
  <c r="I64" i="23"/>
  <c r="I10" i="23"/>
  <c r="I36" i="23"/>
  <c r="S36" i="23" s="1"/>
  <c r="A36" i="23" s="1"/>
  <c r="I67" i="23"/>
  <c r="S67" i="23" s="1"/>
  <c r="A67" i="23" s="1"/>
  <c r="I70" i="23"/>
  <c r="S64" i="23"/>
  <c r="A64" i="23" s="1"/>
  <c r="S41" i="23"/>
  <c r="A41" i="23" s="1"/>
  <c r="I46" i="23"/>
  <c r="I3" i="23"/>
  <c r="S3" i="23" s="1"/>
  <c r="A3" i="23" s="1"/>
  <c r="I50" i="23"/>
  <c r="S50" i="23" s="1"/>
  <c r="A50" i="23" s="1"/>
  <c r="I6" i="23"/>
  <c r="S6" i="23" s="1"/>
  <c r="A6" i="23" s="1"/>
  <c r="I20" i="23"/>
  <c r="I49" i="23"/>
  <c r="I43" i="23"/>
  <c r="I39" i="23"/>
  <c r="S88" i="23"/>
  <c r="A88" i="23" s="1"/>
  <c r="S80" i="23"/>
  <c r="A80" i="23" s="1"/>
  <c r="S85" i="23"/>
  <c r="A85" i="23" s="1"/>
  <c r="I42" i="23"/>
  <c r="S42" i="23" s="1"/>
  <c r="A42" i="23" s="1"/>
  <c r="I45" i="23"/>
  <c r="I9" i="23"/>
  <c r="S9" i="23" s="1"/>
  <c r="A9" i="23" s="1"/>
  <c r="I40" i="23"/>
  <c r="I19" i="23"/>
  <c r="S19" i="23" s="1"/>
  <c r="A19" i="23" s="1"/>
  <c r="I4" i="23"/>
  <c r="S4" i="23" s="1"/>
  <c r="A4" i="23" s="1"/>
  <c r="S84" i="23"/>
  <c r="A84" i="23" s="1"/>
  <c r="S2" i="23"/>
  <c r="A2" i="23" s="1"/>
  <c r="S14" i="23"/>
  <c r="A14" i="23" s="1"/>
  <c r="S30" i="23"/>
  <c r="A30" i="23" s="1"/>
  <c r="S45" i="23"/>
  <c r="S72" i="23"/>
  <c r="A72" i="23" s="1"/>
  <c r="S82" i="23"/>
  <c r="A82" i="23" s="1"/>
  <c r="S87" i="23"/>
  <c r="A87" i="23" s="1"/>
  <c r="S73" i="23"/>
  <c r="A73" i="23" s="1"/>
  <c r="S68" i="23"/>
  <c r="A68" i="23" s="1"/>
  <c r="S16" i="23"/>
  <c r="A16" i="23" s="1"/>
  <c r="S10" i="23"/>
  <c r="A10" i="23" s="1"/>
  <c r="S39" i="23"/>
  <c r="A39" i="23" s="1"/>
  <c r="S74" i="23"/>
  <c r="A74" i="23" s="1"/>
  <c r="S65" i="23"/>
  <c r="A65" i="23" s="1"/>
  <c r="S78" i="23"/>
  <c r="A78" i="23" s="1"/>
  <c r="S81" i="23"/>
  <c r="A81" i="23" s="1"/>
  <c r="S15" i="23"/>
  <c r="A15" i="23" s="1"/>
  <c r="S46" i="23"/>
  <c r="A46" i="23" s="1"/>
  <c r="S27" i="23"/>
  <c r="A27" i="23" s="1"/>
  <c r="S52" i="23"/>
  <c r="A52" i="23" s="1"/>
  <c r="S76" i="23"/>
  <c r="A76" i="23" s="1"/>
  <c r="S60" i="23"/>
  <c r="A60" i="23" s="1"/>
  <c r="S32" i="23"/>
  <c r="A32" i="23" s="1"/>
  <c r="S21" i="23"/>
  <c r="A21" i="23" s="1"/>
  <c r="S58" i="23"/>
  <c r="A58" i="23" s="1"/>
  <c r="S12" i="23"/>
  <c r="A12" i="23" s="1"/>
  <c r="S49" i="23"/>
  <c r="A49" i="23" s="1"/>
  <c r="S22" i="23"/>
  <c r="A22" i="23" s="1"/>
  <c r="S59" i="23"/>
  <c r="A59" i="23" s="1"/>
  <c r="S23" i="23"/>
  <c r="A23" i="23" s="1"/>
  <c r="S57" i="23"/>
  <c r="A57" i="23" s="1"/>
  <c r="S26" i="23"/>
  <c r="A26" i="23" s="1"/>
  <c r="S63" i="23"/>
  <c r="A63" i="23" s="1"/>
  <c r="S48" i="23"/>
  <c r="A48" i="23" s="1"/>
  <c r="S62" i="23"/>
  <c r="A62" i="23" s="1"/>
  <c r="S28" i="23"/>
  <c r="A28" i="23" s="1"/>
  <c r="S53" i="23"/>
  <c r="A53" i="23" s="1"/>
  <c r="S44" i="23"/>
  <c r="A44" i="23" s="1"/>
  <c r="S29" i="23"/>
  <c r="A29" i="23" s="1"/>
  <c r="S79" i="23"/>
  <c r="A79" i="23" s="1"/>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A43" i="23" s="1"/>
  <c r="S31" i="23"/>
  <c r="A31" i="23" s="1"/>
  <c r="A45" i="23"/>
  <c r="A37" i="23"/>
  <c r="A38" i="23"/>
  <c r="A61" i="23"/>
  <c r="F11" i="20"/>
  <c r="D5" i="19"/>
  <c r="E5" i="19" s="1"/>
  <c r="C7" i="19"/>
  <c r="E13" i="20" l="1"/>
  <c r="G13" i="20" s="1"/>
  <c r="A13" i="20" s="1"/>
  <c r="C2" i="20"/>
  <c r="C9" i="19"/>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C5" i="14"/>
  <c r="C6" i="14"/>
  <c r="C8" i="14"/>
  <c r="L9" i="13" s="1"/>
  <c r="C3" i="14"/>
  <c r="L17" i="13" l="1"/>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M135" i="3"/>
  <c r="M130" i="3"/>
  <c r="M42" i="3"/>
  <c r="M38" i="3"/>
  <c r="M153" i="3"/>
  <c r="P153" i="3" s="1"/>
  <c r="M60" i="3"/>
  <c r="P60" i="3" s="1"/>
  <c r="M52" i="3"/>
  <c r="P52" i="3" s="1"/>
  <c r="M132" i="3"/>
  <c r="M40" i="3"/>
  <c r="M151" i="3"/>
  <c r="P151" i="3" s="1"/>
  <c r="M58" i="3"/>
  <c r="M133" i="3"/>
  <c r="M129" i="3"/>
  <c r="M41" i="3"/>
  <c r="M37" i="3"/>
  <c r="M158" i="3"/>
  <c r="P158" i="3" s="1"/>
  <c r="M152" i="3"/>
  <c r="P152" i="3" s="1"/>
  <c r="M59" i="3"/>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O6" i="8"/>
  <c r="K16" i="3" l="1"/>
  <c r="D7" i="1"/>
  <c r="C10" i="3"/>
  <c r="P52" i="8"/>
  <c r="P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P59" i="3" s="1"/>
  <c r="C138" i="3"/>
  <c r="C95" i="3"/>
  <c r="C123" i="3"/>
  <c r="C101" i="3"/>
  <c r="C96" i="3"/>
  <c r="C58" i="3"/>
  <c r="P58" i="3" s="1"/>
  <c r="C54" i="3"/>
  <c r="C100" i="3"/>
  <c r="C57" i="3"/>
  <c r="P57" i="3" s="1"/>
  <c r="C53" i="3"/>
  <c r="C33" i="3"/>
  <c r="C29" i="3"/>
  <c r="C17" i="3"/>
  <c r="C13" i="3"/>
  <c r="C30" i="3"/>
  <c r="C32" i="3"/>
  <c r="C28" i="3"/>
  <c r="C12" i="3"/>
  <c r="C26" i="3"/>
  <c r="C14" i="3"/>
  <c r="C31" i="3"/>
  <c r="C27" i="3"/>
  <c r="C11" i="3"/>
  <c r="A119" i="13"/>
  <c r="A120" i="13"/>
  <c r="A121" i="13"/>
  <c r="A122" i="13"/>
  <c r="A123" i="13"/>
  <c r="A112" i="13"/>
  <c r="A113" i="13"/>
  <c r="A114" i="13"/>
  <c r="A115" i="13"/>
  <c r="A116" i="13"/>
  <c r="A117" i="13"/>
  <c r="A118" i="13"/>
  <c r="P17" i="3" l="1"/>
  <c r="E7" i="12"/>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T62" i="8"/>
  <c r="T64" i="8" s="1"/>
  <c r="U41" i="8"/>
  <c r="U70" i="8" s="1"/>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65" i="8" l="1"/>
  <c r="V40" i="8"/>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D54" i="3"/>
  <c r="D33" i="3"/>
  <c r="D21" i="3"/>
  <c r="D113" i="3"/>
  <c r="D70" i="3"/>
  <c r="D12" i="3"/>
  <c r="D125" i="3"/>
  <c r="D82" i="3"/>
  <c r="P82" i="3" s="1"/>
  <c r="D38" i="3"/>
  <c r="P38" i="3" s="1"/>
  <c r="D137" i="3"/>
  <c r="P137" i="3" s="1"/>
  <c r="A137" i="3" s="1"/>
  <c r="D129" i="3"/>
  <c r="D120" i="3"/>
  <c r="D107" i="3"/>
  <c r="D98" i="3"/>
  <c r="D87" i="3"/>
  <c r="D76" i="3"/>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77" i="3" l="1"/>
  <c r="P76" i="3"/>
  <c r="P56" i="3"/>
  <c r="P69" i="3"/>
  <c r="P87" i="3"/>
  <c r="P80" i="3"/>
  <c r="P83" i="3"/>
  <c r="P30" i="3"/>
  <c r="P70" i="3"/>
  <c r="A70" i="3" s="1"/>
  <c r="P135" i="3"/>
  <c r="P81" i="3"/>
  <c r="A81" i="3" s="1"/>
  <c r="P129" i="3"/>
  <c r="P127" i="3"/>
  <c r="P122" i="3"/>
  <c r="A122" i="3" s="1"/>
  <c r="P33" i="3"/>
  <c r="P138" i="3"/>
  <c r="A138" i="3" s="1"/>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A53" i="3" s="1"/>
  <c r="I112" i="3"/>
  <c r="P112" i="3" s="1"/>
  <c r="A112" i="3" s="1"/>
  <c r="I28" i="3"/>
  <c r="P28" i="3" s="1"/>
  <c r="I123" i="3"/>
  <c r="P123" i="3" s="1"/>
  <c r="A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A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A143" i="3"/>
  <c r="A154" i="3"/>
  <c r="A150" i="3"/>
  <c r="A146" i="3"/>
  <c r="A149" i="3"/>
  <c r="A156" i="3"/>
  <c r="A151" i="3"/>
  <c r="A145" i="3"/>
  <c r="A136" i="3"/>
  <c r="A130" i="3"/>
  <c r="A129" i="3"/>
  <c r="A142" i="3"/>
  <c r="A128" i="3"/>
  <c r="A58" i="3"/>
  <c r="A61" i="3"/>
  <c r="A57" i="3"/>
  <c r="A60" i="3"/>
  <c r="A52" i="3"/>
  <c r="A59" i="3"/>
  <c r="A51" i="3"/>
  <c r="A134" i="3"/>
  <c r="A87" i="3"/>
  <c r="A56" i="3"/>
  <c r="A83" i="3"/>
  <c r="A77" i="3"/>
  <c r="A82"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9" i="3" l="1"/>
  <c r="P8" i="3"/>
  <c r="P11" i="3"/>
  <c r="P12" i="3"/>
  <c r="P65" i="3"/>
  <c r="P23" i="3"/>
  <c r="P50" i="3"/>
  <c r="P93" i="3"/>
  <c r="A93" i="3" s="1"/>
  <c r="P49" i="3"/>
  <c r="A49" i="3" s="1"/>
  <c r="A65" i="3"/>
  <c r="P115" i="3"/>
  <c r="A115" i="3" s="1"/>
  <c r="P48" i="3"/>
  <c r="A48" i="3" s="1"/>
  <c r="P124" i="3"/>
  <c r="A124" i="3" s="1"/>
  <c r="P117" i="3"/>
  <c r="A117" i="3" s="1"/>
  <c r="P44" i="3"/>
  <c r="P47" i="3"/>
  <c r="A47" i="3" s="1"/>
  <c r="P86" i="3"/>
  <c r="A86" i="3" s="1"/>
  <c r="P46" i="3"/>
  <c r="A46" i="3" s="1"/>
  <c r="P19" i="3"/>
  <c r="P22" i="3"/>
  <c r="P43" i="3"/>
  <c r="P75" i="3"/>
  <c r="A75" i="3" s="1"/>
  <c r="P116" i="3"/>
  <c r="A116" i="3" s="1"/>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96" i="3"/>
  <c r="A105" i="3"/>
  <c r="A108" i="3"/>
  <c r="A132" i="3"/>
  <c r="A135" i="3"/>
  <c r="A125" i="3"/>
  <c r="A119" i="3"/>
  <c r="A131" i="3"/>
  <c r="A111" i="3"/>
  <c r="A127" i="3"/>
  <c r="A100" i="3"/>
  <c r="A152" i="3"/>
  <c r="A153" i="3"/>
  <c r="A147" i="3"/>
  <c r="A76" i="3"/>
  <c r="A133" i="3"/>
  <c r="A139" i="3"/>
  <c r="A109" i="3"/>
  <c r="A110" i="3"/>
  <c r="A107" i="3"/>
  <c r="A155" i="3"/>
  <c r="A50" i="3"/>
  <c r="A15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<sst xmlns="http://schemas.openxmlformats.org/spreadsheetml/2006/main" count="2278" uniqueCount="1974">
  <si>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</si>
  <si>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</si>
  <si>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</si>
  <si>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</si>
  <si>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</si>
  <si>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</si>
  <si>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</si>
  <si>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</si>
  <si>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</si>
  <si>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</si>
  <si>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</si>
  <si>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</si>
  <si>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</si>
  <si>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</si>
  <si>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</si>
  <si>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</si>
  <si>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</si>
  <si>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</si>
  <si>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</si>
  <si>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</si>
  <si>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</si>
  <si>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</si>
  <si>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</si>
  <si>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</si>
  <si>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</si>
  <si>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</si>
  <si>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</si>
  <si>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</si>
  <si>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</si>
  <si>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</si>
  <si>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</si>
  <si>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</si>
  <si>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</si>
  <si>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</si>
  <si>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</si>
  <si>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</si>
  <si>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</si>
  <si>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</si>
  <si>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</si>
  <si>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</si>
  <si>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</si>
  <si>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</si>
  <si>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</si>
  <si>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</si>
  <si>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</si>
  <si>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</si>
  <si>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</si>
  <si>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</si>
  <si>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</si>
  <si>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</si>
  <si>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</si>
  <si>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</si>
  <si>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</si>
  <si>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</si>
  <si>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</si>
  <si>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</si>
  <si>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</si>
  <si>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</si>
  <si>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</si>
  <si>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</si>
  <si>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</si>
  <si>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</si>
  <si>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</si>
  <si>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</si>
  <si>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</si>
  <si>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</si>
  <si>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</si>
  <si>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</si>
  <si>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</si>
  <si>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</si>
  <si>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</si>
  <si>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</si>
  <si>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</si>
  <si>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</si>
  <si>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</si>
  <si>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</si>
  <si>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</si>
  <si>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</si>
  <si>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</si>
  <si>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</si>
  <si>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</si>
  <si>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</si>
  <si>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</si>
  <si>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</si>
  <si>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</si>
  <si>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</si>
  <si>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</si>
  <si>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</si>
  <si>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</si>
  <si>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</si>
  <si>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</si>
  <si>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</si>
  <si>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</si>
  <si>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</si>
  <si>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</si>
  <si>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</si>
  <si>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</si>
  <si>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</si>
  <si>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</si>
  <si>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</si>
  <si>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</si>
  <si>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</si>
  <si>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</si>
  <si>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</si>
  <si>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</si>
  <si>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</si>
  <si>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</si>
  <si>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</si>
  <si>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</si>
  <si>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</si>
  <si>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</si>
  <si>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</si>
  <si>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</si>
  <si>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</si>
  <si>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</si>
  <si>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</si>
  <si>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</si>
  <si>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</si>
  <si>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</si>
  <si>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</si>
  <si>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</si>
  <si>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</si>
  <si>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</si>
  <si>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</si>
  <si>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</si>
  <si>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</si>
  <si>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</si>
  <si>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</si>
  <si>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</si>
  <si>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</si>
  <si>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</si>
  <si>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</si>
  <si>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</si>
  <si>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</si>
  <si>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</si>
  <si>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</si>
  <si>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</si>
  <si>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</si>
  <si>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</si>
  <si>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</si>
  <si>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</si>
  <si>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</si>
  <si>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</si>
  <si>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</si>
  <si>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</si>
  <si>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</si>
  <si>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</si>
  <si>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</si>
  <si>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</si>
  <si>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</si>
  <si>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</si>
  <si>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</si>
  <si>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</si>
  <si>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</si>
  <si>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</si>
  <si>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</si>
  <si>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</si>
  <si>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</si>
  <si>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</si>
  <si>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</si>
  <si>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</si>
  <si>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</si>
  <si>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</si>
  <si>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</si>
  <si>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</si>
  <si>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</si>
  <si>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</si>
  <si>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</si>
  <si>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</si>
  <si>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</si>
  <si>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</si>
  <si>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</si>
  <si>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</si>
  <si>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</si>
  <si>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</si>
  <si>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</si>
  <si>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</si>
  <si>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</si>
  <si>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</si>
  <si>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</si>
  <si>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</si>
  <si>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</si>
  <si>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</si>
  <si>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</si>
  <si>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</si>
  <si>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</si>
  <si>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</si>
  <si>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</si>
  <si>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</si>
  <si>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</si>
  <si>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</si>
  <si>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</si>
  <si>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</si>
  <si>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</si>
  <si>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</si>
  <si>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</si>
  <si>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</si>
  <si>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</si>
  <si>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</si>
  <si>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</si>
  <si>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</si>
  <si>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</si>
  <si>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</si>
  <si>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</si>
  <si>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</si>
  <si>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</si>
  <si>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</si>
  <si>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</si>
  <si>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</si>
  <si>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</si>
  <si>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</si>
  <si>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</si>
  <si>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</si>
  <si>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</si>
  <si>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</si>
  <si>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</si>
  <si>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</si>
  <si>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</si>
  <si>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</si>
  <si>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</si>
  <si>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</si>
  <si>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</si>
  <si>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</si>
  <si>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</si>
  <si>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</si>
  <si>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</si>
  <si>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</si>
  <si>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</si>
  <si>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</si>
  <si>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</si>
  <si>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</si>
  <si>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</si>
  <si>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</si>
  <si>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</si>
  <si>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</si>
  <si>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</si>
  <si>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</si>
  <si>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</si>
  <si>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</si>
  <si>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</si>
  <si>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</si>
  <si>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</si>
  <si>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</si>
  <si>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</si>
  <si>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</si>
  <si>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</si>
  <si>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</si>
  <si>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</si>
  <si>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</si>
  <si>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</si>
  <si>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</si>
  <si>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</si>
  <si>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</si>
  <si>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</si>
  <si>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</si>
  <si>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</si>
  <si>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</si>
  <si>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</si>
  <si>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</si>
  <si>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</si>
  <si>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</si>
  <si>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</si>
  <si>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</si>
  <si>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</si>
  <si>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</si>
  <si>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</si>
  <si>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</si>
  <si>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</si>
  <si>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</si>
  <si>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</si>
  <si>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</si>
  <si>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</si>
  <si>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</si>
  <si>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</si>
  <si>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</si>
  <si>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</si>
  <si>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</si>
  <si>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</si>
  <si>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</si>
  <si>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</si>
  <si>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</si>
  <si>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</si>
  <si>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</si>
  <si>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</si>
  <si>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</si>
  <si>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</si>
  <si>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</si>
  <si>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</si>
  <si>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</si>
  <si>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</si>
  <si>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</si>
  <si>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</si>
  <si>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</si>
  <si>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</si>
  <si>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</si>
  <si>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</si>
  <si>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</si>
  <si>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</si>
  <si>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</si>
  <si>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</si>
  <si>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</si>
  <si>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</si>
  <si>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</si>
  <si>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</si>
  <si>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</si>
  <si>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</si>
  <si>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</si>
  <si>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</si>
  <si>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</si>
  <si>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</si>
  <si>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</si>
  <si>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</si>
  <si>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</si>
  <si>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</si>
  <si>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</si>
  <si>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</si>
  <si>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</si>
  <si>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</si>
  <si>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</si>
  <si>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</si>
  <si>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</si>
  <si>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</si>
  <si>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</si>
  <si>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</si>
  <si>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</si>
  <si>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</si>
  <si>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</si>
  <si>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</si>
  <si>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</si>
  <si>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</si>
  <si>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</si>
  <si>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</si>
  <si>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</si>
  <si>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</si>
  <si>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</si>
  <si>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</si>
  <si>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</si>
  <si>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</si>
  <si>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</si>
  <si>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</si>
  <si>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</si>
  <si>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</si>
  <si>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</si>
  <si>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</si>
  <si>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</si>
  <si>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</si>
  <si>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</si>
  <si>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</si>
  <si>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</si>
  <si>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</si>
  <si>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</si>
  <si>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</si>
  <si>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</si>
  <si>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</si>
  <si>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</si>
  <si>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</si>
  <si>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</si>
  <si>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</si>
  <si>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</si>
  <si>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</si>
  <si>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</si>
  <si>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</si>
  <si>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</si>
  <si>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</si>
  <si>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</si>
  <si>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</si>
  <si>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</si>
  <si>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</si>
  <si>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</si>
  <si>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</si>
  <si>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</si>
  <si>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</si>
  <si>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</si>
  <si>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</si>
  <si>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</si>
  <si>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</si>
  <si>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</si>
  <si>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</si>
  <si>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</si>
  <si>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</si>
  <si>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</si>
  <si>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</si>
  <si>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</si>
  <si>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</si>
  <si>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</si>
  <si>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</si>
  <si>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</si>
  <si>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</si>
  <si>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</si>
  <si>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</si>
  <si>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</si>
  <si>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</si>
  <si>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</si>
  <si>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</si>
  <si>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</si>
  <si>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</si>
  <si>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</si>
  <si>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</si>
  <si>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</si>
  <si>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</si>
  <si>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</si>
  <si>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</si>
  <si>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</si>
  <si>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</si>
  <si>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</si>
  <si>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</si>
  <si>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</si>
  <si>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</si>
  <si>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</si>
  <si>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</si>
  <si>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</si>
  <si>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</si>
  <si>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</si>
  <si>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</si>
  <si>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</si>
  <si>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</si>
  <si>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</si>
  <si>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</si>
  <si>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</si>
  <si>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</si>
  <si>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</si>
  <si>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</si>
  <si>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</si>
  <si>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</si>
  <si>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</si>
  <si>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</si>
  <si>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</si>
  <si>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</si>
  <si>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</si>
  <si>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</si>
  <si>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</si>
  <si>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</si>
  <si>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</si>
  <si>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</si>
  <si>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</si>
  <si>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</si>
  <si>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</si>
  <si>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</si>
  <si>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</si>
  <si>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</si>
  <si>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</si>
  <si>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</si>
  <si>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</si>
  <si>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</si>
  <si>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</si>
  <si>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</si>
  <si>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</si>
  <si>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</si>
  <si>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</si>
  <si>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</si>
  <si>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</si>
  <si>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</si>
  <si>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</si>
  <si>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</si>
  <si>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</si>
  <si>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</si>
  <si>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</si>
  <si>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</si>
  <si>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</si>
  <si>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</si>
  <si>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</si>
  <si>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</si>
  <si>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</si>
  <si>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</si>
  <si>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</si>
  <si>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</si>
  <si>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</si>
  <si>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</si>
  <si>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</si>
  <si>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</si>
  <si>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</si>
  <si>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</si>
  <si>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</si>
  <si>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</si>
  <si>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</si>
  <si>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</si>
  <si>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</si>
  <si>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</si>
  <si>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</si>
  <si>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</si>
  <si>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</si>
  <si>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</si>
  <si>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</si>
  <si>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</si>
  <si>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</si>
  <si>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</si>
  <si>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</si>
  <si>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</si>
  <si>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</si>
  <si>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</si>
  <si>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</si>
  <si>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</si>
  <si>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</si>
  <si>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</si>
  <si>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</si>
  <si>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</si>
  <si>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</si>
  <si>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</si>
  <si>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</si>
  <si>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</si>
  <si>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</si>
  <si>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</si>
  <si>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</si>
  <si>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</si>
  <si>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</si>
  <si>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</si>
  <si>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</si>
  <si>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</si>
  <si>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</si>
  <si>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</si>
  <si>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</si>
  <si>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</si>
  <si>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</si>
  <si>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</si>
  <si>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</si>
  <si>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</si>
  <si>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</si>
  <si>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</si>
  <si>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</si>
  <si>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</si>
  <si>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</si>
  <si>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</si>
  <si>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</si>
  <si>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</si>
  <si>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</si>
  <si>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</si>
  <si>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</si>
  <si>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</si>
  <si>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</si>
  <si>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</si>
  <si>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</si>
  <si>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</si>
  <si>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</si>
  <si>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</si>
  <si>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</si>
  <si>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</si>
  <si>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</si>
  <si>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</si>
  <si>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</si>
  <si>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</si>
  <si>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</si>
  <si>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</si>
  <si>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</si>
  <si>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</si>
  <si>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</si>
  <si>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</si>
  <si>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</si>
  <si>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</si>
  <si>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</si>
  <si>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</si>
  <si>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</si>
  <si>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</si>
  <si>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</si>
  <si>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</si>
  <si>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</si>
  <si>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</si>
  <si>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</si>
  <si>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</si>
  <si>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</si>
  <si>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</si>
  <si>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</si>
  <si>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</si>
  <si>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</si>
  <si>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</si>
  <si>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</si>
  <si>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</si>
  <si>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</si>
  <si>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</si>
  <si>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</si>
  <si>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</si>
  <si>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</si>
  <si>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</si>
  <si>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</si>
  <si>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</si>
  <si>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</si>
  <si>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</si>
  <si>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</si>
  <si>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</si>
  <si>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</si>
  <si>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</si>
  <si>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</si>
  <si>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</si>
  <si>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</si>
  <si>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</si>
  <si>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</si>
  <si>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</si>
  <si>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</si>
  <si>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</si>
  <si>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</si>
  <si>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</si>
  <si>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</si>
  <si>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</si>
  <si>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</si>
  <si>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</si>
  <si>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</si>
  <si>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</si>
  <si>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</si>
  <si>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VISINE® Eye Revival (6+yrs)</t>
  </si>
  <si>
    <t>BAC-Free</t>
  </si>
  <si>
    <t>VISINE® Tired Eye Relief (6+yrs)</t>
  </si>
  <si>
    <t>REFRESH® RELIEVA™ PF MULTIDOSE</t>
  </si>
  <si>
    <t>REFRESH® RELIEVA™</t>
  </si>
  <si>
    <t>REFRESH® RELIEVATM FOR CONTACTS</t>
  </si>
  <si>
    <t>Soft Preservative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</si>
  <si>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</si>
  <si>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</si>
  <si>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</si>
  <si>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</si>
  <si>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</si>
  <si>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</si>
  <si>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</si>
  <si>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</si>
  <si>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</si>
  <si>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</si>
  <si>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</si>
  <si>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</si>
  <si>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</si>
  <si>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</si>
  <si>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</si>
  <si>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Systane® COMPLETE Lubricant Eye Drop</t>
  </si>
  <si>
    <t>Systane® ULTRA HYDRATION PRESERVATIVE FREE Lubricant Eye Drops</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</si>
  <si>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</si>
  <si>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</si>
  <si>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</si>
  <si>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</si>
  <si>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</si>
  <si>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</si>
  <si>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</si>
  <si>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</si>
  <si>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</si>
  <si>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</si>
  <si>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</si>
  <si>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</si>
  <si>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</si>
  <si>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</si>
  <si>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</si>
  <si>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</si>
  <si>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</si>
  <si>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</si>
  <si>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</si>
  <si>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</si>
  <si>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</si>
  <si>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</si>
  <si>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</si>
  <si>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</si>
  <si>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</si>
  <si>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</si>
  <si>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</si>
  <si>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</si>
  <si>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</si>
  <si>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</si>
  <si>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</si>
  <si>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</si>
  <si>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</si>
  <si>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</si>
  <si>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</si>
  <si>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</si>
  <si>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</si>
  <si>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</si>
  <si>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</si>
  <si>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</si>
  <si>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</si>
  <si>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</si>
  <si>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</si>
  <si>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</si>
  <si>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</si>
  <si>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</si>
  <si>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</si>
  <si>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</si>
  <si>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</si>
  <si>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</si>
  <si>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</si>
  <si>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</si>
  <si>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</si>
  <si>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</si>
  <si>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</si>
  <si>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</si>
  <si>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</si>
  <si>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</si>
  <si>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</si>
  <si>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</si>
  <si>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</si>
  <si>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</si>
  <si>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</si>
  <si>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</si>
  <si>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</si>
  <si>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</si>
  <si>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</si>
  <si>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</si>
  <si>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</si>
  <si>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</si>
  <si>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</si>
  <si>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</si>
  <si>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</si>
  <si>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</si>
  <si>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</si>
  <si>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</si>
  <si>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</si>
  <si>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</si>
  <si>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</si>
  <si>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</si>
  <si>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</si>
  <si>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</si>
  <si>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</si>
  <si>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</si>
  <si>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</si>
  <si>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</si>
  <si>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</si>
  <si>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</si>
  <si>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</si>
  <si>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</si>
  <si>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</si>
  <si>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</si>
  <si>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</si>
  <si>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</si>
  <si>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</si>
  <si>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</si>
  <si>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</si>
  <si>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</si>
  <si>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</si>
  <si>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</si>
  <si>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</si>
  <si>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</si>
  <si>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</si>
  <si>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</si>
  <si>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</si>
  <si>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</si>
  <si>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</si>
  <si>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</si>
  <si>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</si>
  <si>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</si>
  <si>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</si>
  <si>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</si>
  <si>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</si>
  <si>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</si>
  <si>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</si>
  <si>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</si>
  <si>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</si>
  <si>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</si>
  <si>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</si>
  <si>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</si>
  <si>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</si>
  <si>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</si>
  <si>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</si>
  <si>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</si>
  <si>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</si>
  <si>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</si>
  <si>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</si>
  <si>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</si>
  <si>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</si>
  <si>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</si>
  <si>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</si>
  <si>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</si>
  <si>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</si>
  <si>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</si>
  <si>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</si>
  <si>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</si>
  <si>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</si>
  <si>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</si>
  <si>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</si>
  <si>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</si>
  <si>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</si>
  <si>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</si>
  <si>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</si>
  <si>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</si>
  <si>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</si>
  <si>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</si>
  <si>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</si>
  <si>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</si>
  <si>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</si>
  <si>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</si>
  <si>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</si>
  <si>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</si>
  <si>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</si>
  <si>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</si>
  <si>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</si>
  <si>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</si>
  <si>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</si>
  <si>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</si>
  <si>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</si>
  <si>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</si>
  <si>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</si>
  <si>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</si>
  <si>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</si>
  <si>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</si>
  <si>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</si>
  <si>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</si>
  <si>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</si>
  <si>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</si>
  <si>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</si>
  <si>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</si>
  <si>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</si>
  <si>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</si>
  <si>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</si>
  <si>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</si>
  <si>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</si>
  <si>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</si>
  <si>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</si>
  <si>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</si>
  <si>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</si>
  <si>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</si>
  <si>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</si>
  <si>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</si>
  <si>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</si>
  <si>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</si>
  <si>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</si>
  <si>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</si>
  <si>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</si>
  <si>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</si>
  <si>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</si>
  <si>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</si>
  <si>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</si>
  <si>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</si>
  <si>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</si>
  <si>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</si>
  <si>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</si>
  <si>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</si>
  <si>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</si>
  <si>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</si>
  <si>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</si>
  <si>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</si>
  <si>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</si>
  <si>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</si>
  <si>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</si>
  <si>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</si>
  <si>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</si>
  <si>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</si>
  <si>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</si>
  <si>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</si>
  <si>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</si>
  <si>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</si>
  <si>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</si>
  <si>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</si>
  <si>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</si>
  <si>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</si>
  <si>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</si>
  <si>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</si>
  <si>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</si>
  <si>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</si>
  <si>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</si>
  <si>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</si>
  <si>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</si>
  <si>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</si>
  <si>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</si>
  <si>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</si>
  <si>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</si>
  <si>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</si>
  <si>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</si>
  <si>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</si>
  <si>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</si>
  <si>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</si>
  <si>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</si>
  <si>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</si>
  <si>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</si>
  <si>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</si>
  <si>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</si>
  <si>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</si>
  <si>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</si>
  <si>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</si>
  <si>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</si>
  <si>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</si>
  <si>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</si>
  <si>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</si>
  <si>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</si>
  <si>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</si>
  <si>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</si>
  <si>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</si>
  <si>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</si>
  <si>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</si>
  <si>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</si>
  <si>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</si>
  <si>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</si>
  <si>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</si>
  <si>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</si>
  <si>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</si>
  <si>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</si>
  <si>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</si>
  <si>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</si>
  <si>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</si>
  <si>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</si>
  <si>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</si>
  <si>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</si>
  <si>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</si>
  <si>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</si>
  <si>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</si>
  <si>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</si>
  <si>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</si>
  <si>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</si>
  <si>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</si>
  <si>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</si>
  <si>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</si>
  <si>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</si>
  <si>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</si>
  <si>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</si>
  <si>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</si>
  <si>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</si>
  <si>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</si>
  <si>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</si>
  <si>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</si>
  <si>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</si>
  <si>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</si>
  <si>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</si>
  <si>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</si>
  <si>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</si>
  <si>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</si>
  <si>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</si>
  <si>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</si>
  <si>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</si>
  <si>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</si>
  <si>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</si>
  <si>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</si>
  <si>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</si>
  <si>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</si>
  <si>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</si>
  <si>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</si>
  <si>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</si>
  <si>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</si>
  <si>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</si>
  <si>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</si>
  <si>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</si>
  <si>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</si>
  <si>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</si>
  <si>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</si>
  <si>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</si>
  <si>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</si>
  <si>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</si>
  <si>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</si>
  <si>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</si>
  <si>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</si>
  <si>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</si>
  <si>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</si>
  <si>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</si>
  <si>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Tarsum Relief Shampoo</t>
  </si>
  <si>
    <t>Urea</t>
  </si>
  <si>
    <t>TriDerma Psoriasis Control® Shampoo</t>
  </si>
  <si>
    <t>TriDerma Soothing Shampoo</t>
  </si>
  <si>
    <t>Oat Protein</t>
  </si>
  <si>
    <t>DermaZinc® Shampoo</t>
  </si>
  <si>
    <t>Zinc Pyrithione</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</si>
  <si>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</si>
  <si>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</si>
  <si>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</si>
  <si>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</si>
  <si>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</si>
  <si>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</si>
  <si>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</si>
  <si>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</si>
  <si>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</si>
  <si>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</si>
  <si>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</si>
  <si>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</si>
  <si>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</si>
  <si>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</si>
  <si>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</si>
  <si>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</si>
  <si>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</si>
  <si>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</si>
  <si>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</si>
  <si>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</si>
  <si>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</si>
  <si>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</si>
  <si>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</si>
  <si>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</si>
  <si>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</si>
  <si>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</si>
  <si>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</si>
  <si>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</si>
  <si>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</si>
  <si>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</si>
  <si>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</si>
  <si>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</si>
  <si>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</si>
  <si>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</si>
  <si>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</si>
  <si>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</si>
  <si>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</si>
  <si>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</si>
  <si>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</si>
  <si>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</si>
  <si>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</si>
  <si>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</si>
  <si>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</si>
  <si>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</si>
  <si>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</si>
  <si>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</si>
  <si>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</si>
  <si>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</si>
  <si>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</si>
  <si>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</si>
  <si>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</si>
  <si>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</si>
  <si>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</si>
  <si>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</si>
  <si>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</si>
  <si>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</si>
  <si>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</si>
  <si>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</si>
  <si>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</si>
  <si>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</si>
  <si>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</si>
  <si>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</si>
  <si>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</si>
  <si>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</si>
  <si>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</si>
  <si>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</si>
  <si>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</si>
  <si>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</si>
  <si>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</si>
  <si>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</si>
  <si>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</si>
  <si>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</si>
  <si>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</si>
  <si>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</si>
  <si>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</si>
  <si>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</si>
  <si>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</si>
  <si>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</si>
  <si>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</si>
  <si>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</si>
  <si>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</si>
  <si>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</si>
  <si>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</si>
  <si>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</si>
  <si>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</si>
  <si>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</si>
  <si>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</si>
  <si>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</si>
  <si>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</si>
  <si>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</si>
  <si>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</si>
  <si>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</si>
  <si>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</si>
  <si>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</si>
  <si>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</si>
  <si>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</si>
  <si>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</si>
  <si>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</si>
  <si>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</si>
  <si>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</si>
  <si>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</si>
  <si>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</si>
  <si>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</si>
  <si>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</si>
  <si>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</si>
  <si>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</si>
  <si>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</si>
  <si>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</si>
  <si>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</si>
  <si>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</si>
  <si>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</si>
  <si>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</si>
  <si>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</si>
  <si>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</si>
  <si>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</si>
  <si>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</si>
  <si>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</si>
  <si>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</si>
  <si>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</si>
  <si>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</si>
  <si>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</si>
  <si>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</si>
  <si>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</si>
  <si>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</si>
  <si>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</si>
  <si>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</si>
  <si>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</si>
  <si>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</si>
  <si>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</si>
  <si>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</si>
  <si>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</si>
  <si>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</si>
  <si>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</si>
  <si>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</si>
  <si>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</si>
  <si>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</si>
  <si>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</si>
  <si>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</si>
  <si>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</si>
  <si>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</si>
  <si>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</si>
  <si>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</si>
  <si>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Clearblue Ultra Early Pregnancy Test</t>
  </si>
  <si>
    <t>Clearblue Rapid Detection Pregnancy Test</t>
  </si>
  <si>
    <t>Clearblue Pregancy Test Combo Pack</t>
  </si>
  <si>
    <t>Fastest</t>
  </si>
  <si>
    <t>Clearblue Advanced Digital Ovulation Test</t>
  </si>
  <si>
    <t>LH</t>
  </si>
  <si>
    <t>hCG</t>
  </si>
  <si>
    <t>Clearblue Digital Ovulation Test</t>
  </si>
  <si>
    <t>First Response</t>
  </si>
  <si>
    <t>FIRST RESPONSE™ Early Result Pregnancy Test</t>
  </si>
  <si>
    <t>FIRST RESPONSE™ Triple Check Pregnancy Test Kit</t>
  </si>
  <si>
    <t>FIRST RESPONSE™ Rapid Result Pregnancy Test</t>
  </si>
  <si>
    <t>FIRST RESPONSE™ Test And Confirm Pregnancy Test</t>
  </si>
  <si>
    <t>FIRST RESPONSE™ Digital Pregnancy Test</t>
  </si>
  <si>
    <t>FIRST RESPONSE™ Ovulation Plus Pregnancy Test</t>
  </si>
  <si>
    <t>Pregmate Pregnancy Test Strips</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</si>
  <si>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</si>
  <si>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</si>
  <si>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</si>
  <si>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</si>
  <si>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</si>
  <si>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</si>
  <si>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</si>
  <si>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</si>
  <si>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</si>
  <si>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</si>
  <si>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</si>
  <si>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</si>
  <si>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</si>
  <si>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</si>
  <si>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</si>
  <si>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</si>
  <si>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</si>
  <si>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</si>
  <si>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</si>
  <si>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</si>
  <si>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</si>
  <si>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</si>
  <si>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</si>
  <si>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</si>
  <si>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</si>
  <si>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</si>
  <si>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</si>
  <si>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</si>
  <si>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</si>
  <si>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</si>
  <si>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</si>
  <si>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</si>
  <si>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</si>
  <si>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</si>
  <si>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</si>
  <si>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</si>
  <si>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</si>
  <si>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</si>
  <si>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</si>
  <si>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</si>
  <si>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</si>
  <si>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</si>
  <si>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</si>
  <si>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</si>
  <si>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</si>
  <si>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</si>
  <si>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</si>
  <si>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</si>
  <si>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</si>
  <si>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</si>
  <si>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</si>
  <si>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</si>
  <si>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</si>
  <si>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</si>
  <si>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</si>
  <si>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</si>
  <si>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</si>
  <si>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</si>
  <si>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</si>
  <si>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</si>
  <si>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</si>
  <si>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</si>
  <si>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</si>
  <si>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</si>
  <si>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</si>
  <si>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</si>
  <si>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</si>
  <si>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</si>
  <si>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</si>
  <si>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</si>
  <si>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</si>
  <si>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</si>
  <si>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</si>
  <si>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</si>
  <si>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</si>
  <si>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</si>
  <si>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</si>
  <si>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</si>
  <si>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</si>
  <si>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</si>
  <si>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</si>
  <si>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</si>
  <si>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</si>
  <si>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</si>
  <si>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</si>
  <si>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</si>
  <si>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</si>
  <si>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</si>
  <si>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</si>
  <si>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</si>
  <si>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</si>
  <si>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</si>
  <si>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</si>
  <si>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</si>
  <si>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</si>
  <si>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</si>
  <si>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</si>
  <si>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</si>
  <si>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</si>
  <si>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</si>
  <si>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</si>
  <si>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</si>
  <si>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</si>
  <si>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</si>
  <si>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</si>
  <si>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</si>
  <si>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</si>
  <si>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</si>
  <si>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</si>
  <si>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</si>
  <si>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</si>
  <si>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</si>
  <si>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</si>
  <si>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</si>
  <si>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</si>
  <si>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</si>
  <si>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</si>
  <si>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</si>
  <si>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</si>
  <si>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</si>
  <si>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</si>
  <si>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</si>
  <si>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</si>
  <si>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</si>
  <si>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</si>
  <si>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</si>
  <si>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</si>
  <si>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</si>
  <si>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</si>
  <si>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</si>
  <si>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</si>
  <si>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</si>
  <si>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</si>
  <si>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</si>
  <si>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</si>
  <si>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</si>
  <si>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</si>
  <si>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</si>
  <si>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</si>
  <si>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</si>
  <si>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</si>
  <si>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</si>
  <si>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</si>
  <si>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</si>
  <si>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</si>
  <si>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</si>
  <si>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</si>
  <si>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</si>
  <si>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</si>
  <si>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</si>
  <si>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</si>
  <si>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</si>
  <si>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</si>
  <si>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</si>
  <si>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</si>
  <si>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</si>
  <si>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</si>
  <si>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</si>
  <si>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</si>
  <si>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</si>
  <si>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</si>
  <si>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</si>
  <si>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</si>
  <si>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</si>
  <si>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</si>
  <si>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</si>
  <si>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</si>
  <si>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</si>
  <si>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</si>
  <si>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</si>
  <si>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</si>
  <si>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</si>
  <si>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</si>
  <si>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</si>
  <si>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</si>
  <si>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</si>
  <si>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</si>
  <si>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</si>
  <si>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</si>
  <si>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</si>
  <si>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</si>
  <si>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</si>
  <si>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</si>
  <si>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</si>
  <si>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</si>
  <si>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</si>
  <si>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</si>
  <si>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</si>
  <si>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</si>
  <si>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</si>
  <si>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</si>
  <si>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</si>
  <si>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</si>
  <si>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</si>
  <si>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</si>
  <si>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</si>
  <si>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</si>
  <si>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</si>
  <si>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</si>
  <si>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</si>
  <si>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</si>
  <si>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Prevegyne</t>
  </si>
  <si>
    <t>Cystoplus®</t>
  </si>
  <si>
    <t>Base</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</si>
  <si>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</si>
  <si>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</si>
  <si>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</si>
  <si>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</si>
  <si>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</si>
  <si>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</si>
  <si>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</si>
  <si>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</si>
  <si>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</si>
  <si>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</si>
  <si>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</si>
  <si>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</si>
  <si>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</si>
  <si>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</si>
  <si>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</si>
  <si>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</si>
  <si>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</si>
  <si>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</si>
  <si>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</si>
  <si>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</si>
  <si>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</si>
  <si>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</si>
  <si>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</si>
  <si>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</si>
  <si>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</si>
  <si>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</si>
  <si>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</si>
  <si>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</si>
  <si>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</si>
  <si>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</si>
  <si>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</si>
  <si>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</si>
  <si>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</si>
  <si>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</si>
  <si>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</si>
  <si>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</si>
  <si>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</si>
  <si>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</si>
  <si>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</si>
  <si>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</si>
  <si>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</si>
  <si>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</si>
  <si>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</si>
  <si>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</si>
  <si>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</si>
  <si>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</si>
  <si>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</si>
  <si>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</si>
  <si>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</si>
  <si>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</si>
  <si>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</si>
  <si>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</si>
  <si>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</si>
  <si>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</si>
  <si>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</si>
  <si>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</si>
  <si>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</si>
  <si>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</si>
  <si>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</si>
  <si>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</si>
  <si>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</si>
  <si>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</si>
  <si>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</si>
  <si>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</si>
  <si>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</si>
  <si>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</si>
  <si>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</si>
  <si>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</si>
  <si>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</si>
  <si>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</si>
  <si>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</si>
  <si>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</si>
  <si>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</si>
  <si>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</si>
  <si>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</si>
  <si>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</si>
  <si>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</si>
  <si>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</si>
  <si>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</si>
  <si>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</si>
  <si>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</si>
  <si>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</si>
  <si>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</si>
  <si>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</si>
  <si>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</si>
  <si>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</si>
  <si>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</si>
  <si>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</si>
  <si>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</si>
  <si>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</si>
  <si>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</si>
  <si>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</si>
  <si>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</si>
  <si>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</si>
  <si>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</si>
  <si>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</si>
  <si>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</si>
  <si>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</si>
  <si>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</si>
  <si>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</si>
  <si>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</si>
  <si>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</si>
  <si>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</si>
  <si>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</si>
  <si>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</si>
  <si>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</si>
  <si>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</si>
  <si>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</si>
  <si>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</si>
  <si>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</si>
  <si>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</si>
  <si>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</si>
  <si>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</si>
  <si>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</si>
  <si>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</si>
  <si>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</si>
  <si>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</si>
  <si>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</si>
  <si>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</si>
  <si>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</si>
  <si>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</si>
  <si>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</si>
  <si>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</si>
  <si>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</si>
  <si>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</si>
  <si>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</si>
  <si>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</si>
  <si>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</si>
  <si>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</si>
  <si>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</si>
  <si>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</si>
  <si>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</si>
  <si>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</si>
  <si>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</si>
  <si>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</si>
  <si>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</si>
  <si>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</si>
  <si>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</si>
  <si>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</si>
  <si>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</si>
  <si>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</si>
  <si>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</si>
  <si>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</si>
  <si>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</si>
  <si>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</si>
  <si>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</si>
  <si>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</si>
  <si>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</si>
  <si>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</si>
  <si>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</si>
  <si>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</si>
  <si>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</si>
  <si>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</si>
  <si>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</si>
  <si>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</si>
  <si>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</si>
  <si>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</si>
  <si>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</si>
  <si>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</si>
  <si>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</si>
  <si>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</si>
  <si>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</si>
  <si>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</si>
  <si>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</si>
  <si>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</si>
  <si>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</si>
  <si>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</si>
  <si>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</si>
  <si>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</si>
  <si>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</si>
  <si>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</si>
  <si>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</si>
  <si>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</si>
  <si>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</si>
  <si>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</si>
  <si>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</si>
  <si>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</si>
  <si>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</si>
  <si>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</si>
  <si>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</si>
  <si>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</si>
  <si>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</si>
  <si>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</si>
  <si>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</si>
  <si>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</si>
  <si>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</si>
  <si>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</si>
  <si>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</si>
  <si>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</si>
  <si>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</si>
  <si>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</si>
  <si>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</si>
  <si>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</si>
  <si>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</si>
  <si>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</si>
  <si>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</si>
  <si>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</si>
  <si>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</si>
  <si>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</si>
  <si>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</si>
  <si>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</si>
  <si>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</si>
  <si>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</si>
  <si>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</si>
  <si>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</si>
  <si>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</si>
  <si>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</si>
  <si>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</si>
  <si>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</si>
  <si>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</si>
  <si>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</si>
  <si>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</si>
  <si>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</si>
  <si>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</si>
  <si>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</si>
  <si>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</si>
  <si>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</si>
  <si>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</si>
  <si>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</si>
  <si>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</si>
  <si>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</si>
  <si>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</si>
  <si>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</si>
  <si>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</si>
  <si>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</si>
  <si>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</si>
  <si>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</si>
  <si>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</si>
  <si>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</si>
  <si>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</si>
  <si>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</si>
  <si>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</si>
  <si>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</si>
  <si>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</si>
  <si>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</si>
  <si>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</si>
  <si>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</si>
  <si>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</si>
  <si>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</si>
  <si>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</si>
  <si>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</si>
  <si>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</si>
  <si>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</si>
  <si>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</si>
  <si>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</si>
  <si>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</si>
  <si>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</si>
  <si>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</si>
  <si>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</si>
  <si>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</si>
  <si>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</si>
  <si>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</si>
  <si>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</si>
  <si>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</si>
  <si>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</si>
  <si>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</si>
  <si>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</si>
  <si>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</si>
  <si>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</si>
  <si>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</si>
  <si>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</si>
  <si>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</si>
  <si>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</si>
  <si>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</si>
  <si>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</si>
  <si>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</si>
  <si>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</si>
  <si>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</si>
  <si>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</si>
  <si>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</si>
  <si>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</si>
  <si>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</si>
  <si>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</si>
  <si>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</si>
  <si>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</si>
  <si>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</si>
  <si>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</si>
  <si>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</si>
  <si>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</si>
  <si>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</si>
  <si>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</si>
  <si>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</si>
  <si>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</si>
  <si>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</si>
  <si>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</si>
  <si>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</si>
  <si>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</si>
  <si>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</si>
  <si>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</si>
  <si>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Enfamil A+ Soy</t>
  </si>
  <si>
    <t>Nutramigen® A+® with LGG®</t>
  </si>
  <si>
    <t>PURAMINO A+ ®</t>
  </si>
  <si>
    <t>PURAMINO A+ JUNIOR</t>
  </si>
  <si>
    <t>Pregestimil A+</t>
  </si>
  <si>
    <t>Hydrolate</t>
  </si>
  <si>
    <t>Enfamil A+ EnfaCare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</si>
  <si>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</si>
  <si>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</si>
  <si>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</si>
  <si>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</si>
  <si>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</si>
  <si>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</si>
  <si>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</si>
  <si>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</si>
  <si>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</si>
  <si>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</si>
  <si>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</si>
  <si>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</si>
  <si>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</si>
  <si>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</si>
  <si>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</si>
  <si>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</si>
  <si>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</si>
  <si>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</si>
  <si>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</si>
  <si>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</si>
  <si>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</si>
  <si>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</si>
  <si>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</si>
  <si>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</si>
  <si>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</si>
  <si>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</si>
  <si>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</si>
  <si>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</si>
  <si>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</si>
  <si>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</si>
  <si>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</si>
  <si>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</si>
  <si>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</si>
  <si>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</si>
  <si>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</si>
  <si>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</si>
  <si>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</si>
  <si>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</si>
  <si>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</si>
  <si>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</si>
  <si>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</si>
  <si>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</si>
  <si>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</si>
  <si>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</si>
  <si>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</si>
  <si>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</si>
  <si>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</si>
  <si>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</si>
  <si>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</si>
  <si>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</si>
  <si>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</si>
  <si>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</si>
  <si>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</si>
  <si>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</si>
  <si>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</si>
  <si>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</si>
  <si>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</si>
  <si>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</si>
  <si>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</si>
  <si>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</si>
  <si>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</si>
  <si>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</si>
  <si>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</si>
  <si>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</si>
  <si>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</si>
  <si>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</si>
  <si>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</si>
  <si>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</si>
  <si>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</si>
  <si>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</si>
  <si>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</si>
  <si>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</si>
  <si>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</si>
  <si>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</si>
  <si>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</si>
  <si>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</si>
  <si>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</si>
  <si>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</si>
  <si>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</si>
  <si>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</si>
  <si>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</si>
  <si>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</si>
  <si>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</si>
  <si>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</si>
  <si>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</si>
  <si>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</si>
  <si>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</si>
  <si>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</si>
  <si>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</si>
  <si>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</si>
  <si>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</si>
  <si>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</si>
  <si>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</si>
  <si>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</si>
  <si>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</si>
  <si>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</si>
  <si>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</si>
  <si>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</si>
  <si>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</si>
  <si>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</si>
  <si>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</si>
  <si>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</si>
  <si>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</si>
  <si>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</si>
  <si>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</si>
  <si>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</si>
  <si>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</si>
  <si>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</si>
  <si>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</si>
  <si>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</si>
  <si>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</si>
  <si>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</si>
  <si>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</si>
  <si>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</si>
  <si>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</si>
  <si>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</si>
  <si>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</si>
  <si>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</si>
  <si>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</si>
  <si>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</si>
  <si>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</si>
  <si>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</si>
  <si>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</si>
  <si>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</si>
  <si>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</si>
  <si>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</si>
  <si>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</si>
  <si>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</si>
  <si>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</si>
  <si>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</si>
  <si>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</si>
  <si>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</si>
  <si>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</si>
  <si>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</si>
  <si>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</si>
  <si>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</si>
  <si>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</si>
  <si>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</si>
  <si>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</si>
  <si>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</si>
  <si>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</si>
  <si>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</si>
  <si>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</si>
  <si>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</si>
  <si>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</si>
  <si>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</si>
  <si>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</si>
  <si>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</si>
  <si>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</si>
  <si>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</si>
  <si>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</si>
  <si>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</si>
  <si>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</si>
  <si>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</si>
  <si>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</si>
  <si>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</si>
  <si>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</si>
  <si>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</si>
  <si>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</si>
  <si>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</si>
  <si>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</si>
  <si>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</si>
  <si>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</si>
  <si>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</si>
  <si>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</si>
  <si>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</si>
  <si>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</si>
  <si>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</si>
  <si>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</si>
  <si>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</si>
  <si>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</si>
  <si>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</si>
  <si>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</si>
  <si>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</si>
  <si>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</si>
  <si>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</si>
  <si>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</si>
  <si>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</si>
  <si>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</si>
  <si>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</si>
  <si>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</si>
  <si>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</si>
  <si>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</si>
  <si>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</si>
  <si>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</si>
  <si>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</si>
  <si>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</si>
  <si>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</si>
  <si>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</si>
  <si>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</si>
  <si>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</si>
  <si>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</si>
  <si>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</si>
  <si>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</si>
  <si>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</si>
  <si>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</si>
  <si>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</si>
  <si>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</si>
  <si>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</si>
  <si>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</si>
  <si>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</si>
  <si>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</si>
  <si>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</si>
  <si>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</si>
  <si>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</si>
  <si>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</si>
  <si>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</si>
  <si>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</si>
  <si>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</si>
  <si>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</si>
  <si>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</si>
  <si>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</si>
  <si>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</si>
  <si>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</si>
  <si>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</si>
  <si>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</si>
  <si>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</si>
  <si>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</si>
  <si>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</si>
  <si>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</si>
  <si>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</si>
  <si>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</si>
  <si>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</si>
  <si>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</si>
  <si>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</si>
  <si>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</si>
  <si>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</si>
  <si>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</si>
  <si>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</si>
  <si>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</si>
  <si>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</si>
  <si>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</si>
  <si>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</si>
  <si>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</si>
  <si>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</si>
  <si>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</si>
  <si>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</si>
  <si>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</si>
  <si>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</si>
  <si>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</si>
  <si>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</si>
  <si>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</si>
  <si>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</si>
  <si>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</si>
  <si>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</si>
  <si>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</si>
  <si>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</si>
  <si>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</si>
  <si>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</si>
  <si>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</si>
  <si>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</si>
  <si>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</si>
  <si>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</si>
  <si>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</si>
  <si>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</si>
  <si>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</si>
  <si>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</si>
  <si>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</si>
  <si>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</si>
  <si>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</si>
  <si>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</si>
  <si>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</si>
  <si>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</si>
  <si>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</si>
  <si>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</si>
  <si>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</si>
  <si>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</si>
  <si>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</si>
  <si>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</si>
  <si>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</si>
  <si>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</si>
  <si>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</si>
  <si>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</si>
  <si>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</si>
  <si>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</si>
  <si>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</si>
  <si>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</si>
  <si>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</si>
  <si>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</si>
  <si>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</si>
  <si>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</si>
  <si>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</si>
  <si>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</si>
  <si>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</si>
  <si>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</si>
  <si>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</si>
  <si>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</si>
  <si>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</si>
  <si>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</si>
  <si>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</si>
  <si>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</si>
  <si>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</si>
  <si>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</si>
  <si>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</si>
  <si>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</si>
  <si>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</si>
  <si>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</si>
  <si>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</si>
  <si>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</si>
  <si>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</si>
  <si>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</si>
  <si>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</si>
  <si>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</si>
  <si>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</si>
  <si>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</si>
  <si>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</si>
  <si>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</si>
  <si>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</si>
  <si>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</si>
  <si>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</si>
  <si>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</si>
  <si>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</si>
  <si>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</si>
  <si>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</si>
  <si>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</si>
  <si>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</si>
  <si>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</si>
  <si>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</si>
  <si>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</si>
  <si>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</si>
  <si>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Astringent (zinc)</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</si>
  <si>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</si>
  <si>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</si>
  <si>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</si>
  <si>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</si>
  <si>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</si>
  <si>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</si>
  <si>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</si>
  <si>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</si>
  <si>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</si>
  <si>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</si>
  <si>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</si>
  <si>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</si>
  <si>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</si>
  <si>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</si>
  <si>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</si>
  <si>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</si>
  <si>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</si>
  <si>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</si>
  <si>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</si>
  <si>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</si>
  <si>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</si>
  <si>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</si>
  <si>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</si>
  <si>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</si>
  <si>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</si>
  <si>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</si>
  <si>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</si>
  <si>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</si>
  <si>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</si>
  <si>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</si>
  <si>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</si>
  <si>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</si>
  <si>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</si>
  <si>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</si>
  <si>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</si>
  <si>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</si>
  <si>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</si>
  <si>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</si>
  <si>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</si>
  <si>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</si>
  <si>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HC Rating</t>
  </si>
  <si>
    <t>Spacelabs</t>
  </si>
  <si>
    <t>Microlife</t>
  </si>
  <si>
    <t>Atoma</t>
  </si>
  <si>
    <t>BIOS Medical</t>
  </si>
  <si>
    <t>Exact</t>
  </si>
  <si>
    <t>Hymark</t>
  </si>
  <si>
    <t>HoMedics</t>
  </si>
  <si>
    <t>Life</t>
  </si>
  <si>
    <t>Option+</t>
  </si>
  <si>
    <t>Personnelle</t>
  </si>
  <si>
    <t>Qardio Inc</t>
  </si>
  <si>
    <t>Rexall</t>
  </si>
  <si>
    <t>Simply Accurate</t>
  </si>
  <si>
    <t>InBody</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</si>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</sst>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19">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12" fillId="8" borderId="0" xfId="0" applyFont="1" applyFill="1" applyAlignment="1">
      <alignment vertical="center" wrapText="1"/>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13" fillId="8" borderId="0" xfId="0" applyFont="1" applyFill="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15" fillId="8" borderId="0" xfId="1" applyFont="1" applyFill="1"/>
    <xf numFmtId="0" fontId="15" fillId="8" borderId="0" xfId="1" applyFont="1" applyFill="1" applyAlignment="1">
      <alignment vertical="center" wrapText="1"/>
    </xf>
    <xf numFmtId="0" fontId="9" fillId="8" borderId="0" xfId="0" applyFont="1" applyFill="1" applyAlignment="1">
      <alignment horizontal="center"/>
    </xf>
    <xf numFmtId="0" fontId="9" fillId="9" borderId="9" xfId="1" applyFont="1" applyFill="1" applyBorder="1"/>
    <xf numFmtId="0" fontId="9" fillId="9" borderId="9" xfId="0" applyFont="1" applyFill="1" applyBorder="1" applyAlignment="1">
      <alignment vertical="center" wrapText="1"/>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6" fillId="17" borderId="9" xfId="0" applyFont="1" applyFill="1" applyBorder="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17" borderId="9" xfId="0" applyFont="1" applyFill="1" applyBorder="1" applyAlignment="1">
      <alignment vertical="center" wrapText="1"/>
    </xf>
    <xf numFmtId="0" fontId="26" fillId="9" borderId="9" xfId="0" applyFont="1" applyFill="1" applyBorder="1"/>
    <xf numFmtId="0" fontId="26" fillId="9" borderId="9" xfId="1" applyFont="1" applyFill="1" applyBorder="1"/>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8" fillId="8" borderId="0" xfId="1" applyFill="1" applyAlignment="1">
      <alignment vertical="center" wrapText="1"/>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cellXfs>
  <cellStyles count="2">
    <cellStyle name="Hyperlink" xfId="1" builtinId="8"/>
    <cellStyle name="Normal" xfId="0" builtinId="0"/>
  </cellStyles>
  <dxfs count="323">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numFmt numFmtId="0" formatCode="General"/>
      <fill>
        <patternFill>
          <bgColor theme="0"/>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border diagonalUp="0" diagonalDown="0" outline="0">
        <left/>
        <right/>
        <top style="thin">
          <color theme="4" tint="0.39997558519241921"/>
        </top>
        <bottom style="thin">
          <color theme="4" tint="0.39997558519241921"/>
        </bottom>
      </border>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2">
  <autoFilter ref="A1:N17" xr:uid="{00000000-0009-0000-0100-00001C000000}"/>
  <tableColumns count="14">
    <tableColumn id="1" xr3:uid="{00000000-0010-0000-0000-000001000000}" name="Product Options" dataDxfId="321">
      <calculatedColumnFormula>IF(Table28[[#This Row],[Total]],Table28[[#This Row],[Product]])</calculatedColumnFormula>
    </tableColumn>
    <tableColumn id="2" xr3:uid="{00000000-0010-0000-0000-000002000000}" name="Xylitol" dataDxfId="320"/>
    <tableColumn id="3" xr3:uid="{00000000-0010-0000-0000-000003000000}" name="Saliva Substitute" dataDxfId="319"/>
    <tableColumn id="14" xr3:uid="{831CDC13-A4F7-4C3F-861B-5ACA4A0B971B}" name="PRN" dataDxfId="318">
      <calculatedColumnFormula>AND('Dry Mouth Criteria'!B7,'Dry Mouth Criteria'!C8)</calculatedColumnFormula>
    </tableColumn>
    <tableColumn id="13" xr3:uid="{956FB2A9-6839-408E-BAB3-1D89CD9BC8F8}" name="Overnight" dataDxfId="317">
      <calculatedColumnFormula>AND('Dry Mouth Criteria'!B6,'Dry Mouth Criteria'!C5)</calculatedColumnFormula>
    </tableColumn>
    <tableColumn id="4" xr3:uid="{00000000-0010-0000-0000-000004000000}" name="Parabens" dataDxfId="316"/>
    <tableColumn id="5" xr3:uid="{00000000-0010-0000-0000-000005000000}" name="Yerba Santa"/>
    <tableColumn id="12" xr3:uid="{449A2391-3602-46D1-94F5-C076BBCEFA04}" name="Spray" dataDxfId="315">
      <calculatedColumnFormula>AND('Dry Mouth Criteria'!B9,'Dry Mouth Criteria'!C10:C13)</calculatedColumnFormula>
    </tableColumn>
    <tableColumn id="11" xr3:uid="{C0540F23-784A-4125-B93C-7888D036F0AE}" name="Wash" dataDxfId="314">
      <calculatedColumnFormula>AND('Dry Mouth Criteria'!B10,'Dry Mouth Criteria'!C9,'Dry Mouth Criteria'!C11:C13)</calculatedColumnFormula>
    </tableColumn>
    <tableColumn id="10" xr3:uid="{79ADBE7B-BF1B-44E4-AE24-2C0E9EF1EDF1}" name="Gel" dataDxfId="313">
      <calculatedColumnFormula>AND('Dry Mouth Criteria'!B9,'Dry Mouth Criteria'!C7:C8,'Dry Mouth Criteria'!C10:C11)</calculatedColumnFormula>
    </tableColumn>
    <tableColumn id="9" xr3:uid="{CA42A956-8990-42A4-B7E2-2592A1914EBD}" name="Lozenge/Gum" dataDxfId="312">
      <calculatedColumnFormula>AND('Dry Mouth Criteria'!B9,'Dry Mouth Criteria'!C6:C8,'Dry Mouth Criteria'!C10)</calculatedColumnFormula>
    </tableColumn>
    <tableColumn id="8" xr3:uid="{A6B7021D-3951-401E-B437-80829D9275C2}" name="Patch" dataDxfId="311"/>
    <tableColumn id="6" xr3:uid="{00000000-0010-0000-0000-000006000000}" name="Total" dataDxfId="310">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17">
      <calculatedColumnFormula>IF(Table152516[[#This Row],[Column11]],Table152516[[#This Row],[Column12]])</calculatedColumnFormula>
    </tableColumn>
    <tableColumn id="6" xr3:uid="{00000000-0010-0000-0900-000006000000}" name="Occlusive" dataDxfId="216"/>
    <tableColumn id="4" xr3:uid="{00000000-0010-0000-0900-000004000000}" name="Humectant" dataDxfId="215"/>
    <tableColumn id="3" xr3:uid="{00000000-0010-0000-0900-000003000000}" name="Emollient" dataDxfId="214"/>
    <tableColumn id="2" xr3:uid="{00000000-0010-0000-0900-000002000000}" name="Bath Oil" dataDxfId="213"/>
    <tableColumn id="8" xr3:uid="{00000000-0010-0000-0900-000008000000}" name="Colloidal Oat" dataDxfId="212"/>
    <tableColumn id="9" xr3:uid="{00000000-0010-0000-0900-000009000000}" name="Urea" dataDxfId="211"/>
    <tableColumn id="15" xr3:uid="{00000000-0010-0000-0900-00000F000000}" name="Lanolin" dataDxfId="210"/>
    <tableColumn id="23" xr3:uid="{00000000-0010-0000-0900-000017000000}" name="Paraben" dataDxfId="209"/>
    <tableColumn id="5" xr3:uid="{00000000-0010-0000-0900-000005000000}" name="Steroid" dataDxfId="208"/>
    <tableColumn id="14" xr3:uid="{00000000-0010-0000-0900-00000E000000}" name="Itch"/>
    <tableColumn id="10" xr3:uid="{00000000-0010-0000-0900-00000A000000}" name="Cream" dataDxfId="207"/>
    <tableColumn id="16" xr3:uid="{00000000-0010-0000-0900-000010000000}" name="Ointment" dataDxfId="206"/>
    <tableColumn id="13" xr3:uid="{00000000-0010-0000-0900-00000D000000}" name="Lotion" dataDxfId="205"/>
    <tableColumn id="17" xr3:uid="{00000000-0010-0000-0900-000011000000}" name="Balm" dataDxfId="204"/>
    <tableColumn id="19" xr3:uid="{00000000-0010-0000-0900-000013000000}" name="Hypoallergic" dataDxfId="203"/>
    <tableColumn id="22" xr3:uid="{00000000-0010-0000-0900-000016000000}" name="Fragrancy-Free" dataDxfId="202"/>
    <tableColumn id="21" xr3:uid="{00000000-0010-0000-0900-000015000000}" name="Non-comedogenic" dataDxfId="201"/>
    <tableColumn id="11" xr3:uid="{00000000-0010-0000-0900-00000B000000}" name="Column11" dataDxfId="200">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199">
      <calculatedColumnFormula>IF(Table1524[[#This Row],[Column11]],Table1524[[#This Row],[Column12]])</calculatedColumnFormula>
    </tableColumn>
    <tableColumn id="15" xr3:uid="{00000000-0010-0000-0A00-00000F000000}" name="Salicylic Acid"/>
    <tableColumn id="17" xr3:uid="{00000000-0010-0000-0A00-000011000000}" name="Cryogenic" dataDxfId="198"/>
    <tableColumn id="2" xr3:uid="{00000000-0010-0000-0A00-000002000000}" name="Lanolin"/>
    <tableColumn id="4" xr3:uid="{00000000-0010-0000-0A00-000004000000}" name="Rubber" dataDxfId="197"/>
    <tableColumn id="5" xr3:uid="{00000000-0010-0000-0A00-000005000000}" name="Pad" dataDxfId="196"/>
    <tableColumn id="6" xr3:uid="{00000000-0010-0000-0A00-000006000000}" name="Liquid/Gel" dataDxfId="195"/>
    <tableColumn id="7" xr3:uid="{00000000-0010-0000-0A00-000007000000}" name="Common Warts" dataDxfId="194"/>
    <tableColumn id="3" xr3:uid="{00000000-0010-0000-0A00-000003000000}" name="Plantar" dataDxfId="193"/>
    <tableColumn id="11" xr3:uid="{00000000-0010-0000-0A00-00000B000000}" name="Column11" dataDxfId="192">
      <calculatedColumnFormula>AND(Table1524[[#This Row],[Salicylic Acid]:[Liquid/Gel]],OR(Table1524[[#This Row],[Common Warts]:[Plantar]]))</calculatedColumnFormula>
    </tableColumn>
    <tableColumn id="12" xr3:uid="{00000000-0010-0000-0A00-00000C000000}" name="Column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191">
      <calculatedColumnFormula>IF(Table1523[[#This Row],[Column11]],Table1523[[#This Row],[Column12]])</calculatedColumnFormula>
    </tableColumn>
    <tableColumn id="9" xr3:uid="{00000000-0010-0000-0B00-000009000000}" name="Azole"/>
    <tableColumn id="5" xr3:uid="{00000000-0010-0000-0B00-000005000000}" name="Toln-skin" dataDxfId="190"/>
    <tableColumn id="7" xr3:uid="{00000000-0010-0000-0B00-000007000000}" name="Toln-nail" dataDxfId="189"/>
    <tableColumn id="6" xr3:uid="{00000000-0010-0000-0B00-000006000000}" name="Undecylenic/lactic acid" dataDxfId="188"/>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87"/>
    <tableColumn id="2" xr3:uid="{00000000-0010-0000-0B00-000002000000}" name="Spray/Powder" dataDxfId="186"/>
    <tableColumn id="11" xr3:uid="{00000000-0010-0000-0B00-00000B000000}" name="Column11" dataDxfId="185">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84">
      <calculatedColumnFormula>IF(Table1522[[#This Row],[Column11]],Table1522[[#This Row],[Column12]])</calculatedColumnFormula>
    </tableColumn>
    <tableColumn id="15" xr3:uid="{00000000-0010-0000-0C00-00000F000000}" name="Salicylic Acid" dataDxfId="183"/>
    <tableColumn id="18" xr3:uid="{00000000-0010-0000-0C00-000012000000}" name="Peroxide" dataDxfId="182"/>
    <tableColumn id="3" xr3:uid="{00000000-0010-0000-0C00-000003000000}" name="Cream" dataDxfId="181"/>
    <tableColumn id="6" xr3:uid="{00000000-0010-0000-0C00-000006000000}" name="Lotion" dataDxfId="180"/>
    <tableColumn id="5" xr3:uid="{00000000-0010-0000-0C00-000005000000}" name="Gel"/>
    <tableColumn id="7" xr3:uid="{00000000-0010-0000-0C00-000007000000}" name="Solution"/>
    <tableColumn id="2" xr3:uid="{00000000-0010-0000-0C00-000002000000}" name="Cleanser" dataDxfId="179"/>
    <tableColumn id="4" xr3:uid="{00000000-0010-0000-0C00-000004000000}" name="Spot Treatment" dataDxfId="178"/>
    <tableColumn id="11" xr3:uid="{00000000-0010-0000-0C00-00000B000000}" name="Column11" dataDxfId="177">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76"/>
    <tableColumn id="3" xr3:uid="{00000000-0010-0000-0D00-000003000000}" name="Anesthetic" dataDxfId="175"/>
    <tableColumn id="5" xr3:uid="{C789CB22-9E27-4B72-9034-C2DFA3A203BC}" name="Peanut" dataDxfId="174">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73">
      <calculatedColumnFormula>AND(Table16[[#This Row],[Antibiotic]:[Solvent]])</calculatedColumnFormula>
    </tableColumn>
    <tableColumn id="12" xr3:uid="{00000000-0010-0000-0D00-00000C000000}" name="Column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72">
      <calculatedColumnFormula>IF(Table19[[#This Row],[Column2]],Table19[[#This Row],[Column13]])</calculatedColumnFormula>
    </tableColumn>
    <tableColumn id="27" xr3:uid="{00000000-0010-0000-0E00-00001B000000}" name="Low SPF"/>
    <tableColumn id="2" xr3:uid="{00000000-0010-0000-0E00-000002000000}" name="Mid SPF" dataDxfId="171"/>
    <tableColumn id="5" xr3:uid="{00000000-0010-0000-0E00-000005000000}" name="High SPF" dataDxfId="170"/>
    <tableColumn id="6" xr3:uid="{00000000-0010-0000-0E00-000006000000}" name="Spray/Whip/Oil" dataDxfId="169"/>
    <tableColumn id="23" xr3:uid="{00000000-0010-0000-0E00-000017000000}" name="Stick" dataDxfId="168"/>
    <tableColumn id="21" xr3:uid="{00000000-0010-0000-0E00-000015000000}" name="Lotion" dataDxfId="167"/>
    <tableColumn id="10" xr3:uid="{00000000-0010-0000-0E00-00000A000000}" name="UVA/UVB" dataDxfId="166"/>
    <tableColumn id="11" xr3:uid="{00000000-0010-0000-0E00-00000B000000}" name="Kids" dataDxfId="165"/>
    <tableColumn id="12" xr3:uid="{00000000-0010-0000-0E00-00000C000000}" name="Water resistent/proof" dataDxfId="164"/>
    <tableColumn id="16" xr3:uid="{00000000-0010-0000-0E00-000010000000}" name="Oxy/Avobenzone" dataDxfId="163"/>
    <tableColumn id="15" xr3:uid="{00000000-0010-0000-0E00-00000F000000}" name="Face/Lips" dataDxfId="162"/>
    <tableColumn id="17" xr3:uid="{00000000-0010-0000-0E00-000011000000}" name="Body" dataDxfId="161"/>
    <tableColumn id="20" xr3:uid="{00000000-0010-0000-0E00-000014000000}" name="Non-comedogenic" dataDxfId="160"/>
    <tableColumn id="14" xr3:uid="{00000000-0010-0000-0E00-00000E000000}" name="Hypoallergenic" dataDxfId="159"/>
    <tableColumn id="26" xr3:uid="{00000000-0010-0000-0E00-00001A000000}" name="Fragrance-Free" dataDxfId="158"/>
    <tableColumn id="24" xr3:uid="{00000000-0010-0000-0E00-000018000000}" name="Oil-Free" dataDxfId="157"/>
    <tableColumn id="3" xr3:uid="{00000000-0010-0000-0E00-000003000000}" name="Mineral"/>
    <tableColumn id="18" xr3:uid="{00000000-0010-0000-0E00-000012000000}" name="Column2" dataDxfId="156">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55">
      <calculatedColumnFormula>IF(Table20[[#This Row],[Column7]],Table20[[#This Row],[Column8]])</calculatedColumnFormula>
    </tableColumn>
    <tableColumn id="10" xr3:uid="{00000000-0010-0000-0F00-00000A000000}" name="Pregnancy" dataDxfId="154"/>
    <tableColumn id="9" xr3:uid="{00000000-0010-0000-0F00-000009000000}" name="Ovulation" dataDxfId="153"/>
    <tableColumn id="6" xr3:uid="{00000000-0010-0000-0F00-000006000000}" name="Preg/Ovu" dataDxfId="152"/>
    <tableColumn id="14" xr3:uid="{00000000-0010-0000-0F00-00000E000000}" name="hCG" dataDxfId="151"/>
    <tableColumn id="13" xr3:uid="{00000000-0010-0000-0F00-00000D000000}" name="LH" dataDxfId="150"/>
    <tableColumn id="12" xr3:uid="{00000000-0010-0000-0F00-00000C000000}" name="Estrogen/LH" dataDxfId="149"/>
    <tableColumn id="2" xr3:uid="{00000000-0010-0000-0F00-000002000000}" name="Digital Indicator" dataDxfId="148"/>
    <tableColumn id="11" xr3:uid="{00000000-0010-0000-0F00-00000B000000}" name="Line Indicator" dataDxfId="147"/>
    <tableColumn id="15" xr3:uid="{00000000-0010-0000-0F00-00000F000000}" name="Dig/Line Combo" dataDxfId="146"/>
    <tableColumn id="3" xr3:uid="{00000000-0010-0000-0F00-000003000000}" name="Gestation Indicator" dataDxfId="145"/>
    <tableColumn id="4" xr3:uid="{00000000-0010-0000-0F00-000004000000}" name="Pre missed period" dataDxfId="144"/>
    <tableColumn id="5" xr3:uid="{00000000-0010-0000-0F00-000005000000}" name="Fastest" dataDxfId="143"/>
    <tableColumn id="7" xr3:uid="{00000000-0010-0000-0F00-000007000000}" name="Column7" dataDxfId="142">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41">
      <calculatedColumnFormula>IF(Table24[[#This Row],[Column1]],Table24[[#This Row],[Column9]])</calculatedColumnFormula>
    </tableColumn>
    <tableColumn id="11" xr3:uid="{00000000-0010-0000-1000-00000B000000}" name="NRT" dataDxfId="140"/>
    <tableColumn id="2" xr3:uid="{00000000-0010-0000-1000-000002000000}" name="Light Smoker" dataDxfId="139"/>
    <tableColumn id="3" xr3:uid="{00000000-0010-0000-1000-000003000000}" name="Heavy Smoker" dataDxfId="138"/>
    <tableColumn id="4" xr3:uid="{00000000-0010-0000-1000-000004000000}" name="Patch" dataDxfId="137"/>
    <tableColumn id="5" xr3:uid="{00000000-0010-0000-1000-000005000000}" name="Inhaler" dataDxfId="136"/>
    <tableColumn id="6" xr3:uid="{00000000-0010-0000-1000-000006000000}" name="Lozenge" dataDxfId="135"/>
    <tableColumn id="7" xr3:uid="{00000000-0010-0000-1000-000007000000}" name="Gum" dataDxfId="134"/>
    <tableColumn id="8" xr3:uid="{00000000-0010-0000-1000-000008000000}" name="Mist" dataDxfId="133"/>
    <tableColumn id="12" xr3:uid="{00000000-0010-0000-1000-00000C000000}" name="Mint" dataDxfId="132"/>
    <tableColumn id="13" xr3:uid="{00000000-0010-0000-1000-00000D000000}" name="Flavor" dataDxfId="131"/>
    <tableColumn id="10" xr3:uid="{00000000-0010-0000-1000-00000A000000}" name="Column1" dataDxfId="130">
      <calculatedColumnFormula>AND(OR(Table24[[#This Row],[Light Smoker]:[Heavy Smoker]]),AND(Table24[[#This Row],[Patch]:[Mist]]),OR(Table24[[#This Row],[Mint]:[Flavor]]))</calculatedColumnFormula>
    </tableColumn>
    <tableColumn id="9" xr3:uid="{00000000-0010-0000-1000-000009000000}" name="Column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29">
      <calculatedColumnFormula>IF(Table26[[#This Row],[Column9]],Table26[[#This Row],[Column10]])</calculatedColumnFormula>
    </tableColumn>
    <tableColumn id="2" xr3:uid="{00000000-0010-0000-1100-000002000000}" name="Battery" dataDxfId="128"/>
    <tableColumn id="3" xr3:uid="{00000000-0010-0000-1100-000003000000}" name="Plug-In" dataDxfId="127"/>
    <tableColumn id="18" xr3:uid="{00000000-0010-0000-1100-000012000000}" name="Battery+" dataDxfId="126"/>
    <tableColumn id="12" xr3:uid="{00000000-0010-0000-1100-00000C000000}" name="Adapt+" dataDxfId="125"/>
    <tableColumn id="15" xr3:uid="{00000000-0010-0000-1100-00000F000000}" name="Wireless" dataDxfId="124"/>
    <tableColumn id="4" xr3:uid="{00000000-0010-0000-1100-000004000000}" name="Single User" dataDxfId="123"/>
    <tableColumn id="5" xr3:uid="{00000000-0010-0000-1100-000005000000}" name="Multi-User" dataDxfId="122"/>
    <tableColumn id="7" xr3:uid="{00000000-0010-0000-1100-000007000000}" name="Motion/Fit Sensor" dataDxfId="121"/>
    <tableColumn id="11" xr3:uid="{00000000-0010-0000-1100-00000B000000}" name="Irregular Beat indicator" dataDxfId="120"/>
    <tableColumn id="8" xr3:uid="{00000000-0010-0000-1100-000008000000}" name="Wide Cuff" dataDxfId="119"/>
    <tableColumn id="14" xr3:uid="{00000000-0010-0000-1100-00000E000000}" name="Size Cuff" dataDxfId="118"/>
    <tableColumn id="13" xr3:uid="{00000000-0010-0000-1100-00000D000000}" name="One Touch Button" dataDxfId="117"/>
    <tableColumn id="16" xr3:uid="{00000000-0010-0000-1100-000010000000}" name="Verbal Assist" dataDxfId="116"/>
    <tableColumn id="17" xr3:uid="{00000000-0010-0000-1100-000011000000}" name="Reading Reminder" dataDxfId="115"/>
    <tableColumn id="19" xr3:uid="{4C7B8172-3FC9-442A-B4B8-F000F6D461E4}" name="HC Rating"/>
    <tableColumn id="9" xr3:uid="{00000000-0010-0000-1100-000009000000}" name="Column9" dataDxfId="114">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13">
      <calculatedColumnFormula>IF(Table27[[#This Row],[Column1]],Table27[[#This Row],[Column10]])</calculatedColumnFormula>
    </tableColumn>
    <tableColumn id="15" xr3:uid="{00000000-0010-0000-1200-00000F000000}" name="Preg/Nurse"/>
    <tableColumn id="5" xr3:uid="{00000000-0010-0000-1200-000005000000}" name="Pesticide" dataDxfId="112"/>
    <tableColumn id="11" xr3:uid="{00000000-0010-0000-1200-00000B000000}" name="Pesticide-free"/>
    <tableColumn id="12" xr3:uid="{00000000-0010-0000-1200-00000C000000}" name="Mineral Oil" dataDxfId="111"/>
    <tableColumn id="6" xr3:uid="{00000000-0010-0000-1200-000006000000}" name="wet hair" dataDxfId="110"/>
    <tableColumn id="7" xr3:uid="{00000000-0010-0000-1200-000007000000}" name="dry hair" dataDxfId="109"/>
    <tableColumn id="8" xr3:uid="{00000000-0010-0000-1200-000008000000}" name="Resistance-Free" dataDxfId="108"/>
    <tableColumn id="9" xr3:uid="{00000000-0010-0000-1200-000009000000}" name="10min" dataDxfId="107"/>
    <tableColumn id="13" xr3:uid="{00000000-0010-0000-1200-00000D000000}" name="Overnight" dataDxfId="106"/>
    <tableColumn id="2" xr3:uid="{00000000-0010-0000-1200-000002000000}" name="Nits/Lice" dataDxfId="105"/>
    <tableColumn id="3" xr3:uid="{00000000-0010-0000-1200-000003000000}" name="Lice" dataDxfId="104"/>
    <tableColumn id="4" xr3:uid="{00000000-0010-0000-1200-000004000000}" name="No Conditioner" dataDxfId="103"/>
    <tableColumn id="14" xr3:uid="{00000000-0010-0000-1200-00000E000000}" name="Column1" dataDxfId="102">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09"/>
    <tableColumn id="11" xr3:uid="{00000000-0010-0000-0100-00000B000000}" name="Adult" dataDxfId="308"/>
    <tableColumn id="15" xr3:uid="{00000000-0010-0000-0100-00000F000000}" name="Kids" dataDxfId="307"/>
    <tableColumn id="17" xr3:uid="{00000000-0010-0000-0100-000011000000}" name="Liquid" dataDxfId="306"/>
    <tableColumn id="16" xr3:uid="{00000000-0010-0000-0100-000010000000}" name="Tab" dataDxfId="305"/>
    <tableColumn id="12" xr3:uid="{00000000-0010-0000-0100-00000C000000}" name="Topical" dataDxfId="304"/>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3"/>
    <tableColumn id="9" xr3:uid="{00000000-0010-0000-0100-000009000000}" name="Total" dataDxfId="302"/>
    <tableColumn id="10" xr3:uid="{00000000-0010-0000-0100-00000A000000}" name="Product" dataDxfId="3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01">
  <autoFilter ref="A1:AG109" xr:uid="{00000000-0009-0000-0100-00001D000000}"/>
  <tableColumns count="33">
    <tableColumn id="1" xr3:uid="{00000000-0010-0000-1300-000001000000}" name="Product Options" dataDxfId="100">
      <calculatedColumnFormula>IF(Table29[[#This Row],[Column52]],Table29[[#This Row],[Products]])</calculatedColumnFormula>
    </tableColumn>
    <tableColumn id="2" xr3:uid="{00000000-0010-0000-1300-000002000000}" name="Plaster" dataDxfId="99"/>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98"/>
    <tableColumn id="28" xr3:uid="{00000000-0010-0000-1300-00001C000000}" name="Absorbent/Porous"/>
    <tableColumn id="20" xr3:uid="{00000000-0010-0000-1300-000014000000}" name="Waterproof" dataDxfId="97"/>
    <tableColumn id="16" xr3:uid="{00000000-0010-0000-1300-000010000000}" name="Water-resistant"/>
    <tableColumn id="22" xr3:uid="{00000000-0010-0000-1300-000016000000}" name="Non-Stick Pad" dataDxfId="96"/>
    <tableColumn id="3" xr3:uid="{00000000-0010-0000-1300-000003000000}" name="Multi-Day" dataDxfId="95"/>
    <tableColumn id="9" xr3:uid="{00000000-0010-0000-1300-000009000000}" name="Single-Day" dataDxfId="94"/>
    <tableColumn id="18" xr3:uid="{00000000-0010-0000-1300-000012000000}" name="Flexible" dataDxfId="93"/>
    <tableColumn id="17" xr3:uid="{00000000-0010-0000-1300-000011000000}" name="Tough" dataDxfId="92"/>
    <tableColumn id="4" xr3:uid="{00000000-0010-0000-1300-000004000000}" name="Specific" dataDxfId="91"/>
    <tableColumn id="7" xr3:uid="{00000000-0010-0000-1300-000007000000}" name="General" dataDxfId="90"/>
    <tableColumn id="15" xr3:uid="{00000000-0010-0000-1300-00000F000000}" name="Hydrocolloid" dataDxfId="89"/>
    <tableColumn id="8" xr3:uid="{00000000-0010-0000-1300-000008000000}" name="Assorted" dataDxfId="88"/>
    <tableColumn id="11" xr3:uid="{00000000-0010-0000-1300-00000B000000}" name="Small" dataDxfId="87"/>
    <tableColumn id="10" xr3:uid="{00000000-0010-0000-1300-00000A000000}" name="Medium"/>
    <tableColumn id="14" xr3:uid="{00000000-0010-0000-1300-00000E000000}" name="Large" dataDxfId="86"/>
    <tableColumn id="13" xr3:uid="{00000000-0010-0000-1300-00000D000000}" name="X-Large" dataDxfId="85"/>
    <tableColumn id="5" xr3:uid="{00000000-0010-0000-1300-000005000000}" name="Variety Pack" dataDxfId="84"/>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83">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82">
      <calculatedColumnFormula>IF(Table32[[#This Row],[Column8]],Table32[[#This Row],[Products2]])</calculatedColumnFormula>
    </tableColumn>
    <tableColumn id="2" xr3:uid="{00000000-0010-0000-1400-000002000000}" name="Immune Support" dataDxfId="81"/>
    <tableColumn id="3" xr3:uid="{00000000-0010-0000-1400-000003000000}" name="DHA" dataDxfId="80"/>
    <tableColumn id="28" xr3:uid="{00000000-0010-0000-1400-00001C000000}" name="Fiber"/>
    <tableColumn id="4" xr3:uid="{00000000-0010-0000-1400-000004000000}" name="non-GMO" dataDxfId="79"/>
    <tableColumn id="5" xr3:uid="{00000000-0010-0000-1400-000005000000}" name="Cow Milk" dataDxfId="78"/>
    <tableColumn id="15" xr3:uid="{00000000-0010-0000-1400-00000F000000}" name="Hormone-free" dataDxfId="77"/>
    <tableColumn id="18" xr3:uid="{00000000-0010-0000-1400-000012000000}" name="lactose-sensitive" dataDxfId="76"/>
    <tableColumn id="19" xr3:uid="{00000000-0010-0000-1400-000013000000}" name="Hypoallergic" dataDxfId="75"/>
    <tableColumn id="10" xr3:uid="{00000000-0010-0000-1400-00000A000000}" name="Soy"/>
    <tableColumn id="6" xr3:uid="{00000000-0010-0000-1400-000006000000}" name="Lutein" dataDxfId="74"/>
    <tableColumn id="7" xr3:uid="{00000000-0010-0000-1400-000007000000}" name="Vit E" dataDxfId="73"/>
    <tableColumn id="16" xr3:uid="{00000000-0010-0000-1400-000010000000}" name="Low Fe" dataDxfId="72"/>
    <tableColumn id="26" xr3:uid="{00000000-0010-0000-1400-00001A000000}" name="Fe+ Enriched" dataDxfId="71"/>
    <tableColumn id="17" xr3:uid="{00000000-0010-0000-1400-000011000000}" name="Hydrolate" dataDxfId="70"/>
    <tableColumn id="21" xr3:uid="{00000000-0010-0000-1400-000015000000}" name="Enriched" dataDxfId="69"/>
    <tableColumn id="23" xr3:uid="{00000000-0010-0000-1400-000017000000}" name="Ca+ Enriched" dataDxfId="68"/>
    <tableColumn id="11" xr3:uid="{00000000-0010-0000-1400-00000B000000}" name="0-12 Mnths" dataDxfId="67"/>
    <tableColumn id="22" xr3:uid="{00000000-0010-0000-1400-000016000000}" name="6-24 Mnths" dataDxfId="66"/>
    <tableColumn id="24" xr3:uid="{00000000-0010-0000-1400-000018000000}" name="12-36 Mnths" dataDxfId="65"/>
    <tableColumn id="14" xr3:uid="{00000000-0010-0000-1400-00000E000000}" name="Powder" dataDxfId="64"/>
    <tableColumn id="13" xr3:uid="{00000000-0010-0000-1400-00000D000000}" name="ReadyUse" dataDxfId="63"/>
    <tableColumn id="12" xr3:uid="{00000000-0010-0000-1400-00000C000000}" name="Con Liq" dataDxfId="62"/>
    <tableColumn id="25" xr3:uid="{00000000-0010-0000-1400-000019000000}" name="Kosher/Halal" dataDxfId="61"/>
    <tableColumn id="27" xr3:uid="{00000000-0010-0000-1400-00001B000000}" name="Organic"/>
    <tableColumn id="8" xr3:uid="{00000000-0010-0000-1400-000008000000}" name="Column8" dataDxfId="60">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59">
      <calculatedColumnFormula>IF(Table30[[#This Row],[Column7]],Table30[[#This Row],[Product2]])</calculatedColumnFormula>
    </tableColumn>
    <tableColumn id="2" xr3:uid="{00000000-0010-0000-1500-000002000000}" name="Flavours" dataDxfId="58"/>
    <tableColumn id="31" xr3:uid="{00000000-0010-0000-1500-00001F000000}" name="Adult" dataDxfId="57"/>
    <tableColumn id="19" xr3:uid="{00000000-0010-0000-1500-000013000000}" name="Women" dataDxfId="56"/>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55"/>
    <tableColumn id="17" xr3:uid="{00000000-0010-0000-1500-000011000000}" name="Bone/Mobility" dataDxfId="54"/>
    <tableColumn id="3" xr3:uid="{00000000-0010-0000-1500-000003000000}" name="Diabetic" dataDxfId="53"/>
    <tableColumn id="22" xr3:uid="{00000000-0010-0000-1500-000016000000}" name="Fiber"/>
    <tableColumn id="4" xr3:uid="{00000000-0010-0000-1500-000004000000}" name="High Protein" dataDxfId="52"/>
    <tableColumn id="16" xr3:uid="{00000000-0010-0000-1500-000010000000}" name="Soy-Free" dataDxfId="51"/>
    <tableColumn id="5" xr3:uid="{00000000-0010-0000-1500-000005000000}" name="Gluten-Free" dataDxfId="50"/>
    <tableColumn id="11" xr3:uid="{00000000-0010-0000-1500-00000B000000}" name="Color-Free" dataDxfId="49"/>
    <tableColumn id="10" xr3:uid="{00000000-0010-0000-1500-00000A000000}" name="Sweeter-Free" dataDxfId="48"/>
    <tableColumn id="9" xr3:uid="{00000000-0010-0000-1500-000009000000}" name="Lactose-free" dataDxfId="47"/>
    <tableColumn id="12" xr3:uid="{00000000-0010-0000-1500-00000C000000}" name="Prebiotic" dataDxfId="46"/>
    <tableColumn id="13" xr3:uid="{00000000-0010-0000-1500-00000D000000}" name="Antioxidants" dataDxfId="45"/>
    <tableColumn id="24" xr3:uid="{00000000-0010-0000-1500-000018000000}" name="Keto"/>
    <tableColumn id="6" xr3:uid="{00000000-0010-0000-1500-000006000000}" name="Kosher" dataDxfId="44"/>
    <tableColumn id="20" xr3:uid="{00000000-0010-0000-1500-000014000000}" name="Halal" dataDxfId="43"/>
    <tableColumn id="15" xr3:uid="{00000000-0010-0000-1500-00000F000000}" name="Fluid Restricted" dataDxfId="42"/>
    <tableColumn id="25" xr3:uid="{00000000-0010-0000-1500-000019000000}" name="Drink" dataDxfId="41"/>
    <tableColumn id="28" xr3:uid="{00000000-0010-0000-1500-00001C000000}" name="Powder" dataDxfId="40"/>
    <tableColumn id="27" xr3:uid="{00000000-0010-0000-1500-00001B000000}" name="Bar/Snack" dataDxfId="39"/>
    <tableColumn id="26" xr3:uid="{00000000-0010-0000-1500-00001A000000}" name="Pudding" dataDxfId="38"/>
    <tableColumn id="29" xr3:uid="{00000000-0010-0000-1500-00001D000000}" name="Clear" dataDxfId="37"/>
    <tableColumn id="30" xr3:uid="{00000000-0010-0000-1500-00001E000000}" name="Soothe" dataDxfId="36"/>
    <tableColumn id="7" xr3:uid="{00000000-0010-0000-1500-000007000000}" name="Column7" dataDxfId="35">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34">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33"/>
    <tableColumn id="17" xr3:uid="{00000000-0010-0000-1600-000011000000}" name="Daily" dataDxfId="32"/>
    <tableColumn id="18" xr3:uid="{00000000-0010-0000-1600-000012000000}" name="Nightly" dataDxfId="31"/>
    <tableColumn id="19" xr3:uid="{00000000-0010-0000-1600-000013000000}" name="Post Partum" dataDxfId="30"/>
    <tableColumn id="2" xr3:uid="{00000000-0010-0000-1600-000002000000}" name="Flex/Active" dataDxfId="29"/>
    <tableColumn id="30" xr3:uid="{00000000-0010-0000-1600-00001E000000}" name="Latex-Free" dataDxfId="28"/>
    <tableColumn id="11" xr3:uid="{00000000-0010-0000-1600-00000B000000}" name="Underwear"/>
    <tableColumn id="3" xr3:uid="{00000000-0010-0000-1600-000003000000}" name="Pads" dataDxfId="27"/>
    <tableColumn id="4" xr3:uid="{00000000-0010-0000-1600-000004000000}" name="Panty Liners" dataDxfId="26"/>
    <tableColumn id="28" xr3:uid="{00000000-0010-0000-1600-00001C000000}" name="Shield"/>
    <tableColumn id="5" xr3:uid="{00000000-0010-0000-1600-000005000000}" name="Guards" dataDxfId="25"/>
    <tableColumn id="6" xr3:uid="{00000000-0010-0000-1600-000006000000}" name="Briefs"/>
    <tableColumn id="20" xr3:uid="{00000000-0010-0000-1600-000014000000}" name="V-Light 0-1/7" dataDxfId="24"/>
    <tableColumn id="14" xr3:uid="{00000000-0010-0000-1600-00000E000000}" name="Light 2-3/7" dataDxfId="23"/>
    <tableColumn id="10" xr3:uid="{00000000-0010-0000-1600-00000A000000}" name="Moderate 4-5/7" dataDxfId="22"/>
    <tableColumn id="7" xr3:uid="{00000000-0010-0000-1600-000007000000}" name="Heavy 6-7/7" dataDxfId="21"/>
    <tableColumn id="21" xr3:uid="{00000000-0010-0000-1600-000015000000}" name="Super 8/8"/>
    <tableColumn id="15" xr3:uid="{00000000-0010-0000-1600-00000F000000}" name="Long" dataDxfId="20"/>
    <tableColumn id="16" xr3:uid="{00000000-0010-0000-1600-000010000000}" name="Regular" dataDxfId="19"/>
    <tableColumn id="22" xr3:uid="{00000000-0010-0000-1600-000016000000}" name="Small"/>
    <tableColumn id="24" xr3:uid="{00000000-0010-0000-1600-000018000000}" name="Medium"/>
    <tableColumn id="23" xr3:uid="{00000000-0010-0000-1600-000017000000}" name="Large" dataDxfId="18"/>
    <tableColumn id="25" xr3:uid="{00000000-0010-0000-1600-000019000000}" name="Xlarge" dataDxfId="17"/>
    <tableColumn id="26" xr3:uid="{00000000-0010-0000-1600-00001A000000}" name="XXL" dataDxfId="16"/>
    <tableColumn id="27" xr3:uid="{00000000-0010-0000-1600-00001B000000}" name="Bariatric (XXXL)"/>
    <tableColumn id="8" xr3:uid="{00000000-0010-0000-1600-000008000000}" name="Column8" dataDxfId="15"/>
    <tableColumn id="9" xr3:uid="{00000000-0010-0000-1600-000009000000}" name="Column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14">
      <calculatedColumnFormula>IF(Table33[[#This Row],[Column1]],Table33[[#This Row],[Products]])</calculatedColumnFormula>
    </tableColumn>
    <tableColumn id="2" xr3:uid="{00000000-0010-0000-1700-000002000000}" name="Kids" dataDxfId="13"/>
    <tableColumn id="3" xr3:uid="{00000000-0010-0000-1700-000003000000}" name="Adult" dataDxfId="12"/>
    <tableColumn id="22" xr3:uid="{00000000-0010-0000-1700-000016000000}" name="Cold Sore" dataDxfId="11"/>
    <tableColumn id="23" xr3:uid="{00000000-0010-0000-1700-000017000000}" name="Pain/Canker" dataDxfId="10"/>
    <tableColumn id="4" xr3:uid="{00000000-0010-0000-1700-000004000000}" name="Anesthetic" dataDxfId="9"/>
    <tableColumn id="17" xr3:uid="{00000000-0010-0000-1700-000011000000}" name="AntiViral" dataDxfId="8"/>
    <tableColumn id="18" xr3:uid="{00000000-0010-0000-1700-000012000000}" name="Lysine" dataDxfId="7"/>
    <tableColumn id="5" xr3:uid="{00000000-0010-0000-1700-000005000000}" name="Homeopathic" dataDxfId="6"/>
    <tableColumn id="13" xr3:uid="{00000000-0010-0000-1700-00000D000000}" name="BAC/Paraben" dataDxfId="5"/>
    <tableColumn id="14" xr3:uid="{00000000-0010-0000-1700-00000E000000}" name="Menthol/camphor/phenol" dataDxfId="4"/>
    <tableColumn id="15" xr3:uid="{00000000-0010-0000-1700-00000F000000}" name="Astringent (zinc)" dataDxfId="3"/>
    <tableColumn id="6" xr3:uid="{00000000-0010-0000-1700-000006000000}" name="Column1" dataDxfId="2">
      <calculatedColumnFormula>AND(Table33[[#This Row],[Kids]:[Astringent (zinc)]])</calculatedColumnFormula>
    </tableColumn>
    <tableColumn id="12" xr3:uid="{00000000-0010-0000-1700-00000C000000}" name="Products"/>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1">
  <autoFilter ref="A1:A3" xr:uid="{00000000-0009-0000-0100-000001000000}"/>
  <tableColumns count="1">
    <tableColumn id="1" xr3:uid="{00000000-0010-0000-1800-000001000000}" name="Column1" dataDxfId="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0">
      <calculatedColumnFormula>IF(Table4[[#This Row],[Column1]],T2)</calculatedColumnFormula>
    </tableColumn>
    <tableColumn id="8" xr3:uid="{00000000-0010-0000-0200-000008000000}" name="Adult" dataDxfId="299"/>
    <tableColumn id="14" xr3:uid="{00000000-0010-0000-0200-00000E000000}" name="Kids" dataDxfId="298"/>
    <tableColumn id="15" xr3:uid="{00000000-0010-0000-0200-00000F000000}" name="Oral" dataDxfId="297"/>
    <tableColumn id="16" xr3:uid="{00000000-0010-0000-0200-000010000000}" name="Nasal" dataDxfId="296"/>
    <tableColumn id="17" xr3:uid="{00000000-0010-0000-0200-000011000000}" name="Eye Drops"/>
    <tableColumn id="12" xr3:uid="{00000000-0010-0000-0200-00000C000000}" name="Cream/Oint"/>
    <tableColumn id="18" xr3:uid="{00000000-0010-0000-0200-000012000000}" name="Fast" dataDxfId="295"/>
    <tableColumn id="13" xr3:uid="{00000000-0010-0000-0200-00000D000000}" name="Long" dataDxfId="294"/>
    <tableColumn id="20" xr3:uid="{00000000-0010-0000-0200-000014000000}" name="1° AH"/>
    <tableColumn id="2" xr3:uid="{00000000-0010-0000-0200-000002000000}" name="2° AH" dataDxfId="293"/>
    <tableColumn id="3" xr3:uid="{00000000-0010-0000-0200-000003000000}" name="Decongestant" dataDxfId="292"/>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1"/>
    <tableColumn id="9" xr3:uid="{00000000-0010-0000-0200-000009000000}" name="Ibuprofen"/>
    <tableColumn id="11" xr3:uid="{00000000-0010-0000-0200-00000B000000}" name="Pramoxine/Zinc"/>
    <tableColumn id="6" xr3:uid="{00000000-0010-0000-0200-000006000000}" name="Column1" dataDxfId="290">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89">
  <autoFilter ref="A1:W78" xr:uid="{00000000-0009-0000-0100-000005000000}"/>
  <tableColumns count="23">
    <tableColumn id="1" xr3:uid="{00000000-0010-0000-0300-000001000000}" name="Product Options" dataDxfId="288">
      <calculatedColumnFormula>IF(Table5[[#This Row],[Column1]],Table5[[#This Row],[Column2]])</calculatedColumnFormula>
    </tableColumn>
    <tableColumn id="19" xr3:uid="{00000000-0010-0000-0300-000013000000}" name="Adult" dataDxfId="287"/>
    <tableColumn id="22" xr3:uid="{00000000-0010-0000-0300-000016000000}" name="Kids" dataDxfId="286"/>
    <tableColumn id="21" xr3:uid="{00000000-0010-0000-0300-000015000000}" name="Fast" dataDxfId="285"/>
    <tableColumn id="24" xr3:uid="{00000000-0010-0000-0300-000018000000}" name="Long" dataDxfId="284"/>
    <tableColumn id="23" xr3:uid="{00000000-0010-0000-0300-000017000000}" name="Oral" dataDxfId="283"/>
    <tableColumn id="20" xr3:uid="{00000000-0010-0000-0300-000014000000}" name="Topical" dataDxfId="282"/>
    <tableColumn id="2" xr3:uid="{00000000-0010-0000-0300-000002000000}" name="APAP" dataDxfId="281"/>
    <tableColumn id="3" xr3:uid="{00000000-0010-0000-0300-000003000000}" name="Ibuprofen" dataDxfId="280"/>
    <tableColumn id="4" xr3:uid="{00000000-0010-0000-0300-000004000000}" name="Napoxen" dataDxfId="279"/>
    <tableColumn id="5" xr3:uid="{00000000-0010-0000-0300-000005000000}" name="Methocarbamol" dataDxfId="278"/>
    <tableColumn id="6" xr3:uid="{00000000-0010-0000-0300-000006000000}" name="Diclofenac" dataDxfId="277"/>
    <tableColumn id="7" xr3:uid="{00000000-0010-0000-0300-000007000000}" name="ASA/Salicylate" dataDxfId="276"/>
    <tableColumn id="8" xr3:uid="{00000000-0010-0000-0300-000008000000}" name="Capsaicin" dataDxfId="275"/>
    <tableColumn id="15" xr3:uid="{00000000-0010-0000-0300-00000F000000}" name="Caffeine" dataDxfId="274"/>
    <tableColumn id="14" xr3:uid="{00000000-0010-0000-0300-00000E000000}" name="Pyrilamine" dataDxfId="273"/>
    <tableColumn id="16" xr3:uid="{00000000-0010-0000-0300-000010000000}" name="Pamabrom" dataDxfId="272"/>
    <tableColumn id="9" xr3:uid="{00000000-0010-0000-0300-000009000000}" name="Menthol" dataDxfId="271"/>
    <tableColumn id="12" xr3:uid="{00000000-0010-0000-0300-00000C000000}" name="AntiHistamine" dataDxfId="270"/>
    <tableColumn id="17" xr3:uid="{00000000-0010-0000-0300-000011000000}" name="Arnica" dataDxfId="269"/>
    <tableColumn id="13" xr3:uid="{00000000-0010-0000-0300-00000D000000}" name="Heat" dataDxfId="268"/>
    <tableColumn id="10" xr3:uid="{00000000-0010-0000-0300-00000A000000}" name="Column1" dataDxfId="267">
      <calculatedColumnFormula>AND(Table5[[#This Row],[Adult]:[Heat]])</calculatedColumnFormula>
    </tableColumn>
    <tableColumn id="11" xr3:uid="{00000000-0010-0000-0300-00000B000000}" name="Column2" dataDxfId="2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65">
  <autoFilter ref="A1:J22" xr:uid="{00000000-0009-0000-0100-000006000000}"/>
  <tableColumns count="10">
    <tableColumn id="1" xr3:uid="{00000000-0010-0000-0400-000001000000}" name="Product Options" dataDxfId="264">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63"/>
    <tableColumn id="9" xr3:uid="{00000000-0010-0000-0400-000009000000}" name="Long Acting" dataDxfId="262"/>
    <tableColumn id="7" xr3:uid="{00000000-0010-0000-0400-000007000000}" name="column" dataDxfId="261">
      <calculatedColumnFormula>AND(Table6[[#This Row],[Diphenhydramine]:[Long Acting]])</calculatedColumnFormula>
    </tableColumn>
    <tableColumn id="8" xr3:uid="{00000000-0010-0000-0400-000008000000}" name="Total Options" dataDxfId="2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59" headerRowBorderDxfId="258" tableBorderDxfId="257">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56"/>
    <tableColumn id="16" xr3:uid="{00000000-0010-0000-0500-000010000000}" name="Vag Tab" dataDxfId="255"/>
    <tableColumn id="17" xr3:uid="{00000000-0010-0000-0500-000011000000}" name="Pregnant"/>
    <tableColumn id="14" xr3:uid="{00000000-0010-0000-0500-00000E000000}" name="Not Pregnant" dataDxfId="254"/>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53">
      <calculatedColumnFormula>AND(G2:N2)</calculatedColumnFormula>
    </tableColumn>
    <tableColumn id="10" xr3:uid="{00000000-0010-0000-0500-00000A000000}" name="column2"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51">
      <calculatedColumnFormula>IF(Table8[[#This Row],[Column12]],Table8[[#This Row],[Column13]])</calculatedColumnFormula>
    </tableColumn>
    <tableColumn id="6" xr3:uid="{00000000-0010-0000-0600-000006000000}" name="Pregnant" dataDxfId="250"/>
    <tableColumn id="32" xr3:uid="{00000000-0010-0000-0600-000020000000}" name="Non-Preg" dataDxfId="249"/>
    <tableColumn id="28" xr3:uid="{00000000-0010-0000-0600-00001C000000}" name="Adult" dataDxfId="248"/>
    <tableColumn id="29" xr3:uid="{00000000-0010-0000-0600-00001D000000}" name="Kids" dataDxfId="247"/>
    <tableColumn id="24" xr3:uid="{00000000-0010-0000-0600-000018000000}" name="Tab" dataDxfId="246"/>
    <tableColumn id="26" xr3:uid="{00000000-0010-0000-0600-00001A000000}" name="Liquid" dataDxfId="245"/>
    <tableColumn id="25" xr3:uid="{00000000-0010-0000-0600-000019000000}" name="Rectal" dataDxfId="244"/>
    <tableColumn id="27" xr3:uid="{00000000-0010-0000-0600-00001B000000}" name="Fast-Acting" dataDxfId="243"/>
    <tableColumn id="19" xr3:uid="{00000000-0010-0000-0600-000013000000}" name="Long-Acting" dataDxfId="242"/>
    <tableColumn id="2" xr3:uid="{00000000-0010-0000-0600-000002000000}" name="PEG" dataDxfId="241"/>
    <tableColumn id="16" xr3:uid="{00000000-0010-0000-0600-000010000000}" name="Fiber" dataDxfId="240"/>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39"/>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38">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37">
      <calculatedColumnFormula>IF(Table14[[#This Row],[Column8]],Table14[[#This Row],[Column9]])</calculatedColumnFormula>
    </tableColumn>
    <tableColumn id="2" xr3:uid="{00000000-0010-0000-0700-000002000000}" name="Preservative" dataDxfId="236"/>
    <tableColumn id="10" xr3:uid="{00000000-0010-0000-0700-00000A000000}" name="BAC-Free" dataDxfId="235"/>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34"/>
    <tableColumn id="12" xr3:uid="{00000000-0010-0000-0700-00000C000000}" name="Contact Compatible"/>
    <tableColumn id="17" xr3:uid="{00000000-0010-0000-0700-000011000000}" name="X Contacts" dataDxfId="233"/>
    <tableColumn id="13" xr3:uid="{00000000-0010-0000-0700-00000D000000}" name="Lanolin"/>
    <tableColumn id="18" xr3:uid="{00000000-0010-0000-0700-000012000000}" name="Lanolin-free" dataDxfId="232"/>
    <tableColumn id="11" xr3:uid="{00000000-0010-0000-0700-00000B000000}" name="Decongestant" dataDxfId="231"/>
    <tableColumn id="19" xr3:uid="{00000000-0010-0000-0700-000013000000}" name="Decon-free" dataDxfId="230"/>
    <tableColumn id="14" xr3:uid="{00000000-0010-0000-0700-00000E000000}" name="Antibiotic"/>
    <tableColumn id="16" xr3:uid="{00000000-0010-0000-0700-000010000000}" name="Lasik" dataDxfId="229"/>
    <tableColumn id="20" xr3:uid="{00000000-0010-0000-0700-000014000000}" name="Non-Lasik" dataDxfId="228"/>
    <tableColumn id="15" xr3:uid="{00000000-0010-0000-0700-00000F000000}" name="Lipid Layer" dataDxfId="227"/>
    <tableColumn id="22" xr3:uid="{00000000-0010-0000-0700-000016000000}" name="Non-Lipid" dataDxfId="226"/>
    <tableColumn id="8" xr3:uid="{00000000-0010-0000-0700-000008000000}" name="Column8" dataDxfId="225">
      <calculatedColumnFormula>AND(Table14[[#This Row],[Preservative]:[Non-Lipid]])</calculatedColumnFormula>
    </tableColumn>
    <tableColumn id="9" xr3:uid="{00000000-0010-0000-0700-000009000000}" name="Column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24">
      <calculatedColumnFormula>IF(Table1526[[#This Row],[Column11]],Table1526[[#This Row],[Column12]])</calculatedColumnFormula>
    </tableColumn>
    <tableColumn id="3" xr3:uid="{00000000-0010-0000-0800-000003000000}" name="Menthol" dataDxfId="223"/>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22"/>
    <tableColumn id="9" xr3:uid="{00000000-0010-0000-0800-000009000000}" name="AntiFungal" dataDxfId="221"/>
    <tableColumn id="15" xr3:uid="{00000000-0010-0000-0800-00000F000000}" name="Salicylic Acid" dataDxfId="220"/>
    <tableColumn id="20" xr3:uid="{00000000-0010-0000-0800-000014000000}" name="Coal Tar" dataDxfId="219"/>
    <tableColumn id="11" xr3:uid="{00000000-0010-0000-0800-00000B000000}" name="Column11" dataDxfId="218">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table" Target="../tables/table7.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table" Target="../tables/table18.xml"/><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printerSettings" Target="../printerSettings/printerSettings41.bin"/><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zoomScaleNormal="100" workbookViewId="0">
      <selection activeCell="L17" sqref="L17"/>
    </sheetView>
  </sheetViews>
  <sheetFormatPr defaultRowHeight="15"/>
  <sheetData>
    <row r="3" spans="11:11">
      <c r="K3" t="s">
        <v>1823</v>
      </c>
    </row>
    <row r="4" spans="11:11">
      <c r="K4" t="s">
        <v>1824</v>
      </c>
    </row>
    <row r="5" spans="11:11">
      <c r="K5" t="s">
        <v>1825</v>
      </c>
    </row>
    <row r="6" spans="11:11">
      <c r="K6" t="s">
        <v>1826</v>
      </c>
    </row>
    <row r="7" spans="11:11">
      <c r="K7" t="s">
        <v>1827</v>
      </c>
    </row>
    <row r="8" spans="11:11">
      <c r="K8" t="s">
        <v>1828</v>
      </c>
    </row>
    <row r="9" spans="11:11">
      <c r="K9" t="s">
        <v>1928</v>
      </c>
    </row>
    <row r="10" spans="11:11">
      <c r="K10" t="s">
        <v>1829</v>
      </c>
    </row>
    <row r="11" spans="11:11">
      <c r="K11" t="s">
        <v>1929</v>
      </c>
    </row>
    <row r="14" spans="11:11">
      <c r="K14" t="s">
        <v>1973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B29" sqref="B29"/>
    </sheetView>
  </sheetViews>
  <sheetFormatPr defaultRowHeight="15"/>
  <cols>
    <col min="1" max="1" width="80.5703125" customWidth="1"/>
    <col min="3" max="4" width="9.140625" style="23"/>
    <col min="6" max="6" width="18.42578125" customWidth="1"/>
  </cols>
  <sheetData>
    <row r="1" spans="1:6" ht="15.75" thickTop="1">
      <c r="A1" s="3" t="s">
        <v>15</v>
      </c>
      <c r="B1" s="38" t="s">
        <v>18</v>
      </c>
      <c r="C1" s="43"/>
      <c r="D1" s="43"/>
      <c r="E1" s="43"/>
      <c r="F1" s="8" t="s">
        <v>19</v>
      </c>
    </row>
    <row r="2" spans="1:6" ht="15.75" thickBot="1">
      <c r="B2" s="4"/>
      <c r="C2" s="43"/>
      <c r="D2" s="43"/>
      <c r="E2" s="43"/>
      <c r="F2" s="4"/>
    </row>
    <row r="3" spans="1:6" ht="15.75" thickBot="1">
      <c r="A3" s="169" t="s">
        <v>3</v>
      </c>
      <c r="B3" s="5" t="b">
        <v>0</v>
      </c>
      <c r="C3" s="43" t="b">
        <f t="shared" ref="C3:C11" si="0">NOT(B3)</f>
        <v>1</v>
      </c>
      <c r="D3" s="43" t="s">
        <v>141</v>
      </c>
      <c r="E3" s="43" t="b">
        <f>AND(C8,C11,OR(B15,B17:B21))</f>
        <v>0</v>
      </c>
      <c r="F3" s="4" t="b">
        <f>IF(E3,random!C7)</f>
        <v>0</v>
      </c>
    </row>
    <row r="4" spans="1:6" ht="15.75" thickBot="1">
      <c r="A4" s="169" t="s">
        <v>24</v>
      </c>
      <c r="B4" s="5" t="b">
        <v>0</v>
      </c>
      <c r="C4" s="43" t="b">
        <f t="shared" si="0"/>
        <v>1</v>
      </c>
      <c r="D4" s="43" t="s">
        <v>141</v>
      </c>
      <c r="E4" s="43" t="b">
        <f>AND(C3:C5,C7,OR(B16,B21))</f>
        <v>0</v>
      </c>
      <c r="F4" s="4" t="b">
        <f>IF(E4,random!C8)</f>
        <v>0</v>
      </c>
    </row>
    <row r="5" spans="1:6" ht="15.75" thickBot="1">
      <c r="A5" s="169" t="s">
        <v>12</v>
      </c>
      <c r="B5" s="5" t="b">
        <v>0</v>
      </c>
      <c r="C5" s="43" t="b">
        <f t="shared" si="0"/>
        <v>1</v>
      </c>
      <c r="D5" s="43" t="s">
        <v>141</v>
      </c>
      <c r="E5" s="43" t="b">
        <f>AND(OR(B23,B25),OR(B15:B20))</f>
        <v>0</v>
      </c>
      <c r="F5" s="4" t="b">
        <f>IF(E5,random!C9)</f>
        <v>0</v>
      </c>
    </row>
    <row r="6" spans="1:6" ht="15.75" thickBot="1">
      <c r="A6" s="169" t="s">
        <v>13</v>
      </c>
      <c r="B6" s="5" t="b">
        <v>0</v>
      </c>
      <c r="C6" s="43" t="b">
        <f t="shared" si="0"/>
        <v>1</v>
      </c>
      <c r="D6" s="43"/>
      <c r="E6" s="43" t="b">
        <f>AND(B6,B24,OR(B19,B21))</f>
        <v>0</v>
      </c>
      <c r="F6" s="4" t="b">
        <f>IF(E6,random!C10)</f>
        <v>0</v>
      </c>
    </row>
    <row r="7" spans="1:6" ht="15.75" thickBot="1">
      <c r="A7" s="194" t="s">
        <v>17</v>
      </c>
      <c r="B7" s="5" t="b">
        <v>0</v>
      </c>
      <c r="C7" s="43" t="b">
        <f t="shared" si="0"/>
        <v>1</v>
      </c>
      <c r="D7" s="43" t="s">
        <v>141</v>
      </c>
      <c r="E7" s="43" t="b">
        <f>AND(B27,C4,C5,C9,C10)</f>
        <v>0</v>
      </c>
      <c r="F7" s="4" t="b">
        <f>IF(E7,random!C11)</f>
        <v>0</v>
      </c>
    </row>
    <row r="8" spans="1:6" ht="15.75" thickBot="1">
      <c r="A8" s="194" t="s">
        <v>23</v>
      </c>
      <c r="B8" s="5" t="b">
        <v>0</v>
      </c>
      <c r="C8" s="43" t="b">
        <f t="shared" si="0"/>
        <v>1</v>
      </c>
      <c r="D8" s="43" t="s">
        <v>140</v>
      </c>
      <c r="E8" s="43" t="b">
        <f>AND(B27,C11)</f>
        <v>0</v>
      </c>
      <c r="F8" s="4" t="b">
        <f>IF(E8,random!C12)</f>
        <v>0</v>
      </c>
    </row>
    <row r="9" spans="1:6" ht="15.75" thickBot="1">
      <c r="A9" s="194" t="s">
        <v>142</v>
      </c>
      <c r="B9" s="5" t="b">
        <v>0</v>
      </c>
      <c r="C9" s="43" t="b">
        <f t="shared" si="0"/>
        <v>1</v>
      </c>
      <c r="D9" s="43" t="s">
        <v>146</v>
      </c>
      <c r="E9" s="43" t="b">
        <f>AND(B25,B20)</f>
        <v>0</v>
      </c>
      <c r="F9" s="4" t="b">
        <f>IF(E9,random!C13)</f>
        <v>0</v>
      </c>
    </row>
    <row r="10" spans="1:6" ht="16.5" thickTop="1" thickBot="1">
      <c r="A10" s="169" t="s">
        <v>143</v>
      </c>
      <c r="B10" s="5" t="b">
        <v>0</v>
      </c>
      <c r="C10" s="43" t="b">
        <f t="shared" si="0"/>
        <v>1</v>
      </c>
      <c r="D10" s="43" t="s">
        <v>146</v>
      </c>
      <c r="F10" s="51"/>
    </row>
    <row r="11" spans="1:6" ht="15.75" thickBot="1">
      <c r="A11" s="197" t="s">
        <v>457</v>
      </c>
      <c r="B11" s="6" t="b">
        <v>0</v>
      </c>
      <c r="C11" s="43" t="b">
        <f t="shared" si="0"/>
        <v>1</v>
      </c>
      <c r="D11" s="43"/>
    </row>
    <row r="12" spans="1:6" ht="15.75" thickBot="1">
      <c r="C12" s="43"/>
      <c r="D12" s="43"/>
    </row>
    <row r="13" spans="1:6" ht="15.75" thickTop="1">
      <c r="A13" s="3" t="s">
        <v>14</v>
      </c>
      <c r="B13" s="38" t="s">
        <v>18</v>
      </c>
      <c r="C13" s="43" t="s">
        <v>147</v>
      </c>
      <c r="D13" s="43" t="b">
        <f>OR(B15,B16,B17,B18,B19)</f>
        <v>0</v>
      </c>
    </row>
    <row r="14" spans="1:6" ht="15.75" thickBot="1">
      <c r="B14" s="4"/>
      <c r="C14" s="43" t="s">
        <v>148</v>
      </c>
      <c r="D14" s="43" t="b">
        <f>OR(B3:B5,B7)</f>
        <v>0</v>
      </c>
      <c r="F14" s="32"/>
    </row>
    <row r="15" spans="1:6" ht="15.75" thickBot="1">
      <c r="A15" s="196" t="s">
        <v>66</v>
      </c>
      <c r="B15" s="64" t="b">
        <v>0</v>
      </c>
      <c r="C15" s="43" t="s">
        <v>150</v>
      </c>
      <c r="D15" s="43" t="b">
        <f>OR(B19,B21)</f>
        <v>0</v>
      </c>
      <c r="F15" s="32"/>
    </row>
    <row r="16" spans="1:6" ht="15.75" thickBot="1">
      <c r="A16" s="196" t="s">
        <v>69</v>
      </c>
      <c r="B16" s="64" t="b">
        <v>0</v>
      </c>
      <c r="C16" s="43" t="s">
        <v>151</v>
      </c>
      <c r="D16" s="43" t="b">
        <f>OR(B15,B17,B18,B19,B21,B20)</f>
        <v>0</v>
      </c>
      <c r="F16" s="32"/>
    </row>
    <row r="17" spans="1:8" ht="15.75" thickBot="1">
      <c r="A17" s="196" t="s">
        <v>67</v>
      </c>
      <c r="B17" s="64" t="b">
        <v>0</v>
      </c>
      <c r="C17" s="43" t="s">
        <v>152</v>
      </c>
      <c r="D17" s="43" t="b">
        <f>OR(B15,B17,B18,B19,B20,B21)</f>
        <v>0</v>
      </c>
      <c r="F17" s="32"/>
    </row>
    <row r="18" spans="1:8" ht="15.75" thickBot="1">
      <c r="A18" s="196" t="s">
        <v>68</v>
      </c>
      <c r="B18" s="64" t="b">
        <v>0</v>
      </c>
      <c r="C18" s="43"/>
      <c r="D18" s="43"/>
      <c r="F18" s="32"/>
    </row>
    <row r="19" spans="1:8" ht="15.75" thickBot="1">
      <c r="A19" s="196" t="s">
        <v>106</v>
      </c>
      <c r="B19" s="64" t="b">
        <v>0</v>
      </c>
      <c r="C19" s="43"/>
      <c r="D19" s="43"/>
    </row>
    <row r="20" spans="1:8" ht="15.75" thickBot="1">
      <c r="A20" s="196" t="s">
        <v>105</v>
      </c>
      <c r="B20" s="64" t="b">
        <v>0</v>
      </c>
      <c r="C20" s="43"/>
      <c r="D20" s="43"/>
      <c r="H20" s="10"/>
    </row>
    <row r="21" spans="1:8" ht="15.75" thickBot="1">
      <c r="A21" s="196" t="s">
        <v>107</v>
      </c>
      <c r="B21" s="5" t="b">
        <v>0</v>
      </c>
      <c r="C21" s="43"/>
      <c r="D21" s="43"/>
    </row>
    <row r="22" spans="1:8" ht="15.75" thickBot="1">
      <c r="A22" s="161" t="s">
        <v>124</v>
      </c>
      <c r="B22" s="5" t="b">
        <v>0</v>
      </c>
      <c r="C22" s="43" t="b">
        <f>NOT(B22)</f>
        <v>1</v>
      </c>
      <c r="D22" s="43"/>
    </row>
    <row r="23" spans="1:8" ht="15.75" thickBot="1">
      <c r="A23" s="161" t="s">
        <v>125</v>
      </c>
      <c r="B23" s="5" t="b">
        <v>0</v>
      </c>
      <c r="C23" s="43" t="b">
        <f t="shared" ref="C23:C25" si="1">NOT(B23)</f>
        <v>1</v>
      </c>
      <c r="D23" s="43"/>
    </row>
    <row r="24" spans="1:8" ht="15.75" thickBot="1">
      <c r="A24" s="161" t="s">
        <v>126</v>
      </c>
      <c r="B24" s="5" t="b">
        <v>0</v>
      </c>
      <c r="C24" s="43" t="b">
        <f t="shared" si="1"/>
        <v>1</v>
      </c>
      <c r="D24" s="43"/>
    </row>
    <row r="25" spans="1:8" ht="15.75" thickBot="1">
      <c r="A25" s="161" t="s">
        <v>127</v>
      </c>
      <c r="B25" s="5" t="b">
        <v>0</v>
      </c>
      <c r="C25" s="43" t="b">
        <f t="shared" si="1"/>
        <v>1</v>
      </c>
      <c r="D25" s="43"/>
    </row>
    <row r="26" spans="1:8" ht="15.75" thickBot="1">
      <c r="A26" s="184" t="s">
        <v>153</v>
      </c>
      <c r="B26" s="5" t="b">
        <v>0</v>
      </c>
      <c r="C26" s="43" t="b">
        <f>NOT(B26)</f>
        <v>1</v>
      </c>
      <c r="D26" s="43"/>
    </row>
    <row r="27" spans="1:8" ht="15.75" thickBot="1">
      <c r="A27" s="196" t="s">
        <v>1115</v>
      </c>
      <c r="B27" s="5" t="b">
        <v>0</v>
      </c>
      <c r="C27" s="43"/>
      <c r="D27" s="43"/>
    </row>
    <row r="28" spans="1:8" ht="15.75" thickBot="1">
      <c r="A28" s="171" t="s">
        <v>386</v>
      </c>
      <c r="B28" s="5" t="b">
        <v>0</v>
      </c>
      <c r="C28" s="43" t="b">
        <f>NOT(B28)</f>
        <v>1</v>
      </c>
      <c r="D28" s="43"/>
    </row>
    <row r="29" spans="1:8" ht="15.75" thickBot="1">
      <c r="A29" s="171" t="s">
        <v>530</v>
      </c>
      <c r="B29" s="6" t="b">
        <v>0</v>
      </c>
      <c r="C29" s="43" t="b">
        <f>NOT(B29)</f>
        <v>1</v>
      </c>
      <c r="D29" s="43"/>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topLeftCell="C37" workbookViewId="0">
      <selection activeCell="T71" sqref="T71"/>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22"/>
    <col min="20" max="20" width="43.85546875" style="122" customWidth="1"/>
  </cols>
  <sheetData>
    <row r="1" spans="1:20">
      <c r="A1" s="65" t="s">
        <v>1212</v>
      </c>
      <c r="B1" s="201" t="s">
        <v>1658</v>
      </c>
      <c r="C1" s="201" t="s">
        <v>906</v>
      </c>
      <c r="D1" s="201" t="s">
        <v>1839</v>
      </c>
      <c r="E1" s="201" t="s">
        <v>1840</v>
      </c>
      <c r="F1" s="201" t="s">
        <v>1841</v>
      </c>
      <c r="G1" s="201" t="s">
        <v>1842</v>
      </c>
      <c r="H1" s="201" t="s">
        <v>1843</v>
      </c>
      <c r="I1" s="201" t="s">
        <v>1665</v>
      </c>
      <c r="J1" s="201" t="s">
        <v>1871</v>
      </c>
      <c r="K1" t="s">
        <v>1870</v>
      </c>
      <c r="L1" t="s">
        <v>5</v>
      </c>
      <c r="M1" t="s">
        <v>81</v>
      </c>
      <c r="N1" t="s">
        <v>90</v>
      </c>
      <c r="O1" t="s">
        <v>71</v>
      </c>
      <c r="P1" t="s">
        <v>11</v>
      </c>
      <c r="Q1" t="s">
        <v>112</v>
      </c>
      <c r="R1" t="s">
        <v>134</v>
      </c>
      <c r="S1" s="130" t="s">
        <v>4</v>
      </c>
      <c r="T1" s="130"/>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6" t="b">
        <f>AND('Allergy Criteria'!C3:C5,'Allergy Criteria'!C7,'Allergy Criteria'!B16)</f>
        <v>0</v>
      </c>
      <c r="M2" s="17"/>
      <c r="N2" s="17"/>
      <c r="O2" s="17"/>
      <c r="P2" s="17"/>
      <c r="Q2" s="17"/>
      <c r="R2" s="17"/>
      <c r="S2" s="122" t="b">
        <f>AND(Table4[[#This Row],[Adult]:[Pramoxine/Zinc]])</f>
        <v>0</v>
      </c>
      <c r="T2" s="13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22" t="b">
        <f>AND(Table4[[#This Row],[Adult]:[Pramoxine/Zinc]])</f>
        <v>0</v>
      </c>
      <c r="T3" s="13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22" t="b">
        <f>AND(Table4[[#This Row],[Adult]:[Pramoxine/Zinc]])</f>
        <v>0</v>
      </c>
      <c r="T4" s="126"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22" t="b">
        <f>AND(Table4[[#This Row],[Adult]:[Pramoxine/Zinc]])</f>
        <v>0</v>
      </c>
      <c r="T5" s="13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22" t="b">
        <f>AND(Table4[[#This Row],[Adult]:[Pramoxine/Zinc]])</f>
        <v>0</v>
      </c>
      <c r="T6" s="13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22" t="b">
        <f>AND(Table4[[#This Row],[Adult]:[Pramoxine/Zinc]])</f>
        <v>0</v>
      </c>
      <c r="T7" s="13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22" t="b">
        <f>AND(Table4[[#This Row],[Adult]:[Pramoxine/Zinc]])</f>
        <v>0</v>
      </c>
      <c r="T8" s="13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22" t="b">
        <f>AND(Table4[[#This Row],[Adult]:[Pramoxine/Zinc]])</f>
        <v>0</v>
      </c>
      <c r="T9" s="13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7" t="e">
        <f>AND(Table4[[#This Row],[Adult]:[Pramoxine/Zinc]])</f>
        <v>#VALUE!</v>
      </c>
      <c r="T10" s="129"/>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22" t="b">
        <f>AND(Table4[[#This Row],[Adult]:[Pramoxine/Zinc]])</f>
        <v>0</v>
      </c>
      <c r="T11" s="13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22" t="b">
        <f>AND(Table4[[#This Row],[Adult]:[Pramoxine/Zinc]])</f>
        <v>0</v>
      </c>
      <c r="T12" s="14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22" t="b">
        <f>AND(Table4[[#This Row],[Adult]:[Pramoxine/Zinc]])</f>
        <v>0</v>
      </c>
      <c r="T13" s="14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22" t="b">
        <f>AND(Table4[[#This Row],[Adult]:[Pramoxine/Zinc]])</f>
        <v>0</v>
      </c>
      <c r="T14" s="14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22" t="b">
        <f>AND(Table4[[#This Row],[Adult]:[Pramoxine/Zinc]])</f>
        <v>0</v>
      </c>
      <c r="T15" s="14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22" t="b">
        <f>AND(Table4[[#This Row],[Adult]:[Pramoxine/Zinc]])</f>
        <v>0</v>
      </c>
      <c r="T16" s="14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22" t="b">
        <f>AND(Table4[[#This Row],[Adult]:[Pramoxine/Zinc]])</f>
        <v>0</v>
      </c>
      <c r="T17" s="14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22" t="b">
        <f>AND(Table4[[#This Row],[Adult]:[Pramoxine/Zinc]])</f>
        <v>0</v>
      </c>
      <c r="T18" s="14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7" t="e">
        <f>AND(Table4[[#This Row],[Adult]:[Pramoxine/Zinc]])</f>
        <v>#VALUE!</v>
      </c>
      <c r="T19" s="127"/>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22" t="b">
        <f>AND(Table4[[#This Row],[Adult]:[Pramoxine/Zinc]])</f>
        <v>0</v>
      </c>
      <c r="T20" s="14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22" t="b">
        <f>AND(Table4[[#This Row],[Adult]:[Pramoxine/Zinc]])</f>
        <v>0</v>
      </c>
      <c r="T21" s="14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22" t="b">
        <f>AND(Table4[[#This Row],[Adult]:[Pramoxine/Zinc]])</f>
        <v>0</v>
      </c>
      <c r="T22" s="14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7" t="e">
        <f>AND(Table4[[#This Row],[Adult]:[Pramoxine/Zinc]])</f>
        <v>#VALUE!</v>
      </c>
      <c r="T23" s="129"/>
    </row>
    <row r="24" spans="1:20">
      <c r="A24" s="24" t="b">
        <f>IF(Table4[[#This Row],[Column1]],T24)</f>
        <v>0</v>
      </c>
      <c r="B24" s="20" t="b">
        <f>B2</f>
        <v>0</v>
      </c>
      <c r="C24" s="17"/>
      <c r="D24" s="20" t="b">
        <f>D2</f>
        <v>0</v>
      </c>
      <c r="E24" s="17"/>
      <c r="F24" s="17"/>
      <c r="G24" s="17"/>
      <c r="H24" s="20" t="b">
        <f>H18</f>
        <v>0</v>
      </c>
      <c r="I24" s="17"/>
      <c r="J24" s="106" t="b">
        <f>AND('Allergy Criteria'!C11,'Allergy Criteria'!C8,'Allergy Criteria'!C26,OR('Allergy Criteria'!B15,'Allergy Criteria'!B17:B21))</f>
        <v>0</v>
      </c>
      <c r="K24" s="17"/>
      <c r="L24" s="17"/>
      <c r="M24" s="17"/>
      <c r="N24" s="17"/>
      <c r="O24" s="17"/>
      <c r="P24" s="17"/>
      <c r="Q24" s="17"/>
      <c r="R24" s="17"/>
      <c r="S24" s="122" t="b">
        <f>AND(Table4[[#This Row],[Adult]:[Pramoxine/Zinc]])</f>
        <v>0</v>
      </c>
      <c r="T24" s="14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22" t="b">
        <f>AND(Table4[[#This Row],[Adult]:[Pramoxine/Zinc]])</f>
        <v>0</v>
      </c>
      <c r="T25" s="14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22" t="b">
        <f>AND(Table4[[#This Row],[Adult]:[Pramoxine/Zinc]])</f>
        <v>0</v>
      </c>
      <c r="T26" s="14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22" t="b">
        <f>AND(Table4[[#This Row],[Adult]:[Pramoxine/Zinc]])</f>
        <v>0</v>
      </c>
      <c r="T27" s="14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22" t="b">
        <f>AND(Table4[[#This Row],[Adult]:[Pramoxine/Zinc]])</f>
        <v>0</v>
      </c>
      <c r="T28" s="14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22" t="b">
        <f>AND(Table4[[#This Row],[Adult]:[Pramoxine/Zinc]])</f>
        <v>0</v>
      </c>
      <c r="T29" s="14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22" t="b">
        <f>AND(Table4[[#This Row],[Adult]:[Pramoxine/Zinc]])</f>
        <v>0</v>
      </c>
      <c r="T30" s="14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22" t="b">
        <f>AND(Table4[[#This Row],[Adult]:[Pramoxine/Zinc]])</f>
        <v>0</v>
      </c>
      <c r="T31" s="142" t="s">
        <v>104</v>
      </c>
    </row>
    <row r="32" spans="1:20">
      <c r="A32" s="24" t="b">
        <f>IF(Table4[[#This Row],[Column1]],T32)</f>
        <v>0</v>
      </c>
      <c r="B32" s="17"/>
      <c r="C32" s="17"/>
      <c r="D32" s="17"/>
      <c r="E32" s="17"/>
      <c r="F32" s="17"/>
      <c r="G32" s="20" t="b">
        <f>AND('Allergy Criteria'!B25,'Allergy Criteria'!C22:C24)</f>
        <v>0</v>
      </c>
      <c r="H32" s="20" t="b">
        <f>H18</f>
        <v>0</v>
      </c>
      <c r="I32" s="17"/>
      <c r="J32" s="106" t="b">
        <f>AND('Allergy Criteria'!B20)</f>
        <v>0</v>
      </c>
      <c r="K32" s="17"/>
      <c r="L32" s="17"/>
      <c r="M32" s="17"/>
      <c r="N32" s="17"/>
      <c r="O32" s="17"/>
      <c r="P32" s="17"/>
      <c r="Q32" s="17"/>
      <c r="R32" s="17"/>
      <c r="S32" s="122" t="b">
        <f>AND(Table4[[#This Row],[Adult]:[Pramoxine/Zinc]])</f>
        <v>0</v>
      </c>
      <c r="T32" s="14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22" t="b">
        <f>AND(Table4[[#This Row],[Adult]:[Pramoxine/Zinc]])</f>
        <v>0</v>
      </c>
      <c r="T33" s="14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22" t="b">
        <f>AND(Table4[[#This Row],[Adult]:[Pramoxine/Zinc]])</f>
        <v>0</v>
      </c>
      <c r="T34" s="14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7" t="e">
        <f>AND(Table4[[#This Row],[Adult]:[Pramoxine/Zinc]])</f>
        <v>#VALUE!</v>
      </c>
      <c r="T35" s="128"/>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22" t="b">
        <f>AND(Table4[[#This Row],[Adult]:[Pramoxine/Zinc]])</f>
        <v>0</v>
      </c>
      <c r="T36" s="13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22" t="b">
        <f>AND(Table4[[#This Row],[Adult]:[Pramoxine/Zinc]])</f>
        <v>0</v>
      </c>
      <c r="T37" s="14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22" t="b">
        <f>AND(Table4[[#This Row],[Adult]:[Pramoxine/Zinc]])</f>
        <v>0</v>
      </c>
      <c r="T38" s="14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7" t="e">
        <f>AND(Table4[[#This Row],[Adult]:[Pramoxine/Zinc]])</f>
        <v>#VALUE!</v>
      </c>
      <c r="T39" s="127"/>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22" t="b">
        <f>AND(Table4[[#This Row],[Adult]:[Pramoxine/Zinc]])</f>
        <v>0</v>
      </c>
      <c r="T40" s="122"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7" t="e">
        <f>AND(Table4[[#This Row],[Adult]:[Pramoxine/Zinc]])</f>
        <v>#VALUE!</v>
      </c>
      <c r="T41" s="127"/>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22" t="b">
        <f>AND(Table4[[#This Row],[Adult]:[Pramoxine/Zinc]])</f>
        <v>0</v>
      </c>
      <c r="T42" s="14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22" t="b">
        <f>AND(Table4[[#This Row],[Adult]:[Pramoxine/Zinc]])</f>
        <v>0</v>
      </c>
      <c r="T43" s="14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7" t="e">
        <f>AND(Table4[[#This Row],[Adult]:[Pramoxine/Zinc]])</f>
        <v>#VALUE!</v>
      </c>
      <c r="T44" s="127"/>
    </row>
    <row r="45" spans="1:20">
      <c r="A45" s="24" t="b">
        <f>IF(Table4[[#This Row],[Column1]],T45)</f>
        <v>0</v>
      </c>
      <c r="B45" s="20" t="b">
        <f>B2</f>
        <v>0</v>
      </c>
      <c r="C45" s="17"/>
      <c r="D45" s="17"/>
      <c r="E45" s="20" t="b">
        <f>E9</f>
        <v>0</v>
      </c>
      <c r="F45" s="17"/>
      <c r="G45" s="17"/>
      <c r="H45" s="17"/>
      <c r="I45" s="20" t="b">
        <f>I2</f>
        <v>0</v>
      </c>
      <c r="J45" s="17"/>
      <c r="K45" s="17"/>
      <c r="L45" s="17"/>
      <c r="M45" s="106" t="b">
        <f>OR('Allergy Criteria'!B15:B19)</f>
        <v>0</v>
      </c>
      <c r="N45" s="17"/>
      <c r="O45" s="17"/>
      <c r="P45" s="17"/>
      <c r="Q45" s="19"/>
      <c r="R45" s="19"/>
      <c r="S45" s="122" t="b">
        <f>AND(Table4[[#This Row],[Adult]:[Pramoxine/Zinc]])</f>
        <v>0</v>
      </c>
      <c r="T45" s="14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7" t="e">
        <f>AND(Table4[[#This Row],[Adult]:[Pramoxine/Zinc]])</f>
        <v>#VALUE!</v>
      </c>
      <c r="T46" s="127"/>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22" t="b">
        <f>AND(Table4[[#This Row],[Adult]:[Pramoxine/Zinc]])</f>
        <v>0</v>
      </c>
      <c r="T47" s="14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7" t="e">
        <f>AND(Table4[[#This Row],[Adult]:[Pramoxine/Zinc]])</f>
        <v>#VALUE!</v>
      </c>
      <c r="T48" s="127"/>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22" t="b">
        <f>AND(Table4[[#This Row],[Adult]:[Pramoxine/Zinc]])</f>
        <v>0</v>
      </c>
      <c r="T49" s="14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22" t="b">
        <f>AND(Table4[[#This Row],[Adult]:[Pramoxine/Zinc]])</f>
        <v>0</v>
      </c>
      <c r="T50" s="14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22" t="b">
        <f>AND(Table4[[#This Row],[Adult]:[Pramoxine/Zinc]])</f>
        <v>0</v>
      </c>
      <c r="T51" s="14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22" t="b">
        <f>AND(Table4[[#This Row],[Adult]:[Pramoxine/Zinc]])</f>
        <v>0</v>
      </c>
      <c r="T52" s="14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22" t="b">
        <f>AND(Table4[[#This Row],[Adult]:[Pramoxine/Zinc]])</f>
        <v>0</v>
      </c>
      <c r="T53" s="14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22" t="b">
        <f>AND(Table4[[#This Row],[Adult]:[Pramoxine/Zinc]])</f>
        <v>0</v>
      </c>
      <c r="T54" s="14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22" t="b">
        <f>AND(Table4[[#This Row],[Adult]:[Pramoxine/Zinc]])</f>
        <v>0</v>
      </c>
      <c r="T55" s="14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7" t="e">
        <f>AND(Table4[[#This Row],[Adult]:[Pramoxine/Zinc]])</f>
        <v>#VALUE!</v>
      </c>
      <c r="T56" s="121"/>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22" t="b">
        <f>AND(Table4[[#This Row],[Adult]:[Pramoxine/Zinc]])</f>
        <v>0</v>
      </c>
      <c r="T57" s="122"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7" t="e">
        <f>AND(Table4[[#This Row],[Adult]:[Pramoxine/Zinc]])</f>
        <v>#VALUE!</v>
      </c>
      <c r="T58" s="121"/>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22" t="b">
        <f>AND(Table4[[#This Row],[Adult]:[Pramoxine/Zinc]])</f>
        <v>0</v>
      </c>
      <c r="T59" s="122"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7" t="e">
        <f>AND(Table4[[#This Row],[Adult]:[Pramoxine/Zinc]])</f>
        <v>#VALUE!</v>
      </c>
      <c r="T60" s="121"/>
    </row>
    <row r="61" spans="1:20" ht="15.75" customHeight="1">
      <c r="A61" s="24" t="b">
        <f>IF(Table4[[#This Row],[Column1]],T61)</f>
        <v>0</v>
      </c>
      <c r="B61" s="20" t="b">
        <f>B2</f>
        <v>0</v>
      </c>
      <c r="C61" s="17"/>
      <c r="D61" s="17"/>
      <c r="E61" s="17"/>
      <c r="F61" s="20" t="b">
        <f>F57</f>
        <v>0</v>
      </c>
      <c r="G61" s="17"/>
      <c r="H61" s="17"/>
      <c r="I61" s="17"/>
      <c r="J61" s="20" t="b">
        <f>J66</f>
        <v>0</v>
      </c>
      <c r="K61" s="17"/>
      <c r="L61" s="106" t="b">
        <f>AND('Allergy Criteria'!C3:C5,'Allergy Criteria'!C7,'Allergy Criteria'!B21)</f>
        <v>0</v>
      </c>
      <c r="M61" s="17"/>
      <c r="N61" s="17"/>
      <c r="O61" s="17"/>
      <c r="P61" s="17"/>
      <c r="Q61" s="17"/>
      <c r="R61" s="17"/>
      <c r="S61" s="122" t="b">
        <f>AND(Table4[[#This Row],[Adult]:[Pramoxine/Zinc]])</f>
        <v>0</v>
      </c>
      <c r="T61" s="122"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7" t="e">
        <f>AND(Table4[[#This Row],[Adult]:[Pramoxine/Zinc]])</f>
        <v>#VALUE!</v>
      </c>
      <c r="T62" s="121"/>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22" t="b">
        <f>AND(Table4[[#This Row],[Adult]:[Pramoxine/Zinc]])</f>
        <v>0</v>
      </c>
      <c r="T63" s="14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7" t="e">
        <f>AND(Table4[[#This Row],[Adult]:[Pramoxine/Zinc]])</f>
        <v>#VALUE!</v>
      </c>
      <c r="T64" s="121"/>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22" t="b">
        <f>AND(Table4[[#This Row],[Adult]:[Pramoxine/Zinc]])</f>
        <v>0</v>
      </c>
      <c r="T65" s="146" t="s">
        <v>131</v>
      </c>
    </row>
    <row r="66" spans="1:20" ht="15.75" customHeight="1">
      <c r="A66" s="24" t="b">
        <f>IF(Table4[[#This Row],[Column1]],T66)</f>
        <v>0</v>
      </c>
      <c r="B66" s="20" t="b">
        <f>B2</f>
        <v>0</v>
      </c>
      <c r="C66" s="17"/>
      <c r="D66" s="17"/>
      <c r="E66" s="17"/>
      <c r="F66" s="20" t="b">
        <f>F57</f>
        <v>0</v>
      </c>
      <c r="G66" s="17"/>
      <c r="H66" s="20" t="b">
        <f>H18</f>
        <v>0</v>
      </c>
      <c r="I66" s="17"/>
      <c r="J66" s="106" t="b">
        <f>AND('Allergy Criteria'!B19)</f>
        <v>0</v>
      </c>
      <c r="K66" s="17"/>
      <c r="L66" s="20" t="b">
        <f>L61</f>
        <v>0</v>
      </c>
      <c r="M66" s="17"/>
      <c r="N66" s="17"/>
      <c r="O66" s="17"/>
      <c r="P66" s="17"/>
      <c r="Q66" s="17"/>
      <c r="R66" s="17"/>
      <c r="S66" s="122" t="b">
        <f>AND(Table4[[#This Row],[Adult]:[Pramoxine/Zinc]])</f>
        <v>0</v>
      </c>
      <c r="T66" s="14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7" t="e">
        <f>AND(Table4[[#This Row],[Adult]:[Pramoxine/Zinc]])</f>
        <v>#VALUE!</v>
      </c>
      <c r="T67" s="121"/>
    </row>
    <row r="68" spans="1:20" ht="15.75" customHeight="1">
      <c r="A68" s="24" t="b">
        <f>IF(Table4[[#This Row],[Column1]],T68)</f>
        <v>0</v>
      </c>
      <c r="B68" s="17"/>
      <c r="C68" s="20" t="b">
        <f>C4</f>
        <v>1</v>
      </c>
      <c r="D68" s="17"/>
      <c r="E68" s="17"/>
      <c r="F68" s="17"/>
      <c r="G68" s="20" t="b">
        <f>G32</f>
        <v>0</v>
      </c>
      <c r="H68" s="17"/>
      <c r="I68" s="20" t="b">
        <f>I2</f>
        <v>0</v>
      </c>
      <c r="J68" s="17"/>
      <c r="K68" s="17"/>
      <c r="L68" s="17"/>
      <c r="M68" s="106" t="b">
        <f>AND('Allergy Criteria'!B20)</f>
        <v>0</v>
      </c>
      <c r="N68" s="17"/>
      <c r="O68" s="17"/>
      <c r="P68" s="17"/>
      <c r="Q68" s="17"/>
      <c r="R68" s="17"/>
      <c r="S68" s="122" t="b">
        <f>AND(Table4[[#This Row],[Adult]:[Pramoxine/Zinc]])</f>
        <v>0</v>
      </c>
      <c r="T68" s="14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22" t="b">
        <f>AND(Table4[[#This Row],[Adult]:[Pramoxine/Zinc]])</f>
        <v>0</v>
      </c>
      <c r="T69" s="14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7" t="e">
        <f>AND(Table4[[#This Row],[Adult]:[Pramoxine/Zinc]])</f>
        <v>#VALUE!</v>
      </c>
      <c r="T70" s="121"/>
    </row>
    <row r="71" spans="1:20" ht="15.75" customHeight="1" thickBot="1">
      <c r="A71" s="72"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22" t="b">
        <f>AND(Table4[[#This Row],[Adult]:[Pramoxine/Zinc]])</f>
        <v>0</v>
      </c>
      <c r="T71" s="122" t="s">
        <v>582</v>
      </c>
    </row>
    <row r="72" spans="1:20">
      <c r="A72" s="16"/>
      <c r="B72" s="16"/>
      <c r="C72" s="16"/>
      <c r="D72" s="16"/>
      <c r="E72" s="16"/>
      <c r="F72" s="16"/>
      <c r="G72" s="16"/>
      <c r="H72" s="16"/>
      <c r="I72" s="16"/>
      <c r="J72" s="16"/>
      <c r="K72" s="16"/>
      <c r="L72" s="16"/>
      <c r="M72" s="16"/>
      <c r="N72" s="16"/>
      <c r="O72" s="16"/>
      <c r="P72" s="16"/>
      <c r="Q72" s="16"/>
      <c r="R72" s="16"/>
      <c r="S72" s="121"/>
      <c r="T72" s="121"/>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A24" sqref="A24"/>
    </sheetView>
  </sheetViews>
  <sheetFormatPr defaultRowHeight="15"/>
  <cols>
    <col min="1" max="1" width="80.42578125" customWidth="1"/>
    <col min="5" max="5" width="17.5703125" customWidth="1"/>
  </cols>
  <sheetData>
    <row r="1" spans="1:5" ht="15.75" thickTop="1">
      <c r="A1" s="3" t="s">
        <v>15</v>
      </c>
      <c r="B1" s="38" t="s">
        <v>18</v>
      </c>
      <c r="C1" s="43"/>
      <c r="D1" s="43"/>
      <c r="E1" s="8" t="s">
        <v>19</v>
      </c>
    </row>
    <row r="2" spans="1:5" ht="15.75" thickBot="1">
      <c r="B2" s="4"/>
      <c r="C2" s="43"/>
      <c r="D2" s="43" t="b">
        <f>AND(C5,OR(B12,B21))</f>
        <v>0</v>
      </c>
      <c r="E2" s="4" t="b">
        <f>IF(D2,random!G7)</f>
        <v>0</v>
      </c>
    </row>
    <row r="3" spans="1:5" ht="15.75" thickBot="1">
      <c r="A3" s="169" t="s">
        <v>12</v>
      </c>
      <c r="B3" s="5" t="b">
        <v>0</v>
      </c>
      <c r="C3" s="43" t="b">
        <f t="shared" ref="C3:C8" si="0">NOT(B3)</f>
        <v>1</v>
      </c>
      <c r="D3" s="43" t="b">
        <f>AND(C3,C7,C8,OR(B12,B13,B21))</f>
        <v>0</v>
      </c>
      <c r="E3" s="4" t="b">
        <f>IF(D3,random!G8)</f>
        <v>0</v>
      </c>
    </row>
    <row r="4" spans="1:5" ht="15.75" thickBot="1">
      <c r="A4" s="169" t="s">
        <v>13</v>
      </c>
      <c r="B4" s="5" t="b">
        <v>0</v>
      </c>
      <c r="C4" s="43" t="b">
        <f t="shared" si="0"/>
        <v>1</v>
      </c>
      <c r="D4" s="43" t="b">
        <f>AND(C3,C7,C8,OR(B12,B13),B17)</f>
        <v>0</v>
      </c>
      <c r="E4" s="4" t="b">
        <f>IF(D4,random!G9)</f>
        <v>0</v>
      </c>
    </row>
    <row r="5" spans="1:5" ht="15.75" thickBot="1">
      <c r="A5" s="198" t="s">
        <v>389</v>
      </c>
      <c r="B5" s="5" t="b">
        <v>0</v>
      </c>
      <c r="C5" s="43" t="b">
        <f t="shared" si="0"/>
        <v>1</v>
      </c>
      <c r="D5" s="43" t="b">
        <f>AND(C5:C6,OR(B12,B14,B20))</f>
        <v>0</v>
      </c>
      <c r="E5" s="4" t="b">
        <f>IF(D5,random!G10)</f>
        <v>0</v>
      </c>
    </row>
    <row r="6" spans="1:5" ht="15.75" thickBot="1">
      <c r="A6" s="198" t="s">
        <v>23</v>
      </c>
      <c r="B6" s="5" t="b">
        <v>0</v>
      </c>
      <c r="C6" s="43" t="b">
        <f t="shared" si="0"/>
        <v>1</v>
      </c>
      <c r="D6" s="43" t="b">
        <f>AND(OR(B12,B13),B19)</f>
        <v>0</v>
      </c>
      <c r="E6" s="4" t="b">
        <f>IF(D6,random!G11)</f>
        <v>0</v>
      </c>
    </row>
    <row r="7" spans="1:5" ht="15.75" thickBot="1">
      <c r="A7" s="169" t="s">
        <v>551</v>
      </c>
      <c r="B7" s="5" t="b">
        <v>0</v>
      </c>
      <c r="C7" s="43" t="b">
        <f t="shared" si="0"/>
        <v>1</v>
      </c>
      <c r="D7" s="43" t="b">
        <f>OR(B12,B13,B19,B18)</f>
        <v>0</v>
      </c>
      <c r="E7" s="4" t="b">
        <f>IF(D7,random!G12)</f>
        <v>0</v>
      </c>
    </row>
    <row r="8" spans="1:5" ht="15.75" thickBot="1">
      <c r="A8" s="198" t="s">
        <v>387</v>
      </c>
      <c r="B8" s="6" t="b">
        <v>0</v>
      </c>
      <c r="C8" s="43" t="b">
        <f t="shared" si="0"/>
        <v>1</v>
      </c>
      <c r="D8" s="43" t="b">
        <f>AND(B12,C15,B19)</f>
        <v>0</v>
      </c>
      <c r="E8" s="4" t="b">
        <f>IF(D8,random!G13)</f>
        <v>0</v>
      </c>
    </row>
    <row r="9" spans="1:5" ht="15.75" thickBot="1">
      <c r="C9" s="43"/>
      <c r="D9" s="43" t="b">
        <f>AND(B12,B22)</f>
        <v>0</v>
      </c>
      <c r="E9" s="4" t="b">
        <f>IF(D9,random!G14)</f>
        <v>0</v>
      </c>
    </row>
    <row r="10" spans="1:5" ht="15.75" thickTop="1">
      <c r="A10" s="3" t="s">
        <v>14</v>
      </c>
      <c r="B10" s="38" t="s">
        <v>18</v>
      </c>
      <c r="C10" s="43"/>
      <c r="D10" s="43" t="b">
        <f>AND(B12,B23)</f>
        <v>0</v>
      </c>
      <c r="E10" s="4" t="b">
        <f>IF(D10,random!G15)</f>
        <v>0</v>
      </c>
    </row>
    <row r="11" spans="1:5" ht="15.75" thickBot="1">
      <c r="B11" s="4"/>
      <c r="C11" s="43"/>
      <c r="D11" s="43" t="b">
        <f>D10</f>
        <v>0</v>
      </c>
      <c r="E11" s="4" t="b">
        <f>IF(D11,random!G16)</f>
        <v>0</v>
      </c>
    </row>
    <row r="12" spans="1:5" ht="15.75" thickBot="1">
      <c r="A12" s="1" t="s">
        <v>388</v>
      </c>
      <c r="B12" s="5" t="b">
        <v>0</v>
      </c>
      <c r="C12" s="43"/>
      <c r="D12" s="43" t="b">
        <f>D15</f>
        <v>0</v>
      </c>
      <c r="E12" s="4" t="b">
        <f>IF(D12,random!G17)</f>
        <v>0</v>
      </c>
    </row>
    <row r="13" spans="1:5" ht="15.75" thickBot="1">
      <c r="A13" s="1" t="s">
        <v>241</v>
      </c>
      <c r="B13" s="5" t="b">
        <v>0</v>
      </c>
      <c r="C13" s="43"/>
      <c r="D13" s="43" t="b">
        <f>AND(C5,C6,B20)</f>
        <v>0</v>
      </c>
      <c r="E13" s="4" t="b">
        <f>IF(D13,random!G18)</f>
        <v>0</v>
      </c>
    </row>
    <row r="14" spans="1:5" ht="15.75" thickBot="1">
      <c r="A14" s="1" t="s">
        <v>1872</v>
      </c>
      <c r="B14" s="5" t="b">
        <v>0</v>
      </c>
      <c r="C14" s="43"/>
      <c r="D14" s="43" t="b">
        <f>AND(OR(B12,B13),C15,B19,B24)</f>
        <v>0</v>
      </c>
      <c r="E14" s="4" t="b">
        <f>IF(D14,random!G19)</f>
        <v>0</v>
      </c>
    </row>
    <row r="15" spans="1:5" ht="15.75" thickBot="1">
      <c r="A15" s="1" t="s">
        <v>244</v>
      </c>
      <c r="B15" s="5" t="b">
        <v>0</v>
      </c>
      <c r="C15" s="43" t="b">
        <f>NOT(B15)</f>
        <v>1</v>
      </c>
      <c r="D15" s="43" t="b">
        <f>AND(OR(B12,B13,B14),C15,B19)</f>
        <v>0</v>
      </c>
      <c r="E15" s="4" t="b">
        <f>IF(D15,random!G20)</f>
        <v>0</v>
      </c>
    </row>
    <row r="16" spans="1:5" ht="16.5" thickTop="1" thickBot="1">
      <c r="A16" s="161" t="s">
        <v>242</v>
      </c>
      <c r="B16" s="5" t="b">
        <v>0</v>
      </c>
      <c r="C16" s="43" t="b">
        <f>AND('Pain Criteria'!C3,'Pain Criteria'!B4,'Pain Criteria'!C7,'Pain Criteria'!C8)</f>
        <v>0</v>
      </c>
      <c r="D16" s="43"/>
      <c r="E16" s="46"/>
    </row>
    <row r="17" spans="1:4" ht="15.75" thickBot="1">
      <c r="A17" s="161" t="s">
        <v>243</v>
      </c>
      <c r="B17" s="5" t="b">
        <v>0</v>
      </c>
      <c r="C17" s="43" t="b">
        <f>AND('Pain Criteria'!C3,'Pain Criteria'!B4,'Pain Criteria'!C7,'Pain Criteria'!C8)</f>
        <v>0</v>
      </c>
      <c r="D17" s="43"/>
    </row>
    <row r="18" spans="1:4" ht="15.75" thickBot="1">
      <c r="A18" s="170" t="s">
        <v>124</v>
      </c>
      <c r="B18" s="5" t="b">
        <v>0</v>
      </c>
      <c r="C18" s="43"/>
      <c r="D18" s="43"/>
    </row>
    <row r="19" spans="1:4" ht="15.75" thickBot="1">
      <c r="A19" s="170" t="s">
        <v>127</v>
      </c>
      <c r="B19" s="5" t="b">
        <v>0</v>
      </c>
      <c r="C19" s="43"/>
      <c r="D19" s="43"/>
    </row>
    <row r="20" spans="1:4" ht="15.75" thickBot="1">
      <c r="A20" s="184" t="s">
        <v>245</v>
      </c>
      <c r="B20" s="5" t="b">
        <v>0</v>
      </c>
      <c r="C20" s="43"/>
      <c r="D20" s="43"/>
    </row>
    <row r="21" spans="1:4" ht="15.75" thickBot="1">
      <c r="A21" s="1" t="s">
        <v>247</v>
      </c>
      <c r="B21" s="5" t="b">
        <v>0</v>
      </c>
      <c r="C21" s="43"/>
      <c r="D21" s="43"/>
    </row>
    <row r="22" spans="1:4" ht="15.75" thickBot="1">
      <c r="A22" s="1" t="s">
        <v>454</v>
      </c>
      <c r="B22" s="5" t="b">
        <v>0</v>
      </c>
      <c r="C22" s="43"/>
      <c r="D22" s="43"/>
    </row>
    <row r="23" spans="1:4" ht="15.75" thickBot="1">
      <c r="A23" s="1" t="s">
        <v>455</v>
      </c>
      <c r="B23" s="5" t="b">
        <v>0</v>
      </c>
      <c r="C23" s="43"/>
      <c r="D23" s="43"/>
    </row>
    <row r="24" spans="1:4" ht="15.75" thickBot="1">
      <c r="A24" s="199" t="s">
        <v>456</v>
      </c>
      <c r="B24" s="5" t="b">
        <v>0</v>
      </c>
      <c r="C24" s="43"/>
      <c r="D24" s="43"/>
    </row>
    <row r="25" spans="1:4" ht="15.75" thickBot="1">
      <c r="A25" s="1"/>
      <c r="B25" s="6"/>
      <c r="C25" s="43"/>
      <c r="D25" s="43"/>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78"/>
  <sheetViews>
    <sheetView topLeftCell="C34" workbookViewId="0">
      <selection activeCell="U41" sqref="U41"/>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13" customWidth="1"/>
    <col min="23" max="23" width="75.140625" style="113" customWidth="1"/>
  </cols>
  <sheetData>
    <row r="1" spans="1:23">
      <c r="A1" s="70" t="s">
        <v>1212</v>
      </c>
      <c r="B1" s="201" t="s">
        <v>1658</v>
      </c>
      <c r="C1" s="201" t="s">
        <v>906</v>
      </c>
      <c r="D1" s="201" t="s">
        <v>1843</v>
      </c>
      <c r="E1" s="201" t="s">
        <v>1665</v>
      </c>
      <c r="F1" s="201" t="s">
        <v>1839</v>
      </c>
      <c r="G1" s="201" t="s">
        <v>1837</v>
      </c>
      <c r="H1" t="s">
        <v>162</v>
      </c>
      <c r="I1" t="s">
        <v>112</v>
      </c>
      <c r="J1" t="s">
        <v>135</v>
      </c>
      <c r="K1" t="s">
        <v>136</v>
      </c>
      <c r="L1" t="s">
        <v>137</v>
      </c>
      <c r="M1" t="s">
        <v>205</v>
      </c>
      <c r="N1" t="s">
        <v>138</v>
      </c>
      <c r="O1" t="s">
        <v>198</v>
      </c>
      <c r="P1" t="s">
        <v>200</v>
      </c>
      <c r="Q1" t="s">
        <v>202</v>
      </c>
      <c r="R1" t="s">
        <v>36</v>
      </c>
      <c r="S1" t="s">
        <v>70</v>
      </c>
      <c r="T1" t="s">
        <v>213</v>
      </c>
      <c r="U1" t="s">
        <v>191</v>
      </c>
      <c r="V1" s="124" t="s">
        <v>4</v>
      </c>
      <c r="W1" s="124"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13" t="b">
        <f>AND(Table5[[#This Row],[Adult]:[Heat]])</f>
        <v>0</v>
      </c>
      <c r="W2" s="1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13" t="b">
        <f>AND(Table5[[#This Row],[Adult]:[Heat]])</f>
        <v>0</v>
      </c>
      <c r="W3" s="1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13" t="b">
        <f>AND(Table5[[#This Row],[Adult]:[Heat]])</f>
        <v>0</v>
      </c>
      <c r="W4" s="1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13" t="b">
        <f>AND(Table5[[#This Row],[Adult]:[Heat]])</f>
        <v>0</v>
      </c>
      <c r="W5" s="1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6" t="b">
        <f>AND('Pain Criteria'!B22)</f>
        <v>0</v>
      </c>
      <c r="P6" s="17"/>
      <c r="Q6" s="17"/>
      <c r="R6" s="17"/>
      <c r="S6" s="17"/>
      <c r="T6" s="17"/>
      <c r="U6" s="17"/>
      <c r="V6" s="113" t="b">
        <f>AND(Table5[[#This Row],[Adult]:[Heat]])</f>
        <v>0</v>
      </c>
      <c r="W6" s="1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13" t="b">
        <f>AND(Table5[[#This Row],[Adult]:[Heat]])</f>
        <v>0</v>
      </c>
      <c r="W7" s="1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13" t="b">
        <f>AND(Table5[[#This Row],[Adult]:[Heat]])</f>
        <v>0</v>
      </c>
      <c r="W8" s="1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13" t="b">
        <f>AND(Table5[[#This Row],[Adult]:[Heat]])</f>
        <v>0</v>
      </c>
      <c r="W9" s="1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13" t="b">
        <f>AND(Table5[[#This Row],[Adult]:[Heat]])</f>
        <v>0</v>
      </c>
      <c r="W10" s="1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13" t="b">
        <f>AND(Table5[[#This Row],[Adult]:[Heat]])</f>
        <v>0</v>
      </c>
      <c r="W11" s="1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13" t="b">
        <f>AND(Table5[[#This Row],[Adult]:[Heat]])</f>
        <v>0</v>
      </c>
      <c r="W12" s="1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13" t="b">
        <f>AND(Table5[[#This Row],[Adult]:[Heat]])</f>
        <v>0</v>
      </c>
      <c r="W13" s="1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13" t="b">
        <f>AND(Table5[[#This Row],[Adult]:[Heat]])</f>
        <v>0</v>
      </c>
      <c r="W14" s="1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13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13" t="b">
        <f>AND(Table5[[#This Row],[Adult]:[Heat]])</f>
        <v>0</v>
      </c>
      <c r="W16" s="1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13" t="b">
        <f>AND(Table5[[#This Row],[Adult]:[Heat]])</f>
        <v>0</v>
      </c>
      <c r="W17" s="1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13" t="b">
        <f>AND(Table5[[#This Row],[Adult]:[Heat]])</f>
        <v>0</v>
      </c>
      <c r="W18" s="1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13" t="b">
        <f>AND(Table5[[#This Row],[Adult]:[Heat]])</f>
        <v>0</v>
      </c>
      <c r="W19" s="1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13" t="b">
        <f>AND(Table5[[#This Row],[Adult]:[Heat]])</f>
        <v>0</v>
      </c>
      <c r="W20" s="1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13" t="b">
        <f>AND(Table5[[#This Row],[Adult]:[Heat]])</f>
        <v>0</v>
      </c>
      <c r="W21" s="1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13" t="b">
        <f>AND(Table5[[#This Row],[Adult]:[Heat]])</f>
        <v>0</v>
      </c>
      <c r="W22" s="1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13" t="b">
        <f>AND(Table5[[#This Row],[Adult]:[Heat]])</f>
        <v>0</v>
      </c>
      <c r="W23" s="1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13" t="b">
        <f>AND(Table5[[#This Row],[Adult]:[Heat]])</f>
        <v>0</v>
      </c>
      <c r="W24" s="1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13" t="b">
        <f>AND(Table5[[#This Row],[Adult]:[Heat]])</f>
        <v>0</v>
      </c>
      <c r="W25" s="1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13" t="b">
        <f>AND(Table5[[#This Row],[Adult]:[Heat]])</f>
        <v>0</v>
      </c>
      <c r="W26" s="1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13" t="b">
        <f>AND(Table5[[#This Row],[Adult]:[Heat]])</f>
        <v>0</v>
      </c>
      <c r="W27" s="1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13" t="b">
        <f>AND(Table5[[#This Row],[Adult]:[Heat]])</f>
        <v>0</v>
      </c>
      <c r="W28" s="1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13" t="b">
        <f>AND(Table5[[#This Row],[Adult]:[Heat]])</f>
        <v>0</v>
      </c>
      <c r="W29" s="1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13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13" t="b">
        <f>AND(Table5[[#This Row],[Adult]:[Heat]])</f>
        <v>0</v>
      </c>
      <c r="W31" s="1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13" t="b">
        <f>AND(Table5[[#This Row],[Adult]:[Heat]])</f>
        <v>0</v>
      </c>
      <c r="W32" s="1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13" t="b">
        <f>AND(Table5[[#This Row],[Adult]:[Heat]])</f>
        <v>0</v>
      </c>
      <c r="W33" s="1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13" t="b">
        <f>AND(Table5[[#This Row],[Adult]:[Heat]])</f>
        <v>0</v>
      </c>
      <c r="W34" s="1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76"/>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13" t="b">
        <f>AND(Table5[[#This Row],[Adult]:[Heat]])</f>
        <v>0</v>
      </c>
      <c r="W36" s="1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13" t="b">
        <f>AND(Table5[[#This Row],[Adult]:[Heat]])</f>
        <v>0</v>
      </c>
      <c r="W37" s="1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13" t="b">
        <f>AND(Table5[[#This Row],[Adult]:[Heat]])</f>
        <v>0</v>
      </c>
      <c r="W38" s="1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6" t="b">
        <f>AND('Pain Criteria'!C3,'Pain Criteria'!C7,'Pain Criteria'!C8,OR('Pain Criteria'!B12:B14,'Pain Criteria'!B22:B23))</f>
        <v>0</v>
      </c>
      <c r="N39" s="17"/>
      <c r="O39" s="17"/>
      <c r="P39" s="17"/>
      <c r="Q39" s="17"/>
      <c r="R39" s="17"/>
      <c r="S39" s="17"/>
      <c r="T39" s="17"/>
      <c r="U39" s="17"/>
      <c r="V39" s="113" t="b">
        <f>AND(Table5[[#This Row],[Adult]:[Heat]])</f>
        <v>0</v>
      </c>
      <c r="W39" s="1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13" t="b">
        <f>AND(Table5[[#This Row],[Adult]:[Heat]])</f>
        <v>0</v>
      </c>
      <c r="W40" s="1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13" t="b">
        <f>AND(Table5[[#This Row],[Adult]:[Heat]])</f>
        <v>0</v>
      </c>
      <c r="W41" s="1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76"/>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13" t="b">
        <f>AND(Table5[[#This Row],[Adult]:[Heat]])</f>
        <v>0</v>
      </c>
      <c r="W43" s="1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13" t="b">
        <f>AND(Table5[[#This Row],[Adult]:[Heat]])</f>
        <v>0</v>
      </c>
      <c r="W44" s="1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13" t="b">
        <f>AND(Table5[[#This Row],[Adult]:[Heat]])</f>
        <v>0</v>
      </c>
      <c r="W45" s="1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76"/>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13" t="b">
        <f>AND(Table5[[#This Row],[Adult]:[Heat]])</f>
        <v>0</v>
      </c>
      <c r="W47" s="118"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13" t="b">
        <f>AND(Table5[[#This Row],[Adult]:[Heat]])</f>
        <v>0</v>
      </c>
      <c r="W48" s="118"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13" t="b">
        <f>AND(Table5[[#This Row],[Adult]:[Heat]])</f>
        <v>0</v>
      </c>
      <c r="W49" s="118"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76"/>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6" t="b">
        <f>AND('Pain Criteria'!B23)</f>
        <v>0</v>
      </c>
      <c r="P51" s="20" t="b">
        <f>O51</f>
        <v>0</v>
      </c>
      <c r="Q51" s="17"/>
      <c r="R51" s="17"/>
      <c r="S51" s="17"/>
      <c r="T51" s="17"/>
      <c r="U51" s="17"/>
      <c r="V51" s="113" t="b">
        <f>AND(Table5[[#This Row],[Adult]:[Heat]])</f>
        <v>0</v>
      </c>
      <c r="W51" s="118"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13" t="b">
        <f>AND(Table5[[#This Row],[Adult]:[Heat]])</f>
        <v>0</v>
      </c>
      <c r="W52" s="118"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13" t="b">
        <f>AND(Table5[[#This Row],[Adult]:[Heat]])</f>
        <v>0</v>
      </c>
      <c r="W53" s="118"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13" t="b">
        <f>AND(Table5[[#This Row],[Adult]:[Heat]])</f>
        <v>0</v>
      </c>
      <c r="W54" s="118"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76"/>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13" t="b">
        <f>AND(Table5[[#This Row],[Adult]:[Heat]])</f>
        <v>0</v>
      </c>
      <c r="W56" s="131" t="s">
        <v>209</v>
      </c>
    </row>
    <row r="57" spans="1:23">
      <c r="A57" t="b">
        <f>IF(Table5[[#This Row],[Column1]],Table5[[#This Row],[Column2]])</f>
        <v>0</v>
      </c>
      <c r="B57" s="20" t="b">
        <f>B2</f>
        <v>0</v>
      </c>
      <c r="C57" s="17"/>
      <c r="D57" s="20" t="b">
        <f>D2</f>
        <v>0</v>
      </c>
      <c r="E57" s="17"/>
      <c r="F57" s="17"/>
      <c r="G57" s="20" t="b">
        <f>G41</f>
        <v>0</v>
      </c>
      <c r="H57" s="17"/>
      <c r="I57" s="17"/>
      <c r="J57" s="17"/>
      <c r="K57" s="17"/>
      <c r="L57" s="17"/>
      <c r="M57" s="106" t="b">
        <f>AND('Pain Criteria'!C15,OR('Pain Criteria'!B12:B14))</f>
        <v>0</v>
      </c>
      <c r="N57" s="17"/>
      <c r="O57" s="17"/>
      <c r="P57" s="17"/>
      <c r="Q57" s="17"/>
      <c r="R57" s="20" t="b">
        <f>R56</f>
        <v>0</v>
      </c>
      <c r="S57" s="17"/>
      <c r="T57" s="17"/>
      <c r="U57" s="17"/>
      <c r="V57" s="113" t="b">
        <f>AND(Table5[[#This Row],[Adult]:[Heat]])</f>
        <v>0</v>
      </c>
      <c r="W57" s="131"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13" t="b">
        <f>AND(Table5[[#This Row],[Adult]:[Heat]])</f>
        <v>0</v>
      </c>
      <c r="W58" s="131"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13" t="b">
        <f>AND(Table5[[#This Row],[Adult]:[Heat]])</f>
        <v>0</v>
      </c>
      <c r="W59" s="1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76"/>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13" t="b">
        <f>AND(Table5[[#This Row],[Adult]:[Heat]])</f>
        <v>0</v>
      </c>
      <c r="W61" s="114"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13" t="b">
        <f>AND(Table5[[#This Row],[Adult]:[Heat]])</f>
        <v>0</v>
      </c>
      <c r="W62" s="114"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13" t="b">
        <f>AND(Table5[[#This Row],[Adult]:[Heat]])</f>
        <v>0</v>
      </c>
      <c r="W63" s="114"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13" t="b">
        <f>AND(Table5[[#This Row],[Adult]:[Heat]])</f>
        <v>0</v>
      </c>
      <c r="W64" s="114"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13" t="b">
        <f>AND(Table5[[#This Row],[Adult]:[Heat]])</f>
        <v>0</v>
      </c>
      <c r="W65" s="114"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13" t="b">
        <f>AND(Table5[[#This Row],[Adult]:[Heat]])</f>
        <v>0</v>
      </c>
      <c r="W66" s="114"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13" t="b">
        <f>AND(Table5[[#This Row],[Adult]:[Heat]])</f>
        <v>0</v>
      </c>
      <c r="W67" s="114"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13" t="b">
        <f>AND(Table5[[#This Row],[Adult]:[Heat]])</f>
        <v>0</v>
      </c>
      <c r="W68" s="114"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13" t="b">
        <f>AND(Table5[[#This Row],[Adult]:[Heat]])</f>
        <v>0</v>
      </c>
      <c r="W69" s="114"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13" t="b">
        <f>AND(Table5[[#This Row],[Adult]:[Heat]])</f>
        <v>0</v>
      </c>
      <c r="W70" s="114"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13" t="b">
        <f>AND(Table5[[#This Row],[Adult]:[Heat]])</f>
        <v>0</v>
      </c>
      <c r="W71" s="114"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13" t="b">
        <f>AND(Table5[[#This Row],[Adult]:[Heat]])</f>
        <v>0</v>
      </c>
      <c r="W72" s="114"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13" t="b">
        <f>AND(Table5[[#This Row],[Adult]:[Heat]])</f>
        <v>0</v>
      </c>
      <c r="W73" s="114"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77"/>
    </row>
    <row r="75" spans="1:23">
      <c r="A75" t="e">
        <f>IF(Table5[[#This Row],[Column1]],Table5[[#This Row],[Column2]])</f>
        <v>#VALUE!</v>
      </c>
      <c r="H75" s="21"/>
      <c r="I75" s="21"/>
      <c r="J75" s="21"/>
      <c r="K75" s="21"/>
      <c r="L75" s="21"/>
      <c r="M75" s="21"/>
      <c r="N75" s="21"/>
      <c r="O75" s="21"/>
      <c r="P75" s="21"/>
      <c r="Q75" s="21"/>
      <c r="R75" s="21"/>
      <c r="S75" s="21"/>
      <c r="T75" s="21"/>
      <c r="U75" s="21"/>
      <c r="V75" s="113" t="e">
        <f>AND(Table5[[#This Row],[Adult]:[Heat]])</f>
        <v>#VALUE!</v>
      </c>
      <c r="W75" s="132"/>
    </row>
    <row r="76" spans="1:23">
      <c r="A76" t="e">
        <f>IF(Table5[[#This Row],[Column1]],Table5[[#This Row],[Column2]])</f>
        <v>#VALUE!</v>
      </c>
      <c r="H76" s="21"/>
      <c r="I76" s="21"/>
      <c r="J76" s="21"/>
      <c r="K76" s="21"/>
      <c r="L76" s="21"/>
      <c r="M76" s="21"/>
      <c r="N76" s="21"/>
      <c r="O76" s="21"/>
      <c r="P76" s="21"/>
      <c r="Q76" s="21"/>
      <c r="R76" s="21"/>
      <c r="S76" s="21"/>
      <c r="T76" s="21"/>
      <c r="U76" s="21"/>
      <c r="V76" s="113" t="e">
        <f>AND(Table5[[#This Row],[Adult]:[Heat]])</f>
        <v>#VALUE!</v>
      </c>
      <c r="W76" s="132"/>
    </row>
    <row r="77" spans="1:23">
      <c r="A77" t="e">
        <f>IF(Table5[[#This Row],[Column1]],Table5[[#This Row],[Column2]])</f>
        <v>#VALUE!</v>
      </c>
      <c r="H77" s="21"/>
      <c r="I77" s="21"/>
      <c r="J77" s="21"/>
      <c r="K77" s="21"/>
      <c r="L77" s="21"/>
      <c r="M77" s="21"/>
      <c r="N77" s="21"/>
      <c r="O77" s="21"/>
      <c r="P77" s="21"/>
      <c r="Q77" s="21"/>
      <c r="R77" s="21"/>
      <c r="S77" s="21"/>
      <c r="T77" s="21"/>
      <c r="U77" s="21"/>
      <c r="V77" s="113" t="e">
        <f>AND(Table5[[#This Row],[Adult]:[Heat]])</f>
        <v>#VALUE!</v>
      </c>
      <c r="W77" s="125"/>
    </row>
    <row r="78" spans="1:23">
      <c r="A78" t="e">
        <f>IF(Table5[[#This Row],[Column1]],Table5[[#This Row],[Column2]])</f>
        <v>#VALUE!</v>
      </c>
      <c r="H78" s="21"/>
      <c r="I78" s="21"/>
      <c r="J78" s="21"/>
      <c r="K78" s="21"/>
      <c r="L78" s="21"/>
      <c r="M78" s="21"/>
      <c r="N78" s="21"/>
      <c r="O78" s="21"/>
      <c r="P78" s="21"/>
      <c r="Q78" s="21"/>
      <c r="R78" s="21"/>
      <c r="S78" s="21"/>
      <c r="T78" s="21"/>
      <c r="U78" s="21"/>
      <c r="V78" s="113" t="e">
        <f>AND(Table5[[#This Row],[Adult]:[Heat]])</f>
        <v>#VALUE!</v>
      </c>
      <c r="W78" s="125"/>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F26" sqref="F26"/>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58" t="s">
        <v>12</v>
      </c>
      <c r="B3" s="33" t="b">
        <v>0</v>
      </c>
      <c r="C3" s="41" t="b">
        <f>NOT(B3)</f>
        <v>1</v>
      </c>
      <c r="D3" s="43" t="b">
        <f>AND(C3,B4,C5,C6,B7,C12)</f>
        <v>0</v>
      </c>
      <c r="E3" s="4" t="b">
        <f>IF(D3,random!E7)</f>
        <v>0</v>
      </c>
    </row>
    <row r="4" spans="1:5" ht="15.75" thickBot="1">
      <c r="A4" s="158" t="s">
        <v>13</v>
      </c>
      <c r="B4" s="33" t="b">
        <v>0</v>
      </c>
      <c r="C4" s="41"/>
      <c r="D4" s="43" t="b">
        <f>AND('Insomnia Criteria'!C3,'Insomnia Criteria'!B4,'Insomnia Criteria'!C5,'Insomnia Criteria'!C6,'Insomnia Criteria'!B7,'Insomnia Criteria'!B12)</f>
        <v>0</v>
      </c>
      <c r="E4" s="4" t="b">
        <f>IF(D4,random!E8)</f>
        <v>0</v>
      </c>
    </row>
    <row r="5" spans="1:5" ht="15.75" thickBot="1">
      <c r="A5" s="161" t="s">
        <v>234</v>
      </c>
      <c r="B5" s="33" t="b">
        <v>0</v>
      </c>
      <c r="C5" s="41" t="b">
        <f>NOT(B5)</f>
        <v>1</v>
      </c>
      <c r="D5" s="43" t="b">
        <f>AND(C3,B4,C5,C6,B7,C9,B12)</f>
        <v>0</v>
      </c>
      <c r="E5" s="4" t="b">
        <f>IF(D5,random!E9)</f>
        <v>0</v>
      </c>
    </row>
    <row r="6" spans="1:5" ht="15.75" thickBot="1">
      <c r="A6" s="161" t="s">
        <v>23</v>
      </c>
      <c r="B6" s="33" t="b">
        <v>0</v>
      </c>
      <c r="C6" s="41" t="b">
        <f>NOT(B6)</f>
        <v>1</v>
      </c>
      <c r="D6" s="43" t="b">
        <f>AND(C5,B11)</f>
        <v>0</v>
      </c>
      <c r="E6" s="4" t="b">
        <f>IF(D6,random!E10)</f>
        <v>0</v>
      </c>
    </row>
    <row r="7" spans="1:5" ht="15.75" thickBot="1">
      <c r="A7" s="1" t="s">
        <v>390</v>
      </c>
      <c r="B7" s="34" t="b">
        <v>0</v>
      </c>
      <c r="C7" s="41"/>
      <c r="D7" s="43" t="b">
        <f>AND(C3,C8,C9,B11,C10)</f>
        <v>0</v>
      </c>
      <c r="E7" s="4" t="b">
        <f>IF(D7,random!E11)</f>
        <v>0</v>
      </c>
    </row>
    <row r="8" spans="1:5" ht="16.5" thickTop="1" thickBot="1">
      <c r="A8" s="161" t="s">
        <v>142</v>
      </c>
      <c r="B8" s="6" t="b">
        <v>0</v>
      </c>
      <c r="C8" s="41" t="b">
        <f>NOT(B8)</f>
        <v>1</v>
      </c>
      <c r="D8" s="43"/>
      <c r="E8" s="46"/>
    </row>
    <row r="9" spans="1:5" ht="15.75" thickBot="1">
      <c r="A9" s="158" t="s">
        <v>143</v>
      </c>
      <c r="B9" s="6" t="b">
        <v>0</v>
      </c>
      <c r="C9" s="41" t="b">
        <f>NOT(B9)</f>
        <v>1</v>
      </c>
      <c r="D9" s="43"/>
      <c r="E9" s="37"/>
    </row>
    <row r="10" spans="1:5" ht="15.75" thickBot="1">
      <c r="A10" s="158" t="s">
        <v>552</v>
      </c>
      <c r="B10" s="6" t="b">
        <v>0</v>
      </c>
      <c r="C10" s="41" t="b">
        <f>NOT(B10)</f>
        <v>1</v>
      </c>
      <c r="D10" s="43"/>
      <c r="E10" s="37"/>
    </row>
    <row r="11" spans="1:5" ht="15.75" thickBot="1">
      <c r="A11" s="1" t="s">
        <v>246</v>
      </c>
      <c r="B11" s="6" t="b">
        <v>0</v>
      </c>
      <c r="C11" s="42"/>
      <c r="D11" s="43"/>
    </row>
    <row r="12" spans="1:5" ht="15.75" thickBot="1">
      <c r="A12" s="172" t="s">
        <v>391</v>
      </c>
      <c r="B12" s="6" t="b">
        <v>0</v>
      </c>
      <c r="C12" s="43" t="b">
        <f>NOT(B12)</f>
        <v>1</v>
      </c>
      <c r="D12" s="43"/>
    </row>
    <row r="13" spans="1:5" ht="15.75" thickBot="1">
      <c r="A13" s="165" t="s">
        <v>392</v>
      </c>
      <c r="B13" s="6" t="b">
        <v>0</v>
      </c>
      <c r="C13" s="43" t="b">
        <f>NOT(B13)</f>
        <v>1</v>
      </c>
      <c r="D13" s="43"/>
    </row>
    <row r="14" spans="1:5" ht="15.75" thickBot="1">
      <c r="A14" s="165" t="s">
        <v>393</v>
      </c>
      <c r="B14" s="6" t="b">
        <v>0</v>
      </c>
      <c r="C14" s="43" t="b">
        <f>NOT(B14)</f>
        <v>1</v>
      </c>
      <c r="D14" s="43"/>
    </row>
    <row r="17" spans="1:1">
      <c r="A17" s="49"/>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
  <sheetViews>
    <sheetView workbookViewId="0">
      <selection activeCell="H13" sqref="H13"/>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13" customWidth="1"/>
    <col min="10" max="10" width="56.7109375" style="113" customWidth="1"/>
  </cols>
  <sheetData>
    <row r="1" spans="1:11">
      <c r="A1" s="66" t="s">
        <v>1212</v>
      </c>
      <c r="B1" s="30" t="s">
        <v>226</v>
      </c>
      <c r="C1" s="31" t="s">
        <v>227</v>
      </c>
      <c r="D1" s="31" t="s">
        <v>228</v>
      </c>
      <c r="E1" s="31" t="s">
        <v>162</v>
      </c>
      <c r="F1" s="31" t="s">
        <v>112</v>
      </c>
      <c r="G1" s="31" t="s">
        <v>1835</v>
      </c>
      <c r="H1" s="31" t="s">
        <v>1836</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13" t="b">
        <f>AND(Table6[[#This Row],[Diphenhydramine]:[Long Acting]])</f>
        <v>0</v>
      </c>
      <c r="J2" s="117" t="s">
        <v>229</v>
      </c>
    </row>
    <row r="3" spans="1:11">
      <c r="A3" t="b">
        <f>IF(Table6[[#This Row],[column]],Table6[[#This Row],[Total Options]])</f>
        <v>0</v>
      </c>
      <c r="B3" s="20" t="b">
        <f>B2</f>
        <v>0</v>
      </c>
      <c r="C3" s="17"/>
      <c r="D3" s="17"/>
      <c r="E3" s="17"/>
      <c r="F3" s="17"/>
      <c r="G3" s="20" t="b">
        <f>G2</f>
        <v>0</v>
      </c>
      <c r="H3" s="17"/>
      <c r="I3" s="113" t="b">
        <f>AND(Table6[[#This Row],[Diphenhydramine]:[Long Acting]])</f>
        <v>0</v>
      </c>
      <c r="J3" s="117" t="s">
        <v>230</v>
      </c>
    </row>
    <row r="4" spans="1:11">
      <c r="A4" s="16" t="b">
        <f>IF(Table6[[#This Row],[column]],Table6[[#This Row],[Total Options]])</f>
        <v>0</v>
      </c>
      <c r="B4" s="16"/>
      <c r="C4" s="16"/>
      <c r="D4" s="16"/>
      <c r="E4" s="16"/>
      <c r="F4" s="16"/>
      <c r="G4" s="16"/>
      <c r="H4" s="16"/>
      <c r="I4" s="27"/>
      <c r="J4" s="73"/>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13" t="b">
        <f>AND(Table6[[#This Row],[Diphenhydramine]:[Long Acting]])</f>
        <v>0</v>
      </c>
      <c r="J5" s="114" t="s">
        <v>231</v>
      </c>
    </row>
    <row r="6" spans="1:11">
      <c r="A6" t="b">
        <f>IF(Table6[[#This Row],[column]],Table6[[#This Row],[Total Options]])</f>
        <v>0</v>
      </c>
      <c r="B6" s="20" t="b">
        <f>B2</f>
        <v>0</v>
      </c>
      <c r="C6" s="17"/>
      <c r="D6" s="17"/>
      <c r="E6" s="17"/>
      <c r="F6" s="17"/>
      <c r="G6" s="20" t="b">
        <f>G2</f>
        <v>0</v>
      </c>
      <c r="H6" s="17"/>
      <c r="I6" s="113" t="b">
        <f>AND(Table6[[#This Row],[Diphenhydramine]:[Long Acting]])</f>
        <v>0</v>
      </c>
      <c r="J6" s="114" t="s">
        <v>232</v>
      </c>
    </row>
    <row r="7" spans="1:11">
      <c r="A7" t="b">
        <f>IF(Table6[[#This Row],[column]],Table6[[#This Row],[Total Options]])</f>
        <v>0</v>
      </c>
      <c r="B7" s="20" t="b">
        <f>B2</f>
        <v>0</v>
      </c>
      <c r="C7" s="17"/>
      <c r="D7" s="17"/>
      <c r="E7" s="17"/>
      <c r="F7" s="17"/>
      <c r="G7" s="20" t="b">
        <f>G2</f>
        <v>0</v>
      </c>
      <c r="H7" s="17"/>
      <c r="I7" s="113" t="b">
        <f>AND(Table6[[#This Row],[Diphenhydramine]:[Long Acting]])</f>
        <v>0</v>
      </c>
      <c r="J7" s="114" t="s">
        <v>233</v>
      </c>
    </row>
    <row r="8" spans="1:11">
      <c r="A8" s="16" t="b">
        <f>IF(Table6[[#This Row],[column]],Table6[[#This Row],[Total Options]])</f>
        <v>0</v>
      </c>
      <c r="B8" s="16"/>
      <c r="C8" s="16"/>
      <c r="D8" s="16"/>
      <c r="E8" s="16"/>
      <c r="F8" s="16"/>
      <c r="G8" s="16"/>
      <c r="H8" s="16"/>
      <c r="I8" s="27"/>
      <c r="J8" s="74"/>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13" t="b">
        <f>AND(Table6[[#This Row],[Diphenhydramine]:[Long Acting]])</f>
        <v>0</v>
      </c>
      <c r="J9" s="117" t="s">
        <v>178</v>
      </c>
    </row>
    <row r="10" spans="1:11">
      <c r="A10" s="16" t="b">
        <f>IF(Table6[[#This Row],[column]],Table6[[#This Row],[Total Options]])</f>
        <v>0</v>
      </c>
      <c r="B10" s="16"/>
      <c r="C10" s="16"/>
      <c r="D10" s="16"/>
      <c r="E10" s="16"/>
      <c r="F10" s="16"/>
      <c r="G10" s="16"/>
      <c r="H10" s="16"/>
      <c r="I10" s="27"/>
      <c r="J10" s="73"/>
    </row>
    <row r="11" spans="1:11">
      <c r="A11" t="b">
        <f>IF(Table6[[#This Row],[column]],Table6[[#This Row],[Total Options]])</f>
        <v>0</v>
      </c>
      <c r="B11" s="20" t="b">
        <f>B2</f>
        <v>0</v>
      </c>
      <c r="C11" s="17"/>
      <c r="D11" s="17"/>
      <c r="E11" s="20" t="b">
        <f>AND('Insomnia Criteria'!B11,'Insomnia Criteria'!C5)</f>
        <v>0</v>
      </c>
      <c r="F11" s="17"/>
      <c r="G11" s="20" t="b">
        <f>G2</f>
        <v>0</v>
      </c>
      <c r="H11" s="17"/>
      <c r="I11" s="113" t="b">
        <f>AND(Table6[[#This Row],[Diphenhydramine]:[Long Acting]])</f>
        <v>0</v>
      </c>
      <c r="J11" s="117" t="s">
        <v>163</v>
      </c>
    </row>
    <row r="12" spans="1:11">
      <c r="A12" s="16" t="b">
        <f>IF(Table6[[#This Row],[column]],Table6[[#This Row],[Total Options]])</f>
        <v>0</v>
      </c>
      <c r="B12" s="16"/>
      <c r="C12" s="16"/>
      <c r="D12" s="16"/>
      <c r="E12" s="16"/>
      <c r="F12" s="16"/>
      <c r="G12" s="16"/>
      <c r="H12" s="16"/>
      <c r="I12" s="27"/>
      <c r="J12" s="73"/>
    </row>
    <row r="13" spans="1:11">
      <c r="A13" t="b">
        <f>IF(Table6[[#This Row],[column]],Table6[[#This Row],[Total Options]])</f>
        <v>0</v>
      </c>
      <c r="B13" s="17"/>
      <c r="C13" s="20" t="b">
        <f>C5</f>
        <v>0</v>
      </c>
      <c r="D13" s="17"/>
      <c r="E13" s="17"/>
      <c r="F13" s="17"/>
      <c r="G13" s="17"/>
      <c r="H13" s="20" t="b">
        <f>AND('Insomnia Criteria'!B14,'Insomnia Criteria'!C13)</f>
        <v>0</v>
      </c>
      <c r="I13" s="113" t="b">
        <f>AND(Table6[[#This Row],[Diphenhydramine]:[Long Acting]])</f>
        <v>0</v>
      </c>
      <c r="J13" s="118" t="s">
        <v>235</v>
      </c>
    </row>
    <row r="14" spans="1:11">
      <c r="A14" t="b">
        <f>IF(Table6[[#This Row],[column]],Table6[[#This Row],[Total Options]])</f>
        <v>0</v>
      </c>
      <c r="B14" s="17"/>
      <c r="C14" s="20" t="b">
        <f>C5</f>
        <v>0</v>
      </c>
      <c r="D14" s="17"/>
      <c r="E14" s="17"/>
      <c r="F14" s="17"/>
      <c r="G14" s="20" t="b">
        <f>G2</f>
        <v>0</v>
      </c>
      <c r="H14" s="17"/>
      <c r="I14" s="113" t="b">
        <f>AND(Table6[[#This Row],[Diphenhydramine]:[Long Acting]])</f>
        <v>0</v>
      </c>
      <c r="J14" s="118" t="s">
        <v>236</v>
      </c>
      <c r="K14" s="32"/>
    </row>
    <row r="15" spans="1:11">
      <c r="A15" t="b">
        <f>IF(Table6[[#This Row],[column]],Table6[[#This Row],[Total Options]])</f>
        <v>0</v>
      </c>
      <c r="B15" s="17"/>
      <c r="C15" s="20" t="b">
        <f>C5</f>
        <v>0</v>
      </c>
      <c r="D15" s="20" t="b">
        <f>D5</f>
        <v>0</v>
      </c>
      <c r="E15" s="17"/>
      <c r="F15" s="17"/>
      <c r="G15" s="20" t="b">
        <f>G2</f>
        <v>0</v>
      </c>
      <c r="H15" s="17"/>
      <c r="I15" s="113" t="b">
        <f>AND(Table6[[#This Row],[Diphenhydramine]:[Long Acting]])</f>
        <v>0</v>
      </c>
      <c r="J15" s="118" t="s">
        <v>237</v>
      </c>
    </row>
    <row r="16" spans="1:11">
      <c r="A16" s="16" t="b">
        <f>IF(Table6[[#This Row],[column]],Table6[[#This Row],[Total Options]])</f>
        <v>0</v>
      </c>
      <c r="B16" s="16"/>
      <c r="C16" s="16"/>
      <c r="D16" s="16"/>
      <c r="E16" s="16"/>
      <c r="F16" s="16"/>
      <c r="G16" s="16"/>
      <c r="H16" s="16"/>
      <c r="I16" s="27"/>
      <c r="J16" s="73"/>
    </row>
    <row r="17" spans="1:11">
      <c r="A17" t="b">
        <f>IF(Table6[[#This Row],[column]],Table6[[#This Row],[Total Options]])</f>
        <v>0</v>
      </c>
      <c r="B17" s="17"/>
      <c r="C17" s="20" t="b">
        <f>C5</f>
        <v>0</v>
      </c>
      <c r="D17" s="17"/>
      <c r="E17" s="17"/>
      <c r="F17" s="17"/>
      <c r="G17" s="106" t="b">
        <f>AND('Insomnia Criteria'!B13)</f>
        <v>0</v>
      </c>
      <c r="H17" s="106" t="b">
        <f>AND('Insomnia Criteria'!B14)</f>
        <v>0</v>
      </c>
      <c r="I17" s="113" t="b">
        <f>AND(Table6[[#This Row],[Diphenhydramine]:[Long Acting]])</f>
        <v>0</v>
      </c>
      <c r="J17" s="118" t="s">
        <v>238</v>
      </c>
    </row>
    <row r="18" spans="1:11">
      <c r="A18" t="b">
        <f>IF(Table6[[#This Row],[column]],Table6[[#This Row],[Total Options]])</f>
        <v>0</v>
      </c>
      <c r="B18" s="17"/>
      <c r="C18" s="20" t="b">
        <f>C5</f>
        <v>0</v>
      </c>
      <c r="D18" s="17"/>
      <c r="E18" s="17"/>
      <c r="F18" s="17"/>
      <c r="G18" s="20" t="b">
        <f>G2</f>
        <v>0</v>
      </c>
      <c r="H18" s="17"/>
      <c r="I18" s="113" t="b">
        <f>AND(Table6[[#This Row],[Diphenhydramine]:[Long Acting]])</f>
        <v>0</v>
      </c>
      <c r="J18" s="118" t="s">
        <v>239</v>
      </c>
      <c r="K18" s="32"/>
    </row>
    <row r="19" spans="1:11">
      <c r="A19" t="b">
        <f>IF(Table6[[#This Row],[column]],Table6[[#This Row],[Total Options]])</f>
        <v>0</v>
      </c>
      <c r="B19" s="17"/>
      <c r="C19" s="20" t="b">
        <f>C5</f>
        <v>0</v>
      </c>
      <c r="D19" s="17"/>
      <c r="E19" s="17"/>
      <c r="F19" s="17"/>
      <c r="G19" s="20" t="b">
        <f>G2</f>
        <v>0</v>
      </c>
      <c r="H19" s="17"/>
      <c r="I19" s="113" t="b">
        <f>AND(Table6[[#This Row],[Diphenhydramine]:[Long Acting]])</f>
        <v>0</v>
      </c>
      <c r="J19" s="118" t="s">
        <v>240</v>
      </c>
    </row>
    <row r="20" spans="1:11">
      <c r="A20" s="16" t="b">
        <f>IF(Table6[[#This Row],[column]],Table6[[#This Row],[Total Options]])</f>
        <v>0</v>
      </c>
      <c r="B20" s="16"/>
      <c r="C20" s="16"/>
      <c r="D20" s="16"/>
      <c r="E20" s="16"/>
      <c r="F20" s="16"/>
      <c r="G20" s="16"/>
      <c r="H20" s="16"/>
      <c r="I20" s="27"/>
      <c r="J20" s="73"/>
    </row>
    <row r="21" spans="1:11">
      <c r="A21" t="e">
        <f>IF(Table6[[#This Row],[column]],Table6[[#This Row],[Total Options]])</f>
        <v>#VALUE!</v>
      </c>
      <c r="I21" s="113" t="e">
        <f>AND(Table6[[#This Row],[Diphenhydramine]:[Long Acting]])</f>
        <v>#VALUE!</v>
      </c>
      <c r="J21" s="117"/>
    </row>
    <row r="22" spans="1:11">
      <c r="A22" t="e">
        <f>IF(Table6[[#This Row],[column]],Table6[[#This Row],[Total Options]])</f>
        <v>#VALUE!</v>
      </c>
      <c r="I22" s="113" t="e">
        <f>AND(Table6[[#This Row],[Diphenhydramine]:[Long Acting]])</f>
        <v>#VALUE!</v>
      </c>
      <c r="J22" s="135"/>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B15" sqref="B15"/>
    </sheetView>
  </sheetViews>
  <sheetFormatPr defaultRowHeight="15"/>
  <cols>
    <col min="1" max="1" width="50.5703125" customWidth="1"/>
    <col min="5" max="5" width="17.85546875" customWidth="1"/>
  </cols>
  <sheetData>
    <row r="1" spans="1:5" ht="15.75" thickTop="1">
      <c r="A1" s="3" t="s">
        <v>15</v>
      </c>
      <c r="B1" s="7" t="s">
        <v>18</v>
      </c>
      <c r="C1" s="43"/>
      <c r="D1" s="43"/>
      <c r="E1" s="8" t="s">
        <v>19</v>
      </c>
    </row>
    <row r="2" spans="1:5" ht="15.75" thickBot="1">
      <c r="B2" s="4"/>
      <c r="C2" s="43"/>
      <c r="D2" s="43"/>
      <c r="E2" s="4"/>
    </row>
    <row r="3" spans="1:5" ht="15.75" thickBot="1">
      <c r="A3" s="158" t="s">
        <v>505</v>
      </c>
      <c r="B3" s="33" t="b">
        <v>0</v>
      </c>
      <c r="C3" s="43" t="b">
        <f>NOT(B3)</f>
        <v>1</v>
      </c>
      <c r="D3" s="43"/>
      <c r="E3" s="4" t="b">
        <f>IF(B9,random!I7)</f>
        <v>0</v>
      </c>
    </row>
    <row r="4" spans="1:5" ht="15.75" thickBot="1">
      <c r="A4" s="158" t="s">
        <v>13</v>
      </c>
      <c r="B4" s="33" t="b">
        <v>0</v>
      </c>
      <c r="C4" s="43"/>
      <c r="D4" s="43" t="b">
        <f>OR(B7:B8)</f>
        <v>0</v>
      </c>
      <c r="E4" s="4" t="b">
        <f>IF(D4,random!I8)</f>
        <v>0</v>
      </c>
    </row>
    <row r="5" spans="1:5" ht="15.75" thickBot="1">
      <c r="A5" s="165" t="s">
        <v>553</v>
      </c>
      <c r="B5" s="33" t="b">
        <v>0</v>
      </c>
      <c r="C5" s="43" t="b">
        <f>NOT(B5)</f>
        <v>1</v>
      </c>
      <c r="D5" s="43"/>
      <c r="E5" s="4" t="b">
        <f>IF(B11,random!I9)</f>
        <v>0</v>
      </c>
    </row>
    <row r="6" spans="1:5" ht="15.75" thickBot="1">
      <c r="A6" s="172" t="s">
        <v>394</v>
      </c>
      <c r="B6" s="33" t="b">
        <v>0</v>
      </c>
      <c r="C6" s="43"/>
      <c r="D6" s="43"/>
      <c r="E6" s="4" t="b">
        <f>IF(B10,random!I10)</f>
        <v>0</v>
      </c>
    </row>
    <row r="7" spans="1:5" ht="15.75" thickBot="1">
      <c r="A7" s="172" t="s">
        <v>395</v>
      </c>
      <c r="B7" s="33" t="b">
        <v>0</v>
      </c>
      <c r="C7" s="43"/>
      <c r="D7" s="43"/>
      <c r="E7" s="4" t="b">
        <f>IF(B6,random!I11)</f>
        <v>0</v>
      </c>
    </row>
    <row r="8" spans="1:5" ht="15.75" thickBot="1">
      <c r="A8" s="172" t="s">
        <v>396</v>
      </c>
      <c r="B8" s="33" t="b">
        <v>0</v>
      </c>
      <c r="C8" s="43"/>
      <c r="D8" s="43"/>
      <c r="E8" s="48" t="b">
        <f>IF(B6,random!I12)</f>
        <v>0</v>
      </c>
    </row>
    <row r="9" spans="1:5" ht="15.75" thickBot="1">
      <c r="A9" s="172" t="s">
        <v>397</v>
      </c>
      <c r="B9" s="34" t="b">
        <v>0</v>
      </c>
      <c r="C9" s="43"/>
      <c r="D9" s="43"/>
    </row>
    <row r="10" spans="1:5" ht="15.75" thickBot="1">
      <c r="A10" s="172" t="s">
        <v>398</v>
      </c>
      <c r="B10" s="6" t="b">
        <v>0</v>
      </c>
      <c r="C10" s="43"/>
      <c r="D10" s="43"/>
    </row>
    <row r="11" spans="1:5" ht="15.75" thickBot="1">
      <c r="A11" s="172" t="s">
        <v>503</v>
      </c>
      <c r="B11" s="6" t="b">
        <v>0</v>
      </c>
      <c r="C11" s="43"/>
      <c r="D11" s="43"/>
    </row>
    <row r="12" spans="1:5" ht="15.75" thickBot="1">
      <c r="A12" s="172" t="s">
        <v>1301</v>
      </c>
      <c r="B12" s="6" t="b">
        <v>0</v>
      </c>
      <c r="C12" s="43"/>
      <c r="D12" s="43"/>
    </row>
    <row r="13" spans="1:5" ht="15.75" thickBot="1">
      <c r="A13" s="161" t="s">
        <v>458</v>
      </c>
      <c r="B13" s="6" t="b">
        <v>0</v>
      </c>
      <c r="C13" s="43"/>
      <c r="D13" s="43"/>
    </row>
    <row r="14" spans="1:5" ht="15.75" thickBot="1">
      <c r="A14" s="161" t="s">
        <v>506</v>
      </c>
      <c r="B14" s="6" t="b">
        <v>0</v>
      </c>
      <c r="C14" s="43"/>
      <c r="D14" s="43"/>
    </row>
    <row r="15" spans="1:5" ht="15.75" thickBot="1">
      <c r="A15" s="161" t="s">
        <v>459</v>
      </c>
      <c r="B15" s="6" t="b">
        <v>0</v>
      </c>
      <c r="C15" s="43"/>
      <c r="D15" s="43"/>
    </row>
    <row r="18" spans="1:1">
      <c r="A18" s="49"/>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6"/>
  <sheetViews>
    <sheetView workbookViewId="0">
      <selection activeCell="N6" sqref="N6"/>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13" customWidth="1"/>
    <col min="16" max="16" width="72.85546875" style="113" customWidth="1"/>
  </cols>
  <sheetData>
    <row r="1" spans="1:17">
      <c r="A1" s="68" t="s">
        <v>1212</v>
      </c>
      <c r="B1" s="202" t="s">
        <v>1839</v>
      </c>
      <c r="C1" s="202" t="s">
        <v>1837</v>
      </c>
      <c r="D1" s="202" t="s">
        <v>1844</v>
      </c>
      <c r="E1" s="202" t="s">
        <v>1845</v>
      </c>
      <c r="F1" s="202" t="s">
        <v>1846</v>
      </c>
      <c r="G1" s="69" t="s">
        <v>302</v>
      </c>
      <c r="H1" s="69" t="s">
        <v>303</v>
      </c>
      <c r="I1" s="69" t="s">
        <v>554</v>
      </c>
      <c r="J1" s="69" t="s">
        <v>304</v>
      </c>
      <c r="K1" s="69" t="s">
        <v>316</v>
      </c>
      <c r="L1" s="69" t="s">
        <v>1300</v>
      </c>
      <c r="M1" s="69" t="s">
        <v>399</v>
      </c>
      <c r="N1" s="69" t="s">
        <v>504</v>
      </c>
      <c r="O1" s="69" t="s">
        <v>225</v>
      </c>
      <c r="P1" s="69" t="s">
        <v>581</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13" t="b">
        <f>AND(AND(E2:N2),OR(Table11[[#This Row],[Oral]:[Vag Tab]]))</f>
        <v>0</v>
      </c>
      <c r="P2" s="114" t="s">
        <v>305</v>
      </c>
    </row>
    <row r="3" spans="1:17">
      <c r="A3" s="16" t="b">
        <f t="shared" ref="A3:A61" si="0">IF(O3,P3)</f>
        <v>0</v>
      </c>
      <c r="B3" s="16"/>
      <c r="C3" s="16"/>
      <c r="D3" s="16"/>
      <c r="E3" s="16"/>
      <c r="F3" s="16"/>
      <c r="G3" s="16"/>
      <c r="H3" s="16"/>
      <c r="I3" s="16"/>
      <c r="J3" s="16"/>
      <c r="K3" s="16"/>
      <c r="L3" s="16"/>
      <c r="M3" s="16"/>
      <c r="N3" s="16"/>
      <c r="O3" s="154"/>
      <c r="P3" s="27"/>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13" t="b">
        <f>AND(AND(E4:N4),OR(Table11[[#This Row],[Oral]:[Vag Tab]]))</f>
        <v>0</v>
      </c>
      <c r="P4" s="114" t="s">
        <v>306</v>
      </c>
      <c r="Q4" s="32"/>
    </row>
    <row r="5" spans="1:17">
      <c r="A5" t="b">
        <f t="shared" ref="A5:A10" si="1">IF(O5,P5)</f>
        <v>0</v>
      </c>
      <c r="B5" s="17"/>
      <c r="C5" s="20" t="b">
        <f>C4</f>
        <v>0</v>
      </c>
      <c r="D5" s="17"/>
      <c r="E5" s="17"/>
      <c r="F5" s="20" t="b">
        <f>F2</f>
        <v>1</v>
      </c>
      <c r="G5" s="106" t="b">
        <f>AND('Vaginal Criteria'!B9,'Vaginal Criteria'!B4,'Vaginal Criteria'!C5)</f>
        <v>0</v>
      </c>
      <c r="H5" s="17"/>
      <c r="I5" s="17"/>
      <c r="J5" s="17"/>
      <c r="K5" s="17"/>
      <c r="L5" s="17"/>
      <c r="M5" s="17"/>
      <c r="N5" s="17"/>
      <c r="O5" s="113" t="b">
        <f>AND(AND(E5:N5),OR(Table11[[#This Row],[Oral]:[Vag Tab]]))</f>
        <v>0</v>
      </c>
      <c r="P5" s="1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13" t="b">
        <f>AND(AND(E6:N6),OR(Table11[[#This Row],[Oral]:[Vag Tab]]))</f>
        <v>0</v>
      </c>
      <c r="P6" s="136" t="s">
        <v>576</v>
      </c>
    </row>
    <row r="7" spans="1:17">
      <c r="A7" t="b">
        <f t="shared" si="1"/>
        <v>0</v>
      </c>
      <c r="B7" s="17"/>
      <c r="C7" s="20" t="b">
        <f>C4</f>
        <v>0</v>
      </c>
      <c r="D7" s="17"/>
      <c r="E7" s="17"/>
      <c r="F7" s="20" t="b">
        <f>F2</f>
        <v>1</v>
      </c>
      <c r="G7" s="17"/>
      <c r="H7" s="17"/>
      <c r="I7" s="17"/>
      <c r="J7" s="17"/>
      <c r="K7" s="17"/>
      <c r="L7" s="17"/>
      <c r="M7" s="20" t="b">
        <f>AND('Vaginal Criteria'!B4,'Vaginal Criteria'!B6)</f>
        <v>0</v>
      </c>
      <c r="N7" s="17"/>
      <c r="O7" s="113" t="b">
        <f>AND(AND(E7:N7),OR(Table11[[#This Row],[Oral]:[Vag Tab]]))</f>
        <v>0</v>
      </c>
      <c r="P7" s="136" t="s">
        <v>577</v>
      </c>
    </row>
    <row r="8" spans="1:17">
      <c r="A8" t="b">
        <f t="shared" si="1"/>
        <v>0</v>
      </c>
      <c r="B8" s="17"/>
      <c r="C8" s="20" t="b">
        <f>C4</f>
        <v>0</v>
      </c>
      <c r="D8" s="17"/>
      <c r="E8" s="17"/>
      <c r="F8" s="20" t="b">
        <f>F2</f>
        <v>1</v>
      </c>
      <c r="G8" s="17"/>
      <c r="H8" s="17"/>
      <c r="I8" s="17"/>
      <c r="J8" s="17"/>
      <c r="K8" s="17"/>
      <c r="L8" s="17"/>
      <c r="M8" s="20" t="b">
        <f>M7</f>
        <v>0</v>
      </c>
      <c r="N8" s="17"/>
      <c r="O8" s="113" t="b">
        <f>AND(AND(E8:N8),OR(Table11[[#This Row],[Oral]:[Vag Tab]]))</f>
        <v>0</v>
      </c>
      <c r="P8" s="136" t="s">
        <v>578</v>
      </c>
    </row>
    <row r="9" spans="1:17">
      <c r="A9" t="b">
        <f t="shared" si="1"/>
        <v>0</v>
      </c>
      <c r="B9" s="17"/>
      <c r="C9" s="20" t="b">
        <f>C4</f>
        <v>0</v>
      </c>
      <c r="D9" s="17"/>
      <c r="E9" s="17"/>
      <c r="F9" s="20" t="b">
        <f>F2</f>
        <v>1</v>
      </c>
      <c r="G9" s="17"/>
      <c r="H9" s="17"/>
      <c r="I9" s="17"/>
      <c r="J9" s="17"/>
      <c r="K9" s="17"/>
      <c r="L9" s="17"/>
      <c r="M9" s="20" t="b">
        <f>M7</f>
        <v>0</v>
      </c>
      <c r="N9" s="17"/>
      <c r="O9" s="113" t="b">
        <f>AND(AND(E9:N9),OR(Table11[[#This Row],[Oral]:[Vag Tab]]))</f>
        <v>0</v>
      </c>
      <c r="P9" s="136" t="s">
        <v>579</v>
      </c>
    </row>
    <row r="10" spans="1:17">
      <c r="A10" t="b">
        <f t="shared" si="1"/>
        <v>0</v>
      </c>
      <c r="B10" s="17"/>
      <c r="C10" s="20" t="b">
        <f>C4</f>
        <v>0</v>
      </c>
      <c r="D10" s="17"/>
      <c r="E10" s="17"/>
      <c r="F10" s="20" t="b">
        <f>F2</f>
        <v>1</v>
      </c>
      <c r="G10" s="17"/>
      <c r="H10" s="17"/>
      <c r="I10" s="17"/>
      <c r="J10" s="17"/>
      <c r="K10" s="17"/>
      <c r="L10" s="17"/>
      <c r="M10" s="20" t="b">
        <f>M7</f>
        <v>0</v>
      </c>
      <c r="N10" s="17"/>
      <c r="O10" s="113" t="b">
        <f>AND(AND(E10:N10),OR(Table11[[#This Row],[Oral]:[Vag Tab]]))</f>
        <v>0</v>
      </c>
      <c r="P10" s="136" t="s">
        <v>580</v>
      </c>
    </row>
    <row r="11" spans="1:17">
      <c r="A11" s="16" t="b">
        <f t="shared" si="0"/>
        <v>0</v>
      </c>
      <c r="B11" s="16"/>
      <c r="C11" s="16"/>
      <c r="D11" s="16"/>
      <c r="E11" s="16"/>
      <c r="F11" s="16"/>
      <c r="G11" s="16"/>
      <c r="H11" s="16"/>
      <c r="I11" s="16"/>
      <c r="J11" s="16"/>
      <c r="K11" s="16"/>
      <c r="L11" s="16"/>
      <c r="M11" s="16"/>
      <c r="N11" s="16"/>
      <c r="O11" s="154"/>
      <c r="P11" s="27"/>
    </row>
    <row r="12" spans="1:17">
      <c r="A12" t="b">
        <f t="shared" si="0"/>
        <v>0</v>
      </c>
      <c r="B12" s="17"/>
      <c r="C12" s="20" t="b">
        <f>C4</f>
        <v>0</v>
      </c>
      <c r="D12" s="20" t="b">
        <f>D2</f>
        <v>0</v>
      </c>
      <c r="E12" s="17"/>
      <c r="F12" s="20" t="b">
        <f>F2</f>
        <v>1</v>
      </c>
      <c r="G12" s="20" t="b">
        <f>G5</f>
        <v>0</v>
      </c>
      <c r="H12" s="17"/>
      <c r="I12" s="17"/>
      <c r="J12" s="17"/>
      <c r="K12" s="17"/>
      <c r="L12" s="17"/>
      <c r="M12" s="17"/>
      <c r="N12" s="17"/>
      <c r="O12" s="113" t="b">
        <f>AND(AND(E12:N12),OR(Table11[[#This Row],[Oral]:[Vag Tab]]))</f>
        <v>0</v>
      </c>
      <c r="P12" s="118" t="s">
        <v>309</v>
      </c>
      <c r="Q12" s="32"/>
    </row>
    <row r="13" spans="1:17">
      <c r="A13" t="b">
        <f t="shared" si="0"/>
        <v>0</v>
      </c>
      <c r="B13" s="17"/>
      <c r="C13" s="20" t="b">
        <f>C4</f>
        <v>0</v>
      </c>
      <c r="D13" s="17"/>
      <c r="E13" s="17"/>
      <c r="F13" s="20" t="b">
        <f>F2</f>
        <v>1</v>
      </c>
      <c r="G13" s="20" t="b">
        <f>G5</f>
        <v>0</v>
      </c>
      <c r="H13" s="17"/>
      <c r="I13" s="17"/>
      <c r="J13" s="17"/>
      <c r="K13" s="17"/>
      <c r="L13" s="17"/>
      <c r="M13" s="17"/>
      <c r="N13" s="17"/>
      <c r="O13" s="113" t="b">
        <f>AND(AND(E13:N13),OR(Table11[[#This Row],[Oral]:[Vag Tab]]))</f>
        <v>0</v>
      </c>
      <c r="P13" s="118" t="s">
        <v>308</v>
      </c>
    </row>
    <row r="14" spans="1:17">
      <c r="A14" t="b">
        <f t="shared" si="0"/>
        <v>0</v>
      </c>
      <c r="B14" s="17"/>
      <c r="C14" s="20" t="b">
        <f>C4</f>
        <v>0</v>
      </c>
      <c r="D14" s="20" t="b">
        <f>D2</f>
        <v>0</v>
      </c>
      <c r="E14" s="17"/>
      <c r="F14" s="20" t="b">
        <f>F2</f>
        <v>1</v>
      </c>
      <c r="G14" s="20" t="b">
        <f>G5</f>
        <v>0</v>
      </c>
      <c r="H14" s="17"/>
      <c r="I14" s="17"/>
      <c r="J14" s="17"/>
      <c r="K14" s="17"/>
      <c r="L14" s="17"/>
      <c r="M14" s="17"/>
      <c r="N14" s="17"/>
      <c r="O14" s="113" t="b">
        <f>AND(AND(E14:N14),OR(Table11[[#This Row],[Oral]:[Vag Tab]]))</f>
        <v>0</v>
      </c>
      <c r="P14" s="118" t="s">
        <v>310</v>
      </c>
    </row>
    <row r="15" spans="1:17">
      <c r="A15" t="b">
        <f t="shared" si="0"/>
        <v>0</v>
      </c>
      <c r="B15" s="17"/>
      <c r="C15" s="20" t="b">
        <f>C4</f>
        <v>0</v>
      </c>
      <c r="D15" s="20" t="b">
        <f>D2</f>
        <v>0</v>
      </c>
      <c r="E15" s="17"/>
      <c r="F15" s="20" t="b">
        <f>F2</f>
        <v>1</v>
      </c>
      <c r="G15" s="20" t="b">
        <f>G5</f>
        <v>0</v>
      </c>
      <c r="H15" s="17"/>
      <c r="I15" s="17"/>
      <c r="J15" s="17"/>
      <c r="K15" s="17"/>
      <c r="L15" s="17"/>
      <c r="M15" s="17"/>
      <c r="N15" s="17"/>
      <c r="O15" s="113" t="b">
        <f>AND(AND(E15:N15),OR(Table11[[#This Row],[Oral]:[Vag Tab]]))</f>
        <v>0</v>
      </c>
      <c r="P15" s="118" t="s">
        <v>311</v>
      </c>
    </row>
    <row r="16" spans="1:17">
      <c r="A16" t="b">
        <f t="shared" si="0"/>
        <v>0</v>
      </c>
      <c r="B16" s="17"/>
      <c r="C16" s="20" t="b">
        <f>C4</f>
        <v>0</v>
      </c>
      <c r="D16" s="17"/>
      <c r="E16" s="17"/>
      <c r="F16" s="20" t="b">
        <f>F2</f>
        <v>1</v>
      </c>
      <c r="G16" s="20" t="b">
        <f>G5</f>
        <v>0</v>
      </c>
      <c r="H16" s="17"/>
      <c r="I16" s="17"/>
      <c r="J16" s="17"/>
      <c r="K16" s="17"/>
      <c r="L16" s="17"/>
      <c r="M16" s="17"/>
      <c r="N16" s="17"/>
      <c r="O16" s="113" t="b">
        <f>AND(AND(E16:N16),OR(Table11[[#This Row],[Oral]:[Vag Tab]]))</f>
        <v>0</v>
      </c>
      <c r="P16" s="118" t="s">
        <v>312</v>
      </c>
    </row>
    <row r="17" spans="1:16">
      <c r="A17" t="b">
        <f t="shared" si="0"/>
        <v>0</v>
      </c>
      <c r="B17" s="17"/>
      <c r="C17" s="20" t="b">
        <f>C4</f>
        <v>0</v>
      </c>
      <c r="D17" s="17"/>
      <c r="E17" s="17"/>
      <c r="F17" s="20" t="b">
        <f>F2</f>
        <v>1</v>
      </c>
      <c r="G17" s="20" t="b">
        <f>G5</f>
        <v>0</v>
      </c>
      <c r="H17" s="17"/>
      <c r="I17" s="17"/>
      <c r="J17" s="17"/>
      <c r="K17" s="17"/>
      <c r="L17" s="17"/>
      <c r="M17" s="17"/>
      <c r="N17" s="17"/>
      <c r="O17" s="113" t="b">
        <f>AND(AND(E17:N17),OR(Table11[[#This Row],[Oral]:[Vag Tab]]))</f>
        <v>0</v>
      </c>
      <c r="P17" s="118" t="s">
        <v>313</v>
      </c>
    </row>
    <row r="18" spans="1:16">
      <c r="A18" t="b">
        <f t="shared" si="0"/>
        <v>0</v>
      </c>
      <c r="B18" s="17"/>
      <c r="C18" s="20" t="b">
        <f>C4</f>
        <v>0</v>
      </c>
      <c r="D18" s="17"/>
      <c r="E18" s="20" t="b">
        <f>OR('Vaginal Criteria'!B3,'Vaginal Criteria'!C3)</f>
        <v>1</v>
      </c>
      <c r="F18" s="17"/>
      <c r="G18" s="20" t="b">
        <f>G5</f>
        <v>0</v>
      </c>
      <c r="H18" s="17"/>
      <c r="I18" s="17"/>
      <c r="J18" s="17"/>
      <c r="K18" s="17"/>
      <c r="L18" s="17"/>
      <c r="M18" s="17"/>
      <c r="N18" s="17"/>
      <c r="O18" s="113" t="b">
        <f>AND(AND(E18:N18),OR(Table11[[#This Row],[Oral]:[Vag Tab]]))</f>
        <v>0</v>
      </c>
      <c r="P18" s="118" t="s">
        <v>314</v>
      </c>
    </row>
    <row r="19" spans="1:16">
      <c r="A19" t="b">
        <f t="shared" si="0"/>
        <v>0</v>
      </c>
      <c r="B19" s="17"/>
      <c r="C19" s="20" t="b">
        <f>C4</f>
        <v>0</v>
      </c>
      <c r="D19" s="17"/>
      <c r="E19" s="20" t="b">
        <f>E18</f>
        <v>1</v>
      </c>
      <c r="F19" s="17"/>
      <c r="G19" s="20" t="b">
        <f>G5</f>
        <v>0</v>
      </c>
      <c r="H19" s="17"/>
      <c r="I19" s="17"/>
      <c r="J19" s="17"/>
      <c r="K19" s="17"/>
      <c r="L19" s="17"/>
      <c r="M19" s="17"/>
      <c r="N19" s="17"/>
      <c r="O19" s="113" t="b">
        <f>AND(AND(E19:N19),OR(Table11[[#This Row],[Oral]:[Vag Tab]]))</f>
        <v>0</v>
      </c>
      <c r="P19" s="118" t="s">
        <v>315</v>
      </c>
    </row>
    <row r="20" spans="1:16">
      <c r="A20" t="b">
        <f t="shared" si="0"/>
        <v>0</v>
      </c>
      <c r="B20" s="17"/>
      <c r="C20" s="20" t="b">
        <f>C4</f>
        <v>0</v>
      </c>
      <c r="D20" s="17"/>
      <c r="E20" s="17"/>
      <c r="F20" s="20" t="b">
        <f>F2</f>
        <v>1</v>
      </c>
      <c r="G20" s="17"/>
      <c r="H20" s="17"/>
      <c r="I20" s="17"/>
      <c r="J20" s="17"/>
      <c r="K20" s="17"/>
      <c r="L20" s="17"/>
      <c r="M20" s="17"/>
      <c r="N20" s="20" t="b">
        <f>N6</f>
        <v>0</v>
      </c>
      <c r="O20" s="113" t="b">
        <f>AND(AND(E20:N20),OR(Table11[[#This Row],[Oral]:[Vag Tab]]))</f>
        <v>0</v>
      </c>
      <c r="P20" s="118" t="s">
        <v>575</v>
      </c>
    </row>
    <row r="21" spans="1:16">
      <c r="A21" s="16" t="b">
        <f t="shared" si="0"/>
        <v>0</v>
      </c>
      <c r="B21" s="16"/>
      <c r="C21" s="16"/>
      <c r="D21" s="16"/>
      <c r="E21" s="16"/>
      <c r="F21" s="16"/>
      <c r="G21" s="16"/>
      <c r="H21" s="16"/>
      <c r="I21" s="16"/>
      <c r="J21" s="16"/>
      <c r="K21" s="16"/>
      <c r="L21" s="16"/>
      <c r="M21" s="16"/>
      <c r="N21" s="16"/>
      <c r="O21" s="154"/>
      <c r="P21" s="27"/>
    </row>
    <row r="22" spans="1:16">
      <c r="A22" t="b">
        <f t="shared" si="0"/>
        <v>0</v>
      </c>
      <c r="B22" s="17"/>
      <c r="C22" s="20" t="b">
        <f>C4</f>
        <v>0</v>
      </c>
      <c r="D22" s="17"/>
      <c r="E22" s="17"/>
      <c r="F22" s="20" t="b">
        <f>F2</f>
        <v>1</v>
      </c>
      <c r="G22" s="17"/>
      <c r="H22" s="17"/>
      <c r="I22" s="17"/>
      <c r="J22" s="17"/>
      <c r="K22" s="20" t="b">
        <f>AND('Vaginal Criteria'!B4,'Vaginal Criteria'!B10)</f>
        <v>0</v>
      </c>
      <c r="L22" s="17"/>
      <c r="M22" s="17"/>
      <c r="N22" s="17"/>
      <c r="O22" s="113" t="b">
        <f>AND(AND(E22:N22),OR(Table11[[#This Row],[Oral]:[Vag Tab]]))</f>
        <v>0</v>
      </c>
      <c r="P22" s="114" t="s">
        <v>317</v>
      </c>
    </row>
    <row r="23" spans="1:16">
      <c r="A23" t="b">
        <f t="shared" si="0"/>
        <v>0</v>
      </c>
      <c r="B23" s="17"/>
      <c r="C23" s="20" t="b">
        <f>C4</f>
        <v>0</v>
      </c>
      <c r="D23" s="20" t="b">
        <f>D2</f>
        <v>0</v>
      </c>
      <c r="E23" s="17"/>
      <c r="F23" s="20" t="b">
        <f>F2</f>
        <v>1</v>
      </c>
      <c r="G23" s="106" t="b">
        <f>AND('Vaginal Criteria'!B4,'Vaginal Criteria'!B9)</f>
        <v>0</v>
      </c>
      <c r="H23" s="17"/>
      <c r="I23" s="17"/>
      <c r="J23" s="17"/>
      <c r="K23" s="17"/>
      <c r="L23" s="17"/>
      <c r="M23" s="17"/>
      <c r="N23" s="17"/>
      <c r="O23" s="113" t="b">
        <f>AND(AND(E23:N23),OR(Table11[[#This Row],[Oral]:[Vag Tab]]))</f>
        <v>0</v>
      </c>
      <c r="P23" s="114" t="s">
        <v>318</v>
      </c>
    </row>
    <row r="24" spans="1:16">
      <c r="A24" t="b">
        <f t="shared" si="0"/>
        <v>0</v>
      </c>
      <c r="B24" s="17"/>
      <c r="C24" s="20" t="b">
        <f>C4</f>
        <v>0</v>
      </c>
      <c r="D24" s="20" t="b">
        <f>D2</f>
        <v>0</v>
      </c>
      <c r="E24" s="17"/>
      <c r="F24" s="20" t="b">
        <f>F2</f>
        <v>1</v>
      </c>
      <c r="G24" s="20" t="b">
        <f>G23</f>
        <v>0</v>
      </c>
      <c r="H24" s="17"/>
      <c r="I24" s="17"/>
      <c r="J24" s="17"/>
      <c r="K24" s="17"/>
      <c r="L24" s="17"/>
      <c r="M24" s="17"/>
      <c r="N24" s="17"/>
      <c r="O24" s="113" t="b">
        <f>AND(AND(E24:N24),OR(Table11[[#This Row],[Oral]:[Vag Tab]]))</f>
        <v>0</v>
      </c>
      <c r="P24" s="114" t="s">
        <v>319</v>
      </c>
    </row>
    <row r="25" spans="1:16">
      <c r="A25" t="b">
        <f t="shared" si="0"/>
        <v>0</v>
      </c>
      <c r="B25" s="20" t="b">
        <f>AND('Vaginal Criteria'!B13)</f>
        <v>0</v>
      </c>
      <c r="C25" s="20" t="b">
        <f>C4</f>
        <v>0</v>
      </c>
      <c r="D25" s="17"/>
      <c r="E25" s="17"/>
      <c r="F25" s="20" t="b">
        <f>F2</f>
        <v>1</v>
      </c>
      <c r="G25" s="20" t="b">
        <f>G23</f>
        <v>0</v>
      </c>
      <c r="H25" s="17"/>
      <c r="I25" s="17"/>
      <c r="J25" s="17"/>
      <c r="K25" s="17"/>
      <c r="L25" s="17"/>
      <c r="M25" s="17"/>
      <c r="N25" s="17"/>
      <c r="O25" s="113" t="b">
        <f>AND(AND(E25:N25),OR(Table11[[#This Row],[Oral]:[Vag Tab]]))</f>
        <v>0</v>
      </c>
      <c r="P25" s="114" t="s">
        <v>320</v>
      </c>
    </row>
    <row r="26" spans="1:16">
      <c r="A26" t="b">
        <f t="shared" si="0"/>
        <v>0</v>
      </c>
      <c r="B26" s="20" t="b">
        <f>B25</f>
        <v>0</v>
      </c>
      <c r="C26" s="17"/>
      <c r="D26" s="17"/>
      <c r="E26" s="17"/>
      <c r="F26" s="20" t="b">
        <f>F2</f>
        <v>1</v>
      </c>
      <c r="G26" s="20" t="b">
        <f>G23</f>
        <v>0</v>
      </c>
      <c r="H26" s="17"/>
      <c r="I26" s="17"/>
      <c r="J26" s="17"/>
      <c r="K26" s="17"/>
      <c r="L26" s="17"/>
      <c r="M26" s="17"/>
      <c r="N26" s="17"/>
      <c r="O26" s="113" t="b">
        <f>AND(AND(E26:N26),OR(Table11[[#This Row],[Oral]:[Vag Tab]]))</f>
        <v>0</v>
      </c>
      <c r="P26" s="114" t="s">
        <v>321</v>
      </c>
    </row>
    <row r="27" spans="1:16">
      <c r="A27" t="b">
        <f t="shared" si="0"/>
        <v>0</v>
      </c>
      <c r="B27" s="17"/>
      <c r="C27" s="20" t="b">
        <f>C4</f>
        <v>0</v>
      </c>
      <c r="D27" s="17"/>
      <c r="E27" s="17"/>
      <c r="F27" s="20" t="b">
        <f>F2</f>
        <v>1</v>
      </c>
      <c r="G27" s="20" t="b">
        <f>G23</f>
        <v>0</v>
      </c>
      <c r="H27" s="17"/>
      <c r="I27" s="17"/>
      <c r="J27" s="17"/>
      <c r="K27" s="17"/>
      <c r="L27" s="17"/>
      <c r="M27" s="17"/>
      <c r="N27" s="17"/>
      <c r="O27" s="113" t="b">
        <f>AND(AND(E27:N27),OR(Table11[[#This Row],[Oral]:[Vag Tab]]))</f>
        <v>0</v>
      </c>
      <c r="P27" s="114" t="s">
        <v>322</v>
      </c>
    </row>
    <row r="28" spans="1:16">
      <c r="A28" t="b">
        <f t="shared" si="0"/>
        <v>0</v>
      </c>
      <c r="B28" s="17"/>
      <c r="C28" s="20" t="b">
        <f>C4</f>
        <v>0</v>
      </c>
      <c r="D28" s="17"/>
      <c r="E28" s="17"/>
      <c r="F28" s="20" t="b">
        <f>F2</f>
        <v>1</v>
      </c>
      <c r="G28" s="20" t="b">
        <f>G23</f>
        <v>0</v>
      </c>
      <c r="H28" s="17"/>
      <c r="I28" s="17"/>
      <c r="J28" s="17"/>
      <c r="K28" s="17"/>
      <c r="L28" s="17"/>
      <c r="M28" s="17"/>
      <c r="N28" s="17"/>
      <c r="O28" s="113" t="b">
        <f>AND(AND(E28:N28),OR(Table11[[#This Row],[Oral]:[Vag Tab]]))</f>
        <v>0</v>
      </c>
      <c r="P28" s="114" t="s">
        <v>323</v>
      </c>
    </row>
    <row r="29" spans="1:16">
      <c r="A29" t="b">
        <f t="shared" si="0"/>
        <v>0</v>
      </c>
      <c r="B29" s="17"/>
      <c r="C29" s="20" t="b">
        <f>C4</f>
        <v>0</v>
      </c>
      <c r="D29" s="17"/>
      <c r="E29" s="17"/>
      <c r="F29" s="20" t="b">
        <f>F2</f>
        <v>1</v>
      </c>
      <c r="G29" s="20" t="b">
        <f>G23</f>
        <v>0</v>
      </c>
      <c r="H29" s="17"/>
      <c r="I29" s="17"/>
      <c r="J29" s="17"/>
      <c r="K29" s="17"/>
      <c r="L29" s="17"/>
      <c r="M29" s="17"/>
      <c r="N29" s="17"/>
      <c r="O29" s="113" t="b">
        <f>AND(AND(E29:N29),OR(Table11[[#This Row],[Oral]:[Vag Tab]]))</f>
        <v>0</v>
      </c>
      <c r="P29" s="114" t="s">
        <v>324</v>
      </c>
    </row>
    <row r="30" spans="1:16">
      <c r="A30" t="b">
        <f t="shared" si="0"/>
        <v>0</v>
      </c>
      <c r="B30" s="17"/>
      <c r="C30" s="20" t="b">
        <f>C4</f>
        <v>0</v>
      </c>
      <c r="D30" s="17"/>
      <c r="E30" s="20" t="b">
        <f>E18</f>
        <v>1</v>
      </c>
      <c r="F30" s="17"/>
      <c r="G30" s="20" t="b">
        <f>G23</f>
        <v>0</v>
      </c>
      <c r="H30" s="17"/>
      <c r="I30" s="17"/>
      <c r="J30" s="17"/>
      <c r="K30" s="17"/>
      <c r="L30" s="17"/>
      <c r="M30" s="17"/>
      <c r="N30" s="17"/>
      <c r="O30" s="113" t="b">
        <f>AND(AND(E30:N30),OR(Table11[[#This Row],[Oral]:[Vag Tab]]))</f>
        <v>0</v>
      </c>
      <c r="P30" s="114" t="s">
        <v>325</v>
      </c>
    </row>
    <row r="31" spans="1:16">
      <c r="A31" t="b">
        <f t="shared" si="0"/>
        <v>0</v>
      </c>
      <c r="B31" s="17"/>
      <c r="C31" s="20" t="b">
        <f>C4</f>
        <v>0</v>
      </c>
      <c r="D31" s="17"/>
      <c r="E31" s="17"/>
      <c r="F31" s="20" t="b">
        <f>F2</f>
        <v>1</v>
      </c>
      <c r="G31" s="20" t="b">
        <f>G23</f>
        <v>0</v>
      </c>
      <c r="H31" s="17"/>
      <c r="I31" s="17"/>
      <c r="J31" s="17"/>
      <c r="K31" s="17"/>
      <c r="L31" s="17"/>
      <c r="M31" s="17"/>
      <c r="N31" s="17"/>
      <c r="O31" s="113" t="b">
        <f>AND(AND(E31:N31),OR(Table11[[#This Row],[Oral]:[Vag Tab]]))</f>
        <v>0</v>
      </c>
      <c r="P31" s="114" t="s">
        <v>326</v>
      </c>
    </row>
    <row r="32" spans="1:16">
      <c r="A32" s="16" t="b">
        <f t="shared" si="0"/>
        <v>0</v>
      </c>
      <c r="B32" s="16"/>
      <c r="C32" s="16"/>
      <c r="D32" s="16"/>
      <c r="E32" s="16"/>
      <c r="F32" s="16"/>
      <c r="G32" s="16"/>
      <c r="H32" s="16"/>
      <c r="I32" s="16"/>
      <c r="J32" s="16"/>
      <c r="K32" s="16"/>
      <c r="L32" s="16"/>
      <c r="M32" s="16"/>
      <c r="N32" s="16"/>
      <c r="O32" s="154"/>
      <c r="P32" s="27"/>
    </row>
    <row r="33" spans="1:16">
      <c r="A33" t="b">
        <f t="shared" si="0"/>
        <v>0</v>
      </c>
      <c r="B33" s="20" t="b">
        <f>B25</f>
        <v>0</v>
      </c>
      <c r="C33" s="17"/>
      <c r="D33" s="17"/>
      <c r="E33" s="17"/>
      <c r="F33" s="20" t="b">
        <f>F2</f>
        <v>1</v>
      </c>
      <c r="G33" s="17"/>
      <c r="H33" s="17"/>
      <c r="I33" s="17"/>
      <c r="J33" s="20" t="b">
        <f>J2</f>
        <v>0</v>
      </c>
      <c r="K33" s="17"/>
      <c r="L33" s="17"/>
      <c r="M33" s="17"/>
      <c r="N33" s="17"/>
      <c r="O33" s="113" t="b">
        <f>AND(AND(E33:N33),OR(Table11[[#This Row],[Oral]:[Vag Tab]]))</f>
        <v>0</v>
      </c>
      <c r="P33" s="118" t="s">
        <v>327</v>
      </c>
    </row>
    <row r="34" spans="1:16">
      <c r="A34" t="b">
        <f t="shared" si="0"/>
        <v>0</v>
      </c>
      <c r="B34" s="17"/>
      <c r="C34" s="20" t="b">
        <f>C4</f>
        <v>0</v>
      </c>
      <c r="D34" s="17"/>
      <c r="E34" s="17"/>
      <c r="F34" s="20" t="b">
        <f>F2</f>
        <v>1</v>
      </c>
      <c r="G34" s="17"/>
      <c r="H34" s="17"/>
      <c r="I34" s="17"/>
      <c r="J34" s="17"/>
      <c r="K34" s="17"/>
      <c r="L34" s="17"/>
      <c r="M34" s="20" t="b">
        <f>M7</f>
        <v>0</v>
      </c>
      <c r="N34" s="17"/>
      <c r="O34" s="113" t="b">
        <f>AND(AND(E34:N34),OR(Table11[[#This Row],[Oral]:[Vag Tab]]))</f>
        <v>0</v>
      </c>
      <c r="P34" s="118" t="s">
        <v>328</v>
      </c>
    </row>
    <row r="35" spans="1:16">
      <c r="A35" t="b">
        <f t="shared" si="0"/>
        <v>0</v>
      </c>
      <c r="B35" s="17"/>
      <c r="C35" s="20" t="b">
        <f>C4</f>
        <v>0</v>
      </c>
      <c r="D35" s="17"/>
      <c r="E35" s="17"/>
      <c r="F35" s="20" t="b">
        <f>F2</f>
        <v>1</v>
      </c>
      <c r="G35" s="17"/>
      <c r="H35" s="17"/>
      <c r="I35" s="17"/>
      <c r="J35" s="17"/>
      <c r="K35" s="17"/>
      <c r="L35" s="17"/>
      <c r="M35" s="17"/>
      <c r="N35" s="20" t="b">
        <f>N6</f>
        <v>0</v>
      </c>
      <c r="O35" s="113" t="b">
        <f>AND(AND(E35:N35),OR(Table11[[#This Row],[Oral]:[Vag Tab]]))</f>
        <v>0</v>
      </c>
      <c r="P35" s="118" t="s">
        <v>329</v>
      </c>
    </row>
    <row r="36" spans="1:16">
      <c r="A36" s="16" t="b">
        <f t="shared" si="0"/>
        <v>0</v>
      </c>
      <c r="B36" s="16"/>
      <c r="C36" s="16"/>
      <c r="D36" s="16"/>
      <c r="E36" s="16"/>
      <c r="F36" s="16"/>
      <c r="G36" s="16"/>
      <c r="H36" s="16"/>
      <c r="I36" s="16"/>
      <c r="J36" s="16"/>
      <c r="K36" s="16"/>
      <c r="L36" s="16"/>
      <c r="M36" s="16"/>
      <c r="N36" s="16"/>
      <c r="O36" s="154"/>
      <c r="P36" s="27"/>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13" t="b">
        <f>AND(AND(E37:N37),OR(Table11[[#This Row],[Oral]:[Vag Tab]]))</f>
        <v>0</v>
      </c>
      <c r="P37" s="114" t="s">
        <v>556</v>
      </c>
    </row>
    <row r="38" spans="1:16">
      <c r="A38" t="b">
        <f t="shared" si="0"/>
        <v>0</v>
      </c>
      <c r="B38" s="17"/>
      <c r="C38" s="20" t="b">
        <f>C4</f>
        <v>0</v>
      </c>
      <c r="D38" s="17"/>
      <c r="E38" s="17"/>
      <c r="F38" s="20" t="b">
        <f>F2</f>
        <v>1</v>
      </c>
      <c r="G38" s="17"/>
      <c r="H38" s="17"/>
      <c r="I38" s="20" t="b">
        <f>I37</f>
        <v>0</v>
      </c>
      <c r="J38" s="17"/>
      <c r="K38" s="17"/>
      <c r="L38" s="17"/>
      <c r="M38" s="17"/>
      <c r="N38" s="17"/>
      <c r="O38" s="113" t="b">
        <f>AND(AND(E38:N38),OR(Table11[[#This Row],[Oral]:[Vag Tab]]))</f>
        <v>0</v>
      </c>
      <c r="P38" s="114" t="s">
        <v>557</v>
      </c>
    </row>
    <row r="39" spans="1:16">
      <c r="A39" t="b">
        <f t="shared" si="0"/>
        <v>0</v>
      </c>
      <c r="B39" s="17"/>
      <c r="C39" s="20" t="b">
        <f>C4</f>
        <v>0</v>
      </c>
      <c r="D39" s="17"/>
      <c r="E39" s="17"/>
      <c r="F39" s="20" t="b">
        <f>F2</f>
        <v>1</v>
      </c>
      <c r="G39" s="17"/>
      <c r="H39" s="17"/>
      <c r="I39" s="20" t="b">
        <f>I37</f>
        <v>0</v>
      </c>
      <c r="J39" s="17"/>
      <c r="K39" s="17"/>
      <c r="L39" s="17"/>
      <c r="M39" s="17"/>
      <c r="N39" s="17"/>
      <c r="O39" s="113" t="b">
        <f>AND(AND(E39:N39),OR(Table11[[#This Row],[Oral]:[Vag Tab]]))</f>
        <v>0</v>
      </c>
      <c r="P39" s="114" t="s">
        <v>558</v>
      </c>
    </row>
    <row r="40" spans="1:16">
      <c r="A40" t="b">
        <f t="shared" si="0"/>
        <v>0</v>
      </c>
      <c r="B40" s="17"/>
      <c r="C40" s="20" t="b">
        <f>C4</f>
        <v>0</v>
      </c>
      <c r="D40" s="17"/>
      <c r="E40" s="17"/>
      <c r="F40" s="20" t="b">
        <f>F2</f>
        <v>1</v>
      </c>
      <c r="G40" s="17"/>
      <c r="H40" s="17"/>
      <c r="I40" s="20" t="b">
        <f>I37</f>
        <v>0</v>
      </c>
      <c r="J40" s="17"/>
      <c r="K40" s="17"/>
      <c r="L40" s="17"/>
      <c r="M40" s="17"/>
      <c r="N40" s="17"/>
      <c r="O40" s="113" t="b">
        <f>AND(AND(E40:N40),OR(Table11[[#This Row],[Oral]:[Vag Tab]]))</f>
        <v>0</v>
      </c>
      <c r="P40" s="114" t="s">
        <v>559</v>
      </c>
    </row>
    <row r="41" spans="1:16">
      <c r="A41" t="b">
        <f t="shared" si="0"/>
        <v>0</v>
      </c>
      <c r="B41" s="17"/>
      <c r="C41" s="20" t="b">
        <f>C4</f>
        <v>0</v>
      </c>
      <c r="D41" s="17"/>
      <c r="E41" s="17"/>
      <c r="F41" s="20" t="b">
        <f>F2</f>
        <v>1</v>
      </c>
      <c r="G41" s="17"/>
      <c r="H41" s="17"/>
      <c r="I41" s="20" t="b">
        <f>I37</f>
        <v>0</v>
      </c>
      <c r="J41" s="17"/>
      <c r="K41" s="17"/>
      <c r="L41" s="17"/>
      <c r="M41" s="17"/>
      <c r="N41" s="17"/>
      <c r="O41" s="113" t="b">
        <f>AND(AND(E41:N41),OR(Table11[[#This Row],[Oral]:[Vag Tab]]))</f>
        <v>0</v>
      </c>
      <c r="P41" s="114" t="s">
        <v>560</v>
      </c>
    </row>
    <row r="42" spans="1:16">
      <c r="A42" t="b">
        <f t="shared" si="0"/>
        <v>0</v>
      </c>
      <c r="B42" s="17"/>
      <c r="C42" s="20" t="b">
        <f>C4</f>
        <v>0</v>
      </c>
      <c r="D42" s="17"/>
      <c r="E42" s="17"/>
      <c r="F42" s="20" t="b">
        <f>F2</f>
        <v>1</v>
      </c>
      <c r="G42" s="17"/>
      <c r="H42" s="17"/>
      <c r="I42" s="20" t="b">
        <f>I37</f>
        <v>0</v>
      </c>
      <c r="J42" s="17"/>
      <c r="K42" s="17"/>
      <c r="L42" s="17"/>
      <c r="M42" s="17"/>
      <c r="N42" s="17"/>
      <c r="O42" s="113" t="b">
        <f>AND(AND(E42:N42),OR(Table11[[#This Row],[Oral]:[Vag Tab]]))</f>
        <v>0</v>
      </c>
      <c r="P42" s="114" t="s">
        <v>561</v>
      </c>
    </row>
    <row r="43" spans="1:16">
      <c r="A43" t="b">
        <f t="shared" si="0"/>
        <v>0</v>
      </c>
      <c r="B43" s="17"/>
      <c r="C43" s="20" t="b">
        <f>C4</f>
        <v>0</v>
      </c>
      <c r="D43" s="17"/>
      <c r="E43" s="17"/>
      <c r="F43" s="20" t="b">
        <f>F2</f>
        <v>1</v>
      </c>
      <c r="G43" s="17"/>
      <c r="H43" s="17"/>
      <c r="I43" s="20" t="b">
        <f>I37</f>
        <v>0</v>
      </c>
      <c r="J43" s="17"/>
      <c r="K43" s="17"/>
      <c r="L43" s="17"/>
      <c r="M43" s="17"/>
      <c r="N43" s="17"/>
      <c r="O43" s="113" t="b">
        <f>AND(AND(E43:N43),OR(Table11[[#This Row],[Oral]:[Vag Tab]]))</f>
        <v>0</v>
      </c>
      <c r="P43" s="114" t="s">
        <v>562</v>
      </c>
    </row>
    <row r="44" spans="1:16">
      <c r="A44" t="b">
        <f t="shared" si="0"/>
        <v>0</v>
      </c>
      <c r="B44" s="17"/>
      <c r="C44" s="20" t="b">
        <f>C4</f>
        <v>0</v>
      </c>
      <c r="D44" s="17"/>
      <c r="E44" s="17"/>
      <c r="F44" s="20" t="b">
        <f>F2</f>
        <v>1</v>
      </c>
      <c r="G44" s="17"/>
      <c r="H44" s="17"/>
      <c r="I44" s="20" t="b">
        <f>I37</f>
        <v>0</v>
      </c>
      <c r="J44" s="17"/>
      <c r="K44" s="17"/>
      <c r="L44" s="17"/>
      <c r="M44" s="17"/>
      <c r="N44" s="17"/>
      <c r="O44" s="113" t="b">
        <f>AND(AND(E44:N44),OR(Table11[[#This Row],[Oral]:[Vag Tab]]))</f>
        <v>0</v>
      </c>
      <c r="P44" s="114" t="s">
        <v>563</v>
      </c>
    </row>
    <row r="45" spans="1:16">
      <c r="A45" t="b">
        <f t="shared" si="0"/>
        <v>0</v>
      </c>
      <c r="B45" s="17"/>
      <c r="C45" s="20" t="b">
        <f>C4</f>
        <v>0</v>
      </c>
      <c r="D45" s="17"/>
      <c r="E45" s="17"/>
      <c r="F45" s="20" t="b">
        <f>F2</f>
        <v>1</v>
      </c>
      <c r="G45" s="17"/>
      <c r="H45" s="17"/>
      <c r="I45" s="20" t="b">
        <f>I37</f>
        <v>0</v>
      </c>
      <c r="J45" s="17"/>
      <c r="K45" s="17"/>
      <c r="L45" s="17"/>
      <c r="M45" s="17"/>
      <c r="N45" s="17"/>
      <c r="O45" s="113" t="b">
        <f>AND(AND(E45:N45),OR(Table11[[#This Row],[Oral]:[Vag Tab]]))</f>
        <v>0</v>
      </c>
      <c r="P45" s="114" t="s">
        <v>564</v>
      </c>
    </row>
    <row r="46" spans="1:16">
      <c r="A46" s="16" t="b">
        <f t="shared" si="0"/>
        <v>0</v>
      </c>
      <c r="B46" s="16"/>
      <c r="C46" s="16"/>
      <c r="D46" s="16"/>
      <c r="E46" s="16"/>
      <c r="F46" s="16"/>
      <c r="G46" s="16"/>
      <c r="H46" s="16"/>
      <c r="I46" s="16"/>
      <c r="J46" s="16"/>
      <c r="K46" s="16"/>
      <c r="L46" s="16"/>
      <c r="M46" s="16"/>
      <c r="N46" s="16"/>
      <c r="O46" s="154"/>
      <c r="P46" s="74"/>
    </row>
    <row r="47" spans="1:16">
      <c r="A47" t="b">
        <f t="shared" si="0"/>
        <v>0</v>
      </c>
      <c r="B47" s="17"/>
      <c r="C47" s="20" t="b">
        <f>C4</f>
        <v>0</v>
      </c>
      <c r="D47" s="17"/>
      <c r="E47" s="17"/>
      <c r="F47" s="20" t="b">
        <f>F2</f>
        <v>1</v>
      </c>
      <c r="G47" s="17"/>
      <c r="H47" s="17"/>
      <c r="I47" s="20" t="b">
        <f>I37</f>
        <v>0</v>
      </c>
      <c r="J47" s="17"/>
      <c r="K47" s="17"/>
      <c r="L47" s="17"/>
      <c r="M47" s="17"/>
      <c r="N47" s="17"/>
      <c r="O47" s="113" t="b">
        <f>AND(AND(E47:N47),OR(Table11[[#This Row],[Oral]:[Vag Tab]]))</f>
        <v>0</v>
      </c>
      <c r="P47" s="114" t="s">
        <v>565</v>
      </c>
    </row>
    <row r="48" spans="1:16">
      <c r="A48" t="b">
        <f t="shared" si="0"/>
        <v>0</v>
      </c>
      <c r="B48" s="17"/>
      <c r="C48" s="20" t="b">
        <f>C4</f>
        <v>0</v>
      </c>
      <c r="D48" s="17"/>
      <c r="E48" s="17"/>
      <c r="F48" s="20" t="b">
        <f>F2</f>
        <v>1</v>
      </c>
      <c r="G48" s="17"/>
      <c r="H48" s="17"/>
      <c r="I48" s="20" t="b">
        <f>I37</f>
        <v>0</v>
      </c>
      <c r="J48" s="17"/>
      <c r="K48" s="17"/>
      <c r="L48" s="17"/>
      <c r="M48" s="17"/>
      <c r="N48" s="17"/>
      <c r="O48" s="113" t="b">
        <f>AND(AND(E48:N48),OR(Table11[[#This Row],[Oral]:[Vag Tab]]))</f>
        <v>0</v>
      </c>
      <c r="P48" s="114" t="s">
        <v>566</v>
      </c>
    </row>
    <row r="49" spans="1:16">
      <c r="A49" t="b">
        <f t="shared" si="0"/>
        <v>0</v>
      </c>
      <c r="B49" s="17"/>
      <c r="C49" s="20" t="b">
        <f>C4</f>
        <v>0</v>
      </c>
      <c r="D49" s="17"/>
      <c r="E49" s="17"/>
      <c r="F49" s="20" t="b">
        <f>F2</f>
        <v>1</v>
      </c>
      <c r="G49" s="17"/>
      <c r="H49" s="17"/>
      <c r="I49" s="20" t="b">
        <f>I37</f>
        <v>0</v>
      </c>
      <c r="J49" s="17"/>
      <c r="K49" s="17"/>
      <c r="L49" s="17"/>
      <c r="M49" s="17"/>
      <c r="N49" s="17"/>
      <c r="O49" s="113" t="b">
        <f>AND(AND(E49:N49),OR(Table11[[#This Row],[Oral]:[Vag Tab]]))</f>
        <v>0</v>
      </c>
      <c r="P49" s="114" t="s">
        <v>567</v>
      </c>
    </row>
    <row r="50" spans="1:16">
      <c r="A50" t="b">
        <f t="shared" si="0"/>
        <v>0</v>
      </c>
      <c r="B50" s="17"/>
      <c r="C50" s="20" t="b">
        <f>C4</f>
        <v>0</v>
      </c>
      <c r="D50" s="17"/>
      <c r="E50" s="17"/>
      <c r="F50" s="20" t="b">
        <f>F2</f>
        <v>1</v>
      </c>
      <c r="G50" s="17"/>
      <c r="H50" s="17"/>
      <c r="I50" s="20" t="b">
        <f>I37</f>
        <v>0</v>
      </c>
      <c r="J50" s="17"/>
      <c r="K50" s="17"/>
      <c r="L50" s="17"/>
      <c r="M50" s="17"/>
      <c r="N50" s="17"/>
      <c r="O50" s="113" t="b">
        <f>AND(AND(E50:N50),OR(Table11[[#This Row],[Oral]:[Vag Tab]]))</f>
        <v>0</v>
      </c>
      <c r="P50" s="114" t="s">
        <v>568</v>
      </c>
    </row>
    <row r="51" spans="1:16">
      <c r="A51" t="b">
        <f t="shared" si="0"/>
        <v>0</v>
      </c>
      <c r="B51" s="17"/>
      <c r="C51" s="20" t="b">
        <f>C4</f>
        <v>0</v>
      </c>
      <c r="D51" s="17"/>
      <c r="E51" s="17"/>
      <c r="F51" s="20" t="b">
        <f>F2</f>
        <v>1</v>
      </c>
      <c r="G51" s="17"/>
      <c r="H51" s="17"/>
      <c r="I51" s="20" t="b">
        <f>I37</f>
        <v>0</v>
      </c>
      <c r="J51" s="17"/>
      <c r="K51" s="17"/>
      <c r="L51" s="17"/>
      <c r="M51" s="17"/>
      <c r="N51" s="17"/>
      <c r="O51" s="113" t="b">
        <f>AND(AND(E51:N51),OR(Table11[[#This Row],[Oral]:[Vag Tab]]))</f>
        <v>0</v>
      </c>
      <c r="P51" s="114" t="s">
        <v>570</v>
      </c>
    </row>
    <row r="52" spans="1:16">
      <c r="A52" t="b">
        <f t="shared" si="0"/>
        <v>0</v>
      </c>
      <c r="B52" s="17"/>
      <c r="C52" s="20" t="b">
        <f>C4</f>
        <v>0</v>
      </c>
      <c r="D52" s="17"/>
      <c r="E52" s="17"/>
      <c r="F52" s="20" t="b">
        <f>F2</f>
        <v>1</v>
      </c>
      <c r="G52" s="17"/>
      <c r="H52" s="17"/>
      <c r="I52" s="20" t="b">
        <f>I37</f>
        <v>0</v>
      </c>
      <c r="J52" s="17"/>
      <c r="K52" s="17"/>
      <c r="L52" s="17"/>
      <c r="M52" s="17"/>
      <c r="N52" s="17"/>
      <c r="O52" s="113" t="b">
        <f>AND(AND(E52:N52),OR(Table11[[#This Row],[Oral]:[Vag Tab]]))</f>
        <v>0</v>
      </c>
      <c r="P52" s="114" t="s">
        <v>571</v>
      </c>
    </row>
    <row r="53" spans="1:16">
      <c r="A53" t="b">
        <f t="shared" si="0"/>
        <v>0</v>
      </c>
      <c r="B53" s="17"/>
      <c r="C53" s="20" t="b">
        <f>C4</f>
        <v>0</v>
      </c>
      <c r="D53" s="17"/>
      <c r="E53" s="17"/>
      <c r="F53" s="20" t="b">
        <f>F2</f>
        <v>1</v>
      </c>
      <c r="G53" s="17"/>
      <c r="H53" s="17"/>
      <c r="I53" s="20" t="b">
        <f>I37</f>
        <v>0</v>
      </c>
      <c r="J53" s="17"/>
      <c r="K53" s="17"/>
      <c r="L53" s="17"/>
      <c r="M53" s="17"/>
      <c r="N53" s="17"/>
      <c r="O53" s="113" t="b">
        <f>AND(AND(E53:N53),OR(Table11[[#This Row],[Oral]:[Vag Tab]]))</f>
        <v>0</v>
      </c>
      <c r="P53" s="114" t="s">
        <v>569</v>
      </c>
    </row>
    <row r="54" spans="1:16">
      <c r="A54" s="16" t="b">
        <f t="shared" si="0"/>
        <v>0</v>
      </c>
      <c r="B54" s="16"/>
      <c r="C54" s="16"/>
      <c r="D54" s="16"/>
      <c r="E54" s="16"/>
      <c r="F54" s="16"/>
      <c r="G54" s="16"/>
      <c r="H54" s="16"/>
      <c r="I54" s="16"/>
      <c r="J54" s="16"/>
      <c r="K54" s="16"/>
      <c r="L54" s="16"/>
      <c r="M54" s="16"/>
      <c r="N54" s="16"/>
      <c r="O54" s="154"/>
      <c r="P54" s="27"/>
    </row>
    <row r="55" spans="1:16">
      <c r="A55" t="b">
        <f t="shared" si="0"/>
        <v>0</v>
      </c>
      <c r="B55" s="17"/>
      <c r="C55" s="20" t="b">
        <f>C4</f>
        <v>0</v>
      </c>
      <c r="D55" s="17"/>
      <c r="E55" s="17"/>
      <c r="F55" s="20" t="b">
        <f>F2</f>
        <v>1</v>
      </c>
      <c r="G55" s="17"/>
      <c r="H55" s="20" t="b">
        <f>H4</f>
        <v>0</v>
      </c>
      <c r="I55" s="17"/>
      <c r="J55" s="17"/>
      <c r="K55" s="17"/>
      <c r="L55" s="17"/>
      <c r="M55" s="17"/>
      <c r="N55" s="17"/>
      <c r="O55" s="113" t="b">
        <f>AND(AND(E55:N55),OR(Table11[[#This Row],[Oral]:[Vag Tab]]))</f>
        <v>0</v>
      </c>
      <c r="P55" s="114" t="s">
        <v>572</v>
      </c>
    </row>
    <row r="56" spans="1:16">
      <c r="A56" t="b">
        <f t="shared" si="0"/>
        <v>0</v>
      </c>
      <c r="B56" s="17"/>
      <c r="C56" s="20" t="b">
        <f>C4</f>
        <v>0</v>
      </c>
      <c r="D56" s="17"/>
      <c r="E56" s="17"/>
      <c r="F56" s="20" t="b">
        <f>F2</f>
        <v>1</v>
      </c>
      <c r="G56" s="17"/>
      <c r="H56" s="19"/>
      <c r="I56" s="20" t="b">
        <f>I37</f>
        <v>0</v>
      </c>
      <c r="J56" s="17"/>
      <c r="K56" s="17"/>
      <c r="L56" s="17"/>
      <c r="M56" s="17"/>
      <c r="N56" s="17"/>
      <c r="O56" s="113" t="b">
        <f>AND(AND(E56:N56),OR(Table11[[#This Row],[Oral]:[Vag Tab]]))</f>
        <v>0</v>
      </c>
      <c r="P56" s="114" t="s">
        <v>573</v>
      </c>
    </row>
    <row r="57" spans="1:16">
      <c r="A57" t="b">
        <f t="shared" si="0"/>
        <v>0</v>
      </c>
      <c r="B57" s="17"/>
      <c r="C57" s="20" t="b">
        <f>C4</f>
        <v>0</v>
      </c>
      <c r="D57" s="17"/>
      <c r="E57" s="17"/>
      <c r="F57" s="20" t="b">
        <f>F2</f>
        <v>1</v>
      </c>
      <c r="G57" s="17"/>
      <c r="H57" s="67" t="b">
        <f>H4</f>
        <v>0</v>
      </c>
      <c r="I57" s="17"/>
      <c r="J57" s="17"/>
      <c r="K57" s="17"/>
      <c r="L57" s="17"/>
      <c r="M57" s="17"/>
      <c r="N57" s="17"/>
      <c r="O57" s="113" t="b">
        <f>AND(AND(E57:N57),OR(Table11[[#This Row],[Oral]:[Vag Tab]]))</f>
        <v>0</v>
      </c>
      <c r="P57" s="114" t="s">
        <v>574</v>
      </c>
    </row>
    <row r="58" spans="1:16">
      <c r="A58" s="16" t="b">
        <f t="shared" si="0"/>
        <v>0</v>
      </c>
      <c r="B58" s="16"/>
      <c r="C58" s="16"/>
      <c r="D58" s="16"/>
      <c r="E58" s="16"/>
      <c r="F58" s="16"/>
      <c r="G58" s="16"/>
      <c r="H58" s="18"/>
      <c r="I58" s="16"/>
      <c r="J58" s="16"/>
      <c r="K58" s="16"/>
      <c r="L58" s="16"/>
      <c r="M58" s="16"/>
      <c r="N58" s="16"/>
      <c r="O58" s="154"/>
      <c r="P58" s="74"/>
    </row>
    <row r="59" spans="1:16">
      <c r="A59" t="b">
        <f t="shared" si="0"/>
        <v>0</v>
      </c>
      <c r="B59" s="17"/>
      <c r="C59" s="20" t="b">
        <f>C4</f>
        <v>0</v>
      </c>
      <c r="D59" s="17"/>
      <c r="E59" s="17"/>
      <c r="F59" s="20" t="b">
        <f>F2</f>
        <v>1</v>
      </c>
      <c r="G59" s="17"/>
      <c r="H59" s="20" t="b">
        <f>H4</f>
        <v>0</v>
      </c>
      <c r="I59" s="17"/>
      <c r="J59" s="17"/>
      <c r="K59" s="17"/>
      <c r="L59" s="17"/>
      <c r="M59" s="17"/>
      <c r="N59" s="17"/>
      <c r="O59" s="113" t="b">
        <f>AND(AND(E59:N59),OR(Table11[[#This Row],[Oral]:[Vag Tab]]))</f>
        <v>0</v>
      </c>
      <c r="P59" s="117" t="s">
        <v>555</v>
      </c>
    </row>
    <row r="60" spans="1:16">
      <c r="A60" s="16" t="b">
        <f t="shared" si="0"/>
        <v>0</v>
      </c>
      <c r="B60" s="16"/>
      <c r="C60" s="16"/>
      <c r="D60" s="16"/>
      <c r="E60" s="16"/>
      <c r="F60" s="16"/>
      <c r="G60" s="16"/>
      <c r="H60" s="16"/>
      <c r="I60" s="16"/>
      <c r="J60" s="16"/>
      <c r="K60" s="16"/>
      <c r="L60" s="16"/>
      <c r="M60" s="16"/>
      <c r="N60" s="16"/>
      <c r="O60" s="154"/>
      <c r="P60" s="27"/>
    </row>
    <row r="61" spans="1:16">
      <c r="A61" t="b">
        <f t="shared" si="0"/>
        <v>0</v>
      </c>
      <c r="B61" s="17"/>
      <c r="C61" s="17"/>
      <c r="D61" s="20" t="b">
        <f>D2</f>
        <v>0</v>
      </c>
      <c r="E61" s="17"/>
      <c r="F61" s="20" t="b">
        <f>F2</f>
        <v>1</v>
      </c>
      <c r="G61" s="17"/>
      <c r="H61" s="17"/>
      <c r="I61" s="17"/>
      <c r="J61" s="20" t="b">
        <f>J2</f>
        <v>0</v>
      </c>
      <c r="K61" s="17"/>
      <c r="L61" s="17"/>
      <c r="M61" s="17"/>
      <c r="N61" s="17"/>
      <c r="O61" s="113" t="b">
        <f>AND(AND(E61:N61),OR(Table11[[#This Row],[Oral]:[Vag Tab]]))</f>
        <v>0</v>
      </c>
      <c r="P61" s="114" t="s">
        <v>705</v>
      </c>
    </row>
    <row r="62" spans="1:16">
      <c r="A62" s="16" t="b">
        <f>IF(O62,P62)</f>
        <v>0</v>
      </c>
      <c r="B62" s="16"/>
      <c r="C62" s="16"/>
      <c r="D62" s="16"/>
      <c r="E62" s="16"/>
      <c r="F62" s="16"/>
      <c r="G62" s="16"/>
      <c r="H62" s="16"/>
      <c r="I62" s="16"/>
      <c r="J62" s="16"/>
      <c r="K62" s="16"/>
      <c r="L62" s="16"/>
      <c r="M62" s="16"/>
      <c r="N62" s="16"/>
      <c r="O62" s="154"/>
      <c r="P62" s="27"/>
    </row>
    <row r="63" spans="1:16">
      <c r="A63" t="b">
        <f>IF(O63,P63)</f>
        <v>0</v>
      </c>
      <c r="B63" s="17"/>
      <c r="C63" s="17"/>
      <c r="D63" s="20" t="b">
        <f>D2</f>
        <v>0</v>
      </c>
      <c r="E63" s="17"/>
      <c r="F63" s="20" t="b">
        <f>F2</f>
        <v>1</v>
      </c>
      <c r="G63" s="17"/>
      <c r="H63" s="17"/>
      <c r="I63" s="17"/>
      <c r="J63" s="17"/>
      <c r="K63" s="20" t="b">
        <f>K22</f>
        <v>0</v>
      </c>
      <c r="L63" s="17"/>
      <c r="M63" s="17"/>
      <c r="N63" s="17"/>
      <c r="O63" s="113" t="b">
        <f>AND(AND(E63:N63),OR(Table11[[#This Row],[Oral]:[Vag Tab]]))</f>
        <v>0</v>
      </c>
      <c r="P63" s="145" t="s">
        <v>1298</v>
      </c>
    </row>
    <row r="64" spans="1:16">
      <c r="A64" s="16" t="b">
        <f>IF(O64,P64)</f>
        <v>0</v>
      </c>
      <c r="B64" s="16"/>
      <c r="C64" s="16"/>
      <c r="D64" s="16"/>
      <c r="E64" s="16"/>
      <c r="F64" s="16"/>
      <c r="G64" s="16"/>
      <c r="H64" s="16"/>
      <c r="I64" s="16"/>
      <c r="J64" s="16"/>
      <c r="K64" s="16"/>
      <c r="L64" s="16"/>
      <c r="M64" s="16"/>
      <c r="N64" s="16"/>
      <c r="O64" s="154"/>
      <c r="P64" s="154"/>
    </row>
    <row r="65" spans="1:16">
      <c r="A65" t="b">
        <f>IF(O65,P65)</f>
        <v>0</v>
      </c>
      <c r="B65" s="20" t="b">
        <f>B25</f>
        <v>0</v>
      </c>
      <c r="C65" s="17"/>
      <c r="D65" s="17"/>
      <c r="E65" s="17"/>
      <c r="F65" s="20" t="b">
        <f>F2</f>
        <v>1</v>
      </c>
      <c r="G65" s="17"/>
      <c r="H65" s="17"/>
      <c r="I65" s="17"/>
      <c r="J65" s="17"/>
      <c r="K65" s="17"/>
      <c r="L65" s="20" t="b">
        <f>AND('Vaginal Criteria'!B4,'Vaginal Criteria'!B12)</f>
        <v>0</v>
      </c>
      <c r="M65" s="17"/>
      <c r="N65" s="17"/>
      <c r="O65" s="113" t="b">
        <f>AND(AND(E65:N65),OR(Table11[[#This Row],[Oral]:[Vag Tab]]))</f>
        <v>0</v>
      </c>
      <c r="P65" s="29" t="s">
        <v>1299</v>
      </c>
    </row>
    <row r="66" spans="1:16">
      <c r="A66" s="16" t="b">
        <f t="shared" ref="A66" si="2">IF(O66,P66)</f>
        <v>0</v>
      </c>
      <c r="B66" s="16"/>
      <c r="C66" s="16"/>
      <c r="D66" s="16"/>
      <c r="E66" s="16"/>
      <c r="F66" s="16"/>
      <c r="G66" s="16"/>
      <c r="H66" s="16"/>
      <c r="I66" s="16"/>
      <c r="J66" s="16"/>
      <c r="K66" s="16"/>
      <c r="L66" s="16"/>
      <c r="M66" s="16"/>
      <c r="N66" s="16"/>
      <c r="O66" s="154"/>
      <c r="P66" s="154"/>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1" sqref="A31"/>
    </sheetView>
  </sheetViews>
  <sheetFormatPr defaultRowHeight="15"/>
  <cols>
    <col min="1" max="1" width="77.5703125" customWidth="1"/>
    <col min="3" max="4" width="9.140625" style="87"/>
    <col min="5" max="5" width="18.7109375" customWidth="1"/>
  </cols>
  <sheetData>
    <row r="1" spans="1:7" ht="15.75" thickTop="1">
      <c r="A1" s="83" t="s">
        <v>15</v>
      </c>
      <c r="B1" s="7" t="s">
        <v>18</v>
      </c>
      <c r="E1" s="8" t="s">
        <v>19</v>
      </c>
    </row>
    <row r="2" spans="1:7" ht="15.75" thickBot="1">
      <c r="B2" s="4"/>
      <c r="E2" s="4"/>
    </row>
    <row r="3" spans="1:7" ht="15.75" thickBot="1">
      <c r="A3" s="158" t="s">
        <v>12</v>
      </c>
      <c r="B3" s="33" t="b">
        <v>0</v>
      </c>
      <c r="C3" s="87" t="b">
        <f>NOT(B3)</f>
        <v>1</v>
      </c>
      <c r="D3" s="87" t="b">
        <f>AND(C11,B19,B28,B4,OR(B3:C3))</f>
        <v>0</v>
      </c>
      <c r="E3" s="4" t="b">
        <f>IF(D3,random!K7)</f>
        <v>0</v>
      </c>
    </row>
    <row r="4" spans="1:7" ht="15.75" thickBot="1">
      <c r="A4" s="158" t="s">
        <v>13</v>
      </c>
      <c r="B4" s="33" t="b">
        <v>0</v>
      </c>
      <c r="C4" s="87" t="b">
        <f t="shared" ref="C4:C14" si="0">NOT(B4)</f>
        <v>1</v>
      </c>
      <c r="D4" s="87" t="b">
        <f>AND(C8,B28,OR(B3:C4),OR(B18:B19))</f>
        <v>0</v>
      </c>
      <c r="E4" s="4" t="b">
        <f>IF(D4,random!K8)</f>
        <v>0</v>
      </c>
    </row>
    <row r="5" spans="1:7" ht="15.75" thickBot="1">
      <c r="A5" s="161" t="s">
        <v>457</v>
      </c>
      <c r="B5" s="33" t="b">
        <v>0</v>
      </c>
      <c r="C5" s="87" t="b">
        <f t="shared" si="0"/>
        <v>1</v>
      </c>
      <c r="D5" s="87" t="b">
        <f>AND(B19,B31,B29,OR(B3:C4))</f>
        <v>0</v>
      </c>
      <c r="E5" s="4" t="b">
        <f>IF(D5,random!K9)</f>
        <v>0</v>
      </c>
    </row>
    <row r="6" spans="1:7" ht="15.75" thickBot="1">
      <c r="A6" s="161" t="s">
        <v>23</v>
      </c>
      <c r="B6" s="33" t="b">
        <v>0</v>
      </c>
      <c r="C6" s="87" t="b">
        <f t="shared" si="0"/>
        <v>1</v>
      </c>
      <c r="D6" s="87" t="b">
        <f>AND(B19,B27,C3,OR(B4:C4))</f>
        <v>0</v>
      </c>
      <c r="E6" s="4" t="b">
        <f>IF(D6,random!K10)</f>
        <v>0</v>
      </c>
    </row>
    <row r="7" spans="1:7" ht="15.75" thickBot="1">
      <c r="A7" s="161" t="s">
        <v>387</v>
      </c>
      <c r="B7" s="33" t="b">
        <v>0</v>
      </c>
      <c r="C7" s="87" t="b">
        <f t="shared" si="0"/>
        <v>1</v>
      </c>
      <c r="D7" s="87" t="b">
        <f>AND(C3,B27,B19,OR(B4:C4))</f>
        <v>0</v>
      </c>
      <c r="E7" s="4" t="b">
        <f>IF(D7,random!K11)</f>
        <v>0</v>
      </c>
    </row>
    <row r="8" spans="1:7" ht="15.75" thickBot="1">
      <c r="A8" s="161" t="s">
        <v>585</v>
      </c>
      <c r="B8" s="33" t="b">
        <v>0</v>
      </c>
      <c r="C8" s="87" t="b">
        <f t="shared" si="0"/>
        <v>1</v>
      </c>
      <c r="D8" s="87" t="b">
        <f>AND(C3,C11,B20,B27,OR(B4:C4))</f>
        <v>0</v>
      </c>
      <c r="E8" s="4" t="b">
        <f>IF(D8,random!K12)</f>
        <v>0</v>
      </c>
    </row>
    <row r="9" spans="1:7" ht="15.75" thickBot="1">
      <c r="A9" s="158" t="s">
        <v>385</v>
      </c>
      <c r="B9" s="33" t="b">
        <v>0</v>
      </c>
      <c r="C9" s="87" t="b">
        <f t="shared" si="0"/>
        <v>1</v>
      </c>
      <c r="D9" s="87" t="b">
        <f>AND(C9,C5,C6,B20,B27,OR(B3:C4))</f>
        <v>0</v>
      </c>
      <c r="E9" s="4" t="b">
        <f>IF(D9,random!K13)</f>
        <v>0</v>
      </c>
    </row>
    <row r="10" spans="1:7" ht="15.75" thickBot="1">
      <c r="A10" s="161" t="s">
        <v>17</v>
      </c>
      <c r="B10" s="33" t="b">
        <v>0</v>
      </c>
      <c r="C10" s="87" t="b">
        <f t="shared" si="0"/>
        <v>1</v>
      </c>
      <c r="D10" s="87" t="b">
        <f>AND(C11,OR(B21,B19,B22,B27,B28))</f>
        <v>0</v>
      </c>
      <c r="E10" s="137" t="b">
        <f>IF(D10,random!K14)</f>
        <v>0</v>
      </c>
    </row>
    <row r="11" spans="1:7" ht="15.75" thickBot="1">
      <c r="A11" s="158" t="s">
        <v>1116</v>
      </c>
      <c r="B11" s="33" t="b">
        <v>0</v>
      </c>
      <c r="C11" s="87" t="b">
        <f t="shared" si="0"/>
        <v>1</v>
      </c>
      <c r="D11" s="87" t="b">
        <f>AND(C3,B4,B18,OR(B27,B28))</f>
        <v>0</v>
      </c>
      <c r="E11" s="4" t="b">
        <f>IF(D11,random!K15)</f>
        <v>0</v>
      </c>
      <c r="G11" s="2"/>
    </row>
    <row r="12" spans="1:7" ht="15.75" thickBot="1">
      <c r="A12" s="158" t="s">
        <v>589</v>
      </c>
      <c r="B12" s="33" t="b">
        <v>0</v>
      </c>
      <c r="C12" s="87" t="b">
        <f t="shared" si="0"/>
        <v>1</v>
      </c>
      <c r="D12" s="87" t="b">
        <f>AND(C11,B21,B29,OR(B3:C4))</f>
        <v>0</v>
      </c>
      <c r="E12" s="4" t="b">
        <f>IF(D12,random!K16)</f>
        <v>0</v>
      </c>
      <c r="G12" s="2"/>
    </row>
    <row r="13" spans="1:7" ht="15.75" thickBot="1">
      <c r="A13" s="158" t="s">
        <v>1881</v>
      </c>
      <c r="B13" s="33" t="b">
        <v>0</v>
      </c>
      <c r="E13" s="4" t="b">
        <f>IF(D14,random!K17)</f>
        <v>0</v>
      </c>
      <c r="G13" s="2"/>
    </row>
    <row r="14" spans="1:7" ht="15.75" thickBot="1">
      <c r="A14" s="158" t="s">
        <v>1876</v>
      </c>
      <c r="B14" s="33" t="b">
        <v>0</v>
      </c>
      <c r="C14" s="87" t="b">
        <f t="shared" si="0"/>
        <v>1</v>
      </c>
      <c r="D14" s="87" t="b">
        <f>AND(B4,B21,B27,OR(B3:C3))</f>
        <v>0</v>
      </c>
      <c r="E14" s="4" t="b">
        <f>IF(D15,random!K18)</f>
        <v>0</v>
      </c>
      <c r="G14" s="2"/>
    </row>
    <row r="15" spans="1:7" ht="15.75" thickBot="1">
      <c r="A15" s="78"/>
      <c r="B15" s="79"/>
      <c r="D15" s="87" t="b">
        <f>AND(B21,B27,B4,OR(B3:C3))</f>
        <v>0</v>
      </c>
      <c r="E15" s="4" t="b">
        <f>IF(D16,random!K19)</f>
        <v>0</v>
      </c>
      <c r="G15" s="2"/>
    </row>
    <row r="16" spans="1:7" ht="15.75" thickTop="1">
      <c r="A16" s="82" t="s">
        <v>14</v>
      </c>
      <c r="B16" s="7" t="s">
        <v>18</v>
      </c>
      <c r="D16" s="87" t="b">
        <f>AND(B4,B23,B27,OR(B3:C3))</f>
        <v>0</v>
      </c>
      <c r="E16" s="4" t="b">
        <f>IF(D18,random!K22)</f>
        <v>0</v>
      </c>
      <c r="G16" s="2"/>
    </row>
    <row r="17" spans="1:7" ht="15.75" thickBot="1">
      <c r="A17" s="81"/>
      <c r="B17" s="6"/>
      <c r="D17" s="87" t="e">
        <f>AND(B4,#REF!,OR(B3:C3))</f>
        <v>#REF!</v>
      </c>
      <c r="E17" s="4" t="b">
        <f>IF(D19,random!K23)</f>
        <v>0</v>
      </c>
      <c r="G17" s="2"/>
    </row>
    <row r="18" spans="1:7" ht="16.5" thickTop="1" thickBot="1">
      <c r="A18" s="1" t="s">
        <v>469</v>
      </c>
      <c r="B18" s="33" t="b">
        <v>0</v>
      </c>
      <c r="C18" s="216" t="b">
        <f>NOT(B18)</f>
        <v>1</v>
      </c>
      <c r="D18" s="87" t="b">
        <f>AND(C3,B4,B19)</f>
        <v>0</v>
      </c>
      <c r="E18" s="4" t="b">
        <f>IF(D20,random!K24)</f>
        <v>0</v>
      </c>
    </row>
    <row r="19" spans="1:7" ht="15.75" thickBot="1">
      <c r="A19" s="1" t="s">
        <v>470</v>
      </c>
      <c r="B19" s="33" t="b">
        <v>0</v>
      </c>
      <c r="C19" s="216" t="b">
        <f t="shared" ref="C19:C23" si="1">NOT(B19)</f>
        <v>1</v>
      </c>
      <c r="D19" s="87" t="b">
        <f>AND(C3,B19,OR(B4:C4))</f>
        <v>0</v>
      </c>
      <c r="E19" s="137" t="b">
        <f>IF(D21,random!K25)</f>
        <v>0</v>
      </c>
    </row>
    <row r="20" spans="1:7" ht="15.75" thickBot="1">
      <c r="A20" s="1" t="s">
        <v>471</v>
      </c>
      <c r="B20" s="33" t="b">
        <v>0</v>
      </c>
      <c r="C20" s="216" t="b">
        <f t="shared" si="1"/>
        <v>1</v>
      </c>
      <c r="D20" s="87" t="b">
        <f>AND(C12,B27,OR(B18,B23,B3:C4))</f>
        <v>0</v>
      </c>
      <c r="E20" s="48" t="b">
        <f>IF(D22,random!K26)</f>
        <v>0</v>
      </c>
    </row>
    <row r="21" spans="1:7" ht="15.75" thickBot="1">
      <c r="A21" s="1" t="s">
        <v>472</v>
      </c>
      <c r="B21" s="33" t="b">
        <v>0</v>
      </c>
      <c r="C21" s="216" t="b">
        <f t="shared" si="1"/>
        <v>1</v>
      </c>
      <c r="D21" s="87" t="b">
        <f>AND(C7,C3,OR(B27:B28,B18,B20,B21))</f>
        <v>0</v>
      </c>
    </row>
    <row r="22" spans="1:7" ht="15.75" thickBot="1">
      <c r="A22" s="1" t="s">
        <v>583</v>
      </c>
      <c r="B22" s="33" t="b">
        <v>0</v>
      </c>
      <c r="C22" s="216" t="b">
        <f t="shared" si="1"/>
        <v>1</v>
      </c>
      <c r="D22" s="87" t="b">
        <f>AND(B18,B21,B23,OR(B3:C4))</f>
        <v>0</v>
      </c>
    </row>
    <row r="23" spans="1:7" ht="15.75" thickBot="1">
      <c r="A23" s="1" t="s">
        <v>586</v>
      </c>
      <c r="B23" s="33" t="b">
        <v>0</v>
      </c>
      <c r="C23" s="216" t="b">
        <f t="shared" si="1"/>
        <v>1</v>
      </c>
    </row>
    <row r="24" spans="1:7" ht="15.75" thickBot="1"/>
    <row r="25" spans="1:7" ht="15.75" thickTop="1">
      <c r="A25" s="82" t="s">
        <v>584</v>
      </c>
      <c r="B25" s="7" t="s">
        <v>18</v>
      </c>
    </row>
    <row r="26" spans="1:7" ht="15.75" thickBot="1">
      <c r="A26" s="84"/>
      <c r="B26" s="47"/>
    </row>
    <row r="27" spans="1:7" ht="16.5" thickTop="1" thickBot="1">
      <c r="A27" s="175" t="s">
        <v>787</v>
      </c>
      <c r="B27" s="80" t="b">
        <v>0</v>
      </c>
      <c r="C27" s="87" t="b">
        <f>NOT(B27)</f>
        <v>1</v>
      </c>
    </row>
    <row r="28" spans="1:7" ht="15.75" thickBot="1">
      <c r="A28" s="172" t="s">
        <v>406</v>
      </c>
      <c r="B28" s="33" t="b">
        <v>0</v>
      </c>
      <c r="C28" s="87" t="b">
        <f t="shared" ref="C28:C31" si="2">NOT(B28)</f>
        <v>1</v>
      </c>
    </row>
    <row r="29" spans="1:7" ht="15.75" thickBot="1">
      <c r="A29" s="165" t="s">
        <v>407</v>
      </c>
      <c r="B29" s="33" t="b">
        <v>0</v>
      </c>
      <c r="C29" s="87" t="b">
        <f t="shared" si="2"/>
        <v>1</v>
      </c>
    </row>
    <row r="30" spans="1:7" ht="15.75" thickBot="1">
      <c r="A30" s="165" t="s">
        <v>794</v>
      </c>
      <c r="B30" s="33" t="b">
        <v>0</v>
      </c>
      <c r="C30" s="87" t="b">
        <f t="shared" si="2"/>
        <v>1</v>
      </c>
    </row>
    <row r="31" spans="1:7" ht="15.75" thickBot="1">
      <c r="A31" s="172" t="s">
        <v>788</v>
      </c>
      <c r="B31" s="33" t="b">
        <v>0</v>
      </c>
      <c r="C31" s="87"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23"/>
  <sheetViews>
    <sheetView topLeftCell="E1" workbookViewId="0">
      <selection activeCell="AD54" sqref="AD54"/>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3.140625" customWidth="1"/>
  </cols>
  <sheetData>
    <row r="1" spans="1:32">
      <c r="A1" s="70" t="s">
        <v>1212</v>
      </c>
      <c r="B1" s="124" t="s">
        <v>1845</v>
      </c>
      <c r="C1" s="124" t="s">
        <v>1880</v>
      </c>
      <c r="D1" s="124" t="s">
        <v>1658</v>
      </c>
      <c r="E1" s="124" t="s">
        <v>906</v>
      </c>
      <c r="F1" s="124" t="s">
        <v>1838</v>
      </c>
      <c r="G1" s="124" t="s">
        <v>1422</v>
      </c>
      <c r="H1" s="124" t="s">
        <v>1873</v>
      </c>
      <c r="I1" s="124" t="s">
        <v>1874</v>
      </c>
      <c r="J1" s="124" t="s">
        <v>1875</v>
      </c>
      <c r="K1" t="s">
        <v>373</v>
      </c>
      <c r="L1" t="s">
        <v>518</v>
      </c>
      <c r="M1" t="s">
        <v>374</v>
      </c>
      <c r="N1" t="s">
        <v>375</v>
      </c>
      <c r="O1" t="s">
        <v>376</v>
      </c>
      <c r="P1" t="s">
        <v>418</v>
      </c>
      <c r="Q1" t="s">
        <v>428</v>
      </c>
      <c r="R1" s="204" t="s">
        <v>1879</v>
      </c>
      <c r="S1" s="204" t="s">
        <v>1878</v>
      </c>
      <c r="T1" s="204" t="s">
        <v>1877</v>
      </c>
      <c r="U1" t="s">
        <v>377</v>
      </c>
      <c r="V1" t="s">
        <v>378</v>
      </c>
      <c r="W1" t="s">
        <v>477</v>
      </c>
      <c r="X1" t="s">
        <v>379</v>
      </c>
      <c r="Y1" t="s">
        <v>380</v>
      </c>
      <c r="Z1" s="204" t="s">
        <v>512</v>
      </c>
      <c r="AA1" t="s">
        <v>491</v>
      </c>
      <c r="AB1" t="s">
        <v>492</v>
      </c>
      <c r="AC1" s="204"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11"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11"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11"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11"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11"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9"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9"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9"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9"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9"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9"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9"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9"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9"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9"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9"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9"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9"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9"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9"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9"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9"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9"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9"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9"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9"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9"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9"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9"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9"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9"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9"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9"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9"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40"/>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9"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9"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9"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9"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11"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11"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11"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11"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11"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9"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9"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9"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9"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9"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9"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9"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9"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9"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11"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9"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9"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9"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9"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9"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9"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6" t="b">
        <f>AND('GastroIntestinal Criteria'!B13,OR('GastroIntestinal Criteria'!B18,'GastroIntestinal Criteria'!B21,'GastroIntestinal Criteria'!B23))</f>
        <v>0</v>
      </c>
      <c r="AA79" s="17"/>
      <c r="AB79" s="17"/>
      <c r="AC79" s="17"/>
      <c r="AD79" s="17"/>
      <c r="AE79" t="b">
        <f>AND(Table8[[#This Row],[Pregnant]:[Bismuth]])</f>
        <v>0</v>
      </c>
      <c r="AF79" s="11"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11" t="s">
        <v>484</v>
      </c>
    </row>
    <row r="81" spans="1:32">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11" t="s">
        <v>485</v>
      </c>
    </row>
    <row r="82" spans="1:32">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9" t="s">
        <v>488</v>
      </c>
    </row>
    <row r="84" spans="1:32">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9" t="s">
        <v>489</v>
      </c>
    </row>
    <row r="85" spans="1:32">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9" t="s">
        <v>490</v>
      </c>
    </row>
    <row r="86" spans="1:32">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9" t="s">
        <v>493</v>
      </c>
    </row>
    <row r="87" spans="1:32">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9" t="s">
        <v>494</v>
      </c>
    </row>
    <row r="88" spans="1:32">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9" t="s">
        <v>495</v>
      </c>
    </row>
    <row r="89" spans="1:32">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8" t="s">
        <v>496</v>
      </c>
    </row>
    <row r="91" spans="1:32">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8" t="s">
        <v>497</v>
      </c>
    </row>
    <row r="92" spans="1:32">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8" t="s">
        <v>498</v>
      </c>
    </row>
    <row r="93" spans="1:32">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8" t="s">
        <v>499</v>
      </c>
    </row>
    <row r="94" spans="1:32">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8" t="s">
        <v>500</v>
      </c>
    </row>
    <row r="95" spans="1:32">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8" t="s">
        <v>501</v>
      </c>
    </row>
    <row r="96" spans="1:32">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9" t="s">
        <v>507</v>
      </c>
    </row>
    <row r="98" spans="1:32">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9" t="s">
        <v>508</v>
      </c>
    </row>
    <row r="99" spans="1:32">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9" t="s">
        <v>509</v>
      </c>
    </row>
    <row r="100" spans="1:32">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9" t="s">
        <v>510</v>
      </c>
    </row>
    <row r="101" spans="1:32">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2">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6" t="b">
        <f>AND('GastroIntestinal Criteria'!C14,OR('GastroIntestinal Criteria'!B21,'GastroIntestinal Criteria'!B23))</f>
        <v>0</v>
      </c>
      <c r="AA102" s="17"/>
      <c r="AB102" s="17"/>
      <c r="AC102" s="17"/>
      <c r="AD102" s="17"/>
      <c r="AE102" t="b">
        <f>AND(Table8[[#This Row],[Pregnant]:[Bismuth]])</f>
        <v>0</v>
      </c>
      <c r="AF102" s="29" t="s">
        <v>511</v>
      </c>
    </row>
    <row r="103" spans="1:32">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2">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9" t="s">
        <v>513</v>
      </c>
    </row>
    <row r="105" spans="1:32">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9" t="s">
        <v>514</v>
      </c>
    </row>
    <row r="106" spans="1:32">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2">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11" t="s">
        <v>517</v>
      </c>
    </row>
    <row r="108" spans="1:32">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11" t="s">
        <v>515</v>
      </c>
    </row>
    <row r="109" spans="1:32">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11" t="s">
        <v>516</v>
      </c>
    </row>
    <row r="110" spans="1:32">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11" t="s">
        <v>520</v>
      </c>
    </row>
    <row r="111" spans="1:32">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11" t="s">
        <v>519</v>
      </c>
    </row>
    <row r="112" spans="1:32">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11" t="s">
        <v>521</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11" t="s">
        <v>522</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11" t="s">
        <v>523</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11" t="s">
        <v>525</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9" t="s">
        <v>524</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50"/>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9" t="s">
        <v>526</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9" t="s">
        <v>527</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9" t="s">
        <v>528</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9" t="s">
        <v>529</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B13" sqref="B13"/>
    </sheetView>
  </sheetViews>
  <sheetFormatPr defaultRowHeight="15"/>
  <cols>
    <col min="1" max="1" width="44.28515625" customWidth="1"/>
  </cols>
  <sheetData>
    <row r="1" spans="1:3" ht="15.75" thickTop="1">
      <c r="A1" s="3" t="s">
        <v>15</v>
      </c>
      <c r="B1" s="38" t="s">
        <v>18</v>
      </c>
    </row>
    <row r="2" spans="1:3" ht="15.75" thickBot="1">
      <c r="B2" s="4"/>
    </row>
    <row r="3" spans="1:3" ht="16.5" thickTop="1" thickBot="1">
      <c r="A3" s="158" t="s">
        <v>1340</v>
      </c>
      <c r="B3" s="160" t="b">
        <v>0</v>
      </c>
      <c r="C3" s="156" t="b">
        <f t="shared" ref="C3:C4" si="0">NOT(B3)</f>
        <v>1</v>
      </c>
    </row>
    <row r="4" spans="1:3" ht="13.5" customHeight="1" thickBot="1">
      <c r="A4" s="158" t="s">
        <v>1332</v>
      </c>
      <c r="B4" s="5" t="b">
        <v>0</v>
      </c>
      <c r="C4" s="156" t="b">
        <f t="shared" si="0"/>
        <v>1</v>
      </c>
    </row>
    <row r="5" spans="1:3" ht="15.75" thickBot="1">
      <c r="A5" s="158" t="s">
        <v>1337</v>
      </c>
      <c r="B5" s="6" t="b">
        <v>0</v>
      </c>
      <c r="C5" s="156" t="b">
        <f>NOT(B5)</f>
        <v>1</v>
      </c>
    </row>
    <row r="6" spans="1:3" ht="16.5" thickTop="1" thickBot="1">
      <c r="A6" s="161" t="s">
        <v>1338</v>
      </c>
      <c r="B6" s="159" t="b">
        <v>0</v>
      </c>
      <c r="C6" s="156" t="b">
        <f>NOT(B6)</f>
        <v>1</v>
      </c>
    </row>
    <row r="7" spans="1:3" ht="16.5" thickTop="1" thickBot="1">
      <c r="A7" s="162" t="s">
        <v>1331</v>
      </c>
      <c r="B7" s="160" t="b">
        <v>0</v>
      </c>
      <c r="C7" s="156" t="b">
        <f>NOT(B7)</f>
        <v>1</v>
      </c>
    </row>
    <row r="8" spans="1:3" ht="15.75" thickBot="1">
      <c r="A8" s="162" t="s">
        <v>1339</v>
      </c>
      <c r="B8" s="6" t="b">
        <v>0</v>
      </c>
      <c r="C8" s="156" t="b">
        <f>NOT(B8)</f>
        <v>1</v>
      </c>
    </row>
    <row r="9" spans="1:3" ht="15.75" thickBot="1">
      <c r="A9" s="163" t="s">
        <v>894</v>
      </c>
      <c r="B9" s="5" t="b">
        <v>0</v>
      </c>
      <c r="C9" s="156" t="b">
        <f>NOT(B9)</f>
        <v>1</v>
      </c>
    </row>
    <row r="10" spans="1:3" ht="15.75" thickBot="1">
      <c r="A10" s="163" t="s">
        <v>1333</v>
      </c>
      <c r="B10" s="5" t="b">
        <v>0</v>
      </c>
      <c r="C10" s="156" t="b">
        <f t="shared" ref="C10:C13" si="1">NOT(B10)</f>
        <v>1</v>
      </c>
    </row>
    <row r="11" spans="1:3" ht="15.75" thickBot="1">
      <c r="A11" s="163" t="s">
        <v>1334</v>
      </c>
      <c r="B11" s="5" t="b">
        <v>0</v>
      </c>
      <c r="C11" s="156" t="b">
        <f t="shared" si="1"/>
        <v>1</v>
      </c>
    </row>
    <row r="12" spans="1:3" ht="15.75" thickBot="1">
      <c r="A12" s="163" t="s">
        <v>1335</v>
      </c>
      <c r="B12" s="5" t="b">
        <v>0</v>
      </c>
      <c r="C12" s="156" t="b">
        <f t="shared" si="1"/>
        <v>1</v>
      </c>
    </row>
    <row r="13" spans="1:3" ht="15.75" thickBot="1">
      <c r="A13" s="163" t="s">
        <v>1336</v>
      </c>
      <c r="B13" s="6" t="b">
        <v>0</v>
      </c>
      <c r="C13" s="15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B17" sqref="B17"/>
    </sheetView>
  </sheetViews>
  <sheetFormatPr defaultRowHeight="15"/>
  <cols>
    <col min="1" max="1" width="53.7109375" customWidth="1"/>
    <col min="3" max="4" width="9.140625" style="87"/>
    <col min="5" max="5" width="18.140625" customWidth="1"/>
  </cols>
  <sheetData>
    <row r="1" spans="1:5" ht="15.75" thickTop="1">
      <c r="A1" s="3" t="s">
        <v>15</v>
      </c>
      <c r="B1" s="7" t="s">
        <v>18</v>
      </c>
      <c r="E1" s="8" t="s">
        <v>19</v>
      </c>
    </row>
    <row r="2" spans="1:5" ht="15.75" thickBot="1">
      <c r="B2" s="4"/>
      <c r="E2" s="4"/>
    </row>
    <row r="3" spans="1:5" ht="15.75" thickBot="1">
      <c r="A3" s="158" t="s">
        <v>676</v>
      </c>
      <c r="B3" s="33" t="b">
        <v>0</v>
      </c>
      <c r="C3" s="87" t="b">
        <f>NOT(B3)</f>
        <v>1</v>
      </c>
      <c r="E3" s="137" t="str">
        <f>IF(C13,random!M7)</f>
        <v>Preservative</v>
      </c>
    </row>
    <row r="4" spans="1:5" ht="15.75" thickBot="1">
      <c r="A4" s="158" t="s">
        <v>677</v>
      </c>
      <c r="B4" s="33" t="b">
        <v>0</v>
      </c>
      <c r="C4" s="87" t="b">
        <f t="shared" ref="C4:C6" si="0">NOT(B4)</f>
        <v>1</v>
      </c>
      <c r="E4" s="4" t="b">
        <f>IF(B13,random!M8)</f>
        <v>0</v>
      </c>
    </row>
    <row r="5" spans="1:5" ht="15.75" thickBot="1">
      <c r="A5" s="158" t="s">
        <v>675</v>
      </c>
      <c r="B5" s="33" t="b">
        <v>0</v>
      </c>
      <c r="C5" s="87" t="b">
        <f t="shared" si="0"/>
        <v>1</v>
      </c>
      <c r="E5" s="4" t="b">
        <f>IF(B13,random!M9)</f>
        <v>0</v>
      </c>
    </row>
    <row r="6" spans="1:5" ht="15.75" thickBot="1">
      <c r="A6" s="55" t="s">
        <v>1954</v>
      </c>
      <c r="B6" s="33" t="b">
        <v>0</v>
      </c>
      <c r="C6" s="87" t="b">
        <f t="shared" si="0"/>
        <v>1</v>
      </c>
      <c r="E6" s="4" t="b">
        <f>IF(B13,random!M10)</f>
        <v>0</v>
      </c>
    </row>
    <row r="7" spans="1:5" ht="15.75" thickBot="1">
      <c r="A7" s="172" t="s">
        <v>678</v>
      </c>
      <c r="B7" s="33" t="b">
        <v>0</v>
      </c>
      <c r="C7" s="87" t="b">
        <f>NOT(B7)</f>
        <v>1</v>
      </c>
      <c r="D7" s="87" t="b">
        <f>OR(B4,B9)</f>
        <v>0</v>
      </c>
      <c r="E7" s="4" t="b">
        <f>IF(D7,random!M11)</f>
        <v>0</v>
      </c>
    </row>
    <row r="8" spans="1:5" ht="15.75" thickBot="1">
      <c r="A8" s="162" t="s">
        <v>1886</v>
      </c>
      <c r="B8" s="33" t="b">
        <v>0</v>
      </c>
      <c r="D8" s="87" t="b">
        <f>OR(B3:B4,B8:B9)</f>
        <v>0</v>
      </c>
      <c r="E8" s="4" t="b">
        <f>IF(D8,random!M12)</f>
        <v>0</v>
      </c>
    </row>
    <row r="9" spans="1:5" ht="15.75" thickBot="1">
      <c r="A9" s="162" t="s">
        <v>1885</v>
      </c>
      <c r="B9" s="33" t="b">
        <v>0</v>
      </c>
      <c r="D9" s="87" t="b">
        <f>OR(B3,B8)</f>
        <v>0</v>
      </c>
      <c r="E9" s="4" t="b">
        <f>IF(D9,random!M13)</f>
        <v>0</v>
      </c>
    </row>
    <row r="10" spans="1:5" ht="15.75" thickBot="1">
      <c r="A10" s="217" t="s">
        <v>789</v>
      </c>
      <c r="B10" s="33" t="b">
        <v>0</v>
      </c>
      <c r="C10" s="87" t="b">
        <f>NOT(B10)</f>
        <v>1</v>
      </c>
      <c r="E10" s="4" t="b">
        <f>IF(B7,random!M14)</f>
        <v>0</v>
      </c>
    </row>
    <row r="11" spans="1:5" ht="15.75" thickBot="1">
      <c r="A11" s="161" t="s">
        <v>679</v>
      </c>
      <c r="B11" s="33" t="b">
        <v>0</v>
      </c>
      <c r="C11" s="87" t="b">
        <f>NOT(B11)</f>
        <v>1</v>
      </c>
      <c r="E11" s="137" t="str">
        <f>IF(C11,random!M15)</f>
        <v>Lanolin</v>
      </c>
    </row>
    <row r="12" spans="1:5" ht="15.75" thickBot="1">
      <c r="A12" s="161" t="s">
        <v>680</v>
      </c>
      <c r="B12" s="33" t="b">
        <v>0</v>
      </c>
      <c r="D12" s="87" t="b">
        <f>AND(B6,B12)</f>
        <v>0</v>
      </c>
      <c r="E12" s="4" t="b">
        <f>IF(D12,random!M16)</f>
        <v>0</v>
      </c>
    </row>
    <row r="13" spans="1:5" ht="15.75" thickBot="1">
      <c r="A13" s="161" t="s">
        <v>1228</v>
      </c>
      <c r="B13" s="33" t="b">
        <v>0</v>
      </c>
      <c r="C13" s="87" t="b">
        <f>NOT(B13)</f>
        <v>1</v>
      </c>
      <c r="E13" s="4" t="b">
        <f>IF(B5,random!M17)</f>
        <v>0</v>
      </c>
    </row>
    <row r="14" spans="1:5" ht="15.75" thickBot="1">
      <c r="A14" s="86" t="s">
        <v>1229</v>
      </c>
      <c r="B14" s="140" t="b">
        <v>0</v>
      </c>
      <c r="C14" s="87" t="b">
        <f>NOT(B14)</f>
        <v>1</v>
      </c>
      <c r="E14" s="4" t="b">
        <f>IF(B10,random!M18)</f>
        <v>0</v>
      </c>
    </row>
    <row r="15" spans="1:5" ht="15.75" thickBot="1">
      <c r="A15" s="184" t="s">
        <v>126</v>
      </c>
      <c r="B15" s="33" t="b">
        <v>0</v>
      </c>
      <c r="C15" s="87" t="b">
        <f>NOT(B15)</f>
        <v>1</v>
      </c>
      <c r="E15" s="48" t="b">
        <f>IF(B14,random!M19)</f>
        <v>0</v>
      </c>
    </row>
    <row r="16" spans="1:5" ht="15.75" thickBot="1">
      <c r="A16" s="184" t="s">
        <v>1883</v>
      </c>
      <c r="B16" s="33" t="b">
        <v>0</v>
      </c>
      <c r="C16" s="87" t="b">
        <f t="shared" ref="C16:C17" si="1">NOT(B16)</f>
        <v>1</v>
      </c>
      <c r="E16" s="2"/>
    </row>
    <row r="17" spans="1:3" ht="15.75" thickBot="1">
      <c r="A17" s="184" t="s">
        <v>1884</v>
      </c>
      <c r="B17" s="33" t="b">
        <v>0</v>
      </c>
      <c r="C17" s="87"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88"/>
  <sheetViews>
    <sheetView workbookViewId="0">
      <selection activeCell="S2" sqref="S2"/>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7" customWidth="1"/>
  </cols>
  <sheetData>
    <row r="1" spans="1:21">
      <c r="A1" s="70" t="s">
        <v>1212</v>
      </c>
      <c r="B1" t="s">
        <v>592</v>
      </c>
      <c r="C1" s="204" t="s">
        <v>598</v>
      </c>
      <c r="D1" s="204" t="s">
        <v>603</v>
      </c>
      <c r="E1" s="204" t="s">
        <v>1882</v>
      </c>
      <c r="F1" t="s">
        <v>593</v>
      </c>
      <c r="G1" t="s">
        <v>594</v>
      </c>
      <c r="H1" t="s">
        <v>595</v>
      </c>
      <c r="I1" t="s">
        <v>618</v>
      </c>
      <c r="J1" t="s">
        <v>1887</v>
      </c>
      <c r="K1" t="s">
        <v>629</v>
      </c>
      <c r="L1" t="s">
        <v>1888</v>
      </c>
      <c r="M1" t="s">
        <v>5</v>
      </c>
      <c r="N1" t="s">
        <v>1889</v>
      </c>
      <c r="O1" t="s">
        <v>673</v>
      </c>
      <c r="P1" t="s">
        <v>785</v>
      </c>
      <c r="Q1" t="s">
        <v>1890</v>
      </c>
      <c r="R1" t="s">
        <v>786</v>
      </c>
      <c r="S1" t="s">
        <v>1891</v>
      </c>
      <c r="T1" t="s">
        <v>590</v>
      </c>
      <c r="U1" t="s">
        <v>591</v>
      </c>
    </row>
    <row r="2" spans="1:21">
      <c r="A2" t="b">
        <f>IF(Table14[[#This Row],[Column8]],Table14[[#This Row],[Column9]])</f>
        <v>0</v>
      </c>
      <c r="B2" s="17"/>
      <c r="C2" s="20" t="b">
        <f>OR('Eye Drop Criteria'!B13:C13)</f>
        <v>1</v>
      </c>
      <c r="D2" s="17"/>
      <c r="E2" s="17"/>
      <c r="F2" s="17"/>
      <c r="G2" s="17"/>
      <c r="H2" s="106"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8" t="s">
        <v>596</v>
      </c>
    </row>
    <row r="3" spans="1:21">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8" t="s">
        <v>597</v>
      </c>
    </row>
    <row r="4" spans="1:21">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8" t="s">
        <v>599</v>
      </c>
    </row>
    <row r="5" spans="1:21">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11" t="s">
        <v>669</v>
      </c>
    </row>
    <row r="6" spans="1:21">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11" t="s">
        <v>670</v>
      </c>
    </row>
    <row r="7" spans="1:21">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11" t="s">
        <v>671</v>
      </c>
    </row>
    <row r="8" spans="1:21">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16"/>
    </row>
    <row r="9" spans="1:21">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9" t="s">
        <v>600</v>
      </c>
    </row>
    <row r="10" spans="1:21">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9" t="s">
        <v>601</v>
      </c>
    </row>
    <row r="11" spans="1:21">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9" t="s">
        <v>602</v>
      </c>
    </row>
    <row r="12" spans="1:21">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9" t="s">
        <v>604</v>
      </c>
    </row>
    <row r="13" spans="1:21">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9" t="s">
        <v>605</v>
      </c>
    </row>
    <row r="14" spans="1:21">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9" t="s">
        <v>606</v>
      </c>
    </row>
    <row r="15" spans="1:21">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9" t="s">
        <v>607</v>
      </c>
    </row>
    <row r="16" spans="1:21">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9" t="s">
        <v>608</v>
      </c>
    </row>
    <row r="17" spans="1:21">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9" t="s">
        <v>609</v>
      </c>
    </row>
    <row r="18" spans="1:21">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9" t="s">
        <v>610</v>
      </c>
    </row>
    <row r="19" spans="1:21">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9" t="s">
        <v>611</v>
      </c>
    </row>
    <row r="20" spans="1:21">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9" t="s">
        <v>612</v>
      </c>
    </row>
    <row r="21" spans="1:21">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9" t="s">
        <v>613</v>
      </c>
    </row>
    <row r="22" spans="1:21">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9" t="s">
        <v>614</v>
      </c>
    </row>
    <row r="23" spans="1:21">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9" t="s">
        <v>615</v>
      </c>
    </row>
    <row r="24" spans="1:21">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9" t="s">
        <v>616</v>
      </c>
    </row>
    <row r="25" spans="1:21">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9" t="s">
        <v>617</v>
      </c>
    </row>
    <row r="26" spans="1:21">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16"/>
    </row>
    <row r="27" spans="1:21">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8" t="s">
        <v>619</v>
      </c>
    </row>
    <row r="28" spans="1:21">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8" t="s">
        <v>620</v>
      </c>
    </row>
    <row r="29" spans="1:21">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8" t="s">
        <v>621</v>
      </c>
    </row>
    <row r="30" spans="1:21">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8" t="s">
        <v>622</v>
      </c>
    </row>
    <row r="31" spans="1:21">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8" t="s">
        <v>623</v>
      </c>
    </row>
    <row r="32" spans="1:21">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8" t="s">
        <v>624</v>
      </c>
    </row>
    <row r="33" spans="1:21">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8" t="s">
        <v>625</v>
      </c>
    </row>
    <row r="34" spans="1:21">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8" t="s">
        <v>626</v>
      </c>
    </row>
    <row r="35" spans="1:21">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8" t="s">
        <v>627</v>
      </c>
    </row>
    <row r="36" spans="1:21">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8" t="s">
        <v>628</v>
      </c>
    </row>
    <row r="37" spans="1:21">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16"/>
    </row>
    <row r="38" spans="1:21">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11" t="s">
        <v>630</v>
      </c>
    </row>
    <row r="39" spans="1:21">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11" t="s">
        <v>631</v>
      </c>
    </row>
    <row r="40" spans="1:21">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11" t="s">
        <v>632</v>
      </c>
    </row>
    <row r="41" spans="1:21">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11" t="s">
        <v>633</v>
      </c>
    </row>
    <row r="42" spans="1:21">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16"/>
    </row>
    <row r="43" spans="1:21">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11" t="s">
        <v>634</v>
      </c>
    </row>
    <row r="44" spans="1:21">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11" t="s">
        <v>635</v>
      </c>
    </row>
    <row r="45" spans="1:21">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11" t="s">
        <v>636</v>
      </c>
    </row>
    <row r="46" spans="1:21">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11" t="s">
        <v>637</v>
      </c>
    </row>
    <row r="47" spans="1:21">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11" t="s">
        <v>638</v>
      </c>
    </row>
    <row r="48" spans="1:21">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11" t="s">
        <v>639</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11" t="s">
        <v>640</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16"/>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8" t="s">
        <v>641</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8" t="s">
        <v>642</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8" t="s">
        <v>643</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16"/>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8" t="s">
        <v>644</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8" t="s">
        <v>645</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8" t="s">
        <v>646</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8" t="s">
        <v>647</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16"/>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11" t="s">
        <v>648</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11" t="s">
        <v>649</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11" t="s">
        <v>650</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11" t="s">
        <v>651</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16"/>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9" t="s">
        <v>652</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9" t="s">
        <v>653</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9" t="s">
        <v>654</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9" t="s">
        <v>655</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9" t="s">
        <v>656</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85"/>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8" t="s">
        <v>657</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8" t="s">
        <v>658</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8" t="s">
        <v>659</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8" t="s">
        <v>660</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8" t="s">
        <v>661</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8" t="s">
        <v>662</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8" t="s">
        <v>663</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8" t="s">
        <v>664</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8" t="s">
        <v>665</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8" t="s">
        <v>666</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8" t="s">
        <v>667</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8" t="s">
        <v>668</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16"/>
    </row>
    <row r="84" spans="1:21">
      <c r="A84" t="b">
        <f>IF(Table14[[#This Row],[Column8]],Table14[[#This Row],[Column9]])</f>
        <v>0</v>
      </c>
      <c r="B84" s="20" t="b">
        <f>B4</f>
        <v>1</v>
      </c>
      <c r="C84" s="17"/>
      <c r="D84" s="17"/>
      <c r="E84" s="17"/>
      <c r="F84" s="17"/>
      <c r="G84" s="17"/>
      <c r="H84" s="106"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8" t="s">
        <v>672</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16"/>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9" t="s">
        <v>674</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16"/>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6"/>
    </row>
    <row r="2" spans="1:3" ht="15.75" thickBot="1">
      <c r="B2" s="4"/>
      <c r="C2" s="96"/>
    </row>
    <row r="3" spans="1:3" ht="15.75" thickBot="1">
      <c r="A3" s="158" t="s">
        <v>958</v>
      </c>
      <c r="B3" s="33" t="b">
        <v>0</v>
      </c>
      <c r="C3" s="96"/>
    </row>
    <row r="4" spans="1:3" ht="15.75" thickBot="1">
      <c r="A4" s="158" t="s">
        <v>966</v>
      </c>
      <c r="B4" s="33" t="b">
        <v>0</v>
      </c>
      <c r="C4" s="96"/>
    </row>
    <row r="5" spans="1:3" ht="15.75" thickBot="1">
      <c r="A5" s="158" t="s">
        <v>959</v>
      </c>
      <c r="B5" s="33" t="b">
        <v>0</v>
      </c>
      <c r="C5" s="96"/>
    </row>
    <row r="6" spans="1:3" ht="15.75" thickBot="1">
      <c r="A6" s="158" t="s">
        <v>961</v>
      </c>
      <c r="B6" s="33" t="b">
        <v>0</v>
      </c>
      <c r="C6" s="96" t="b">
        <f>NOT(B6)</f>
        <v>1</v>
      </c>
    </row>
    <row r="7" spans="1:3" ht="15.75" thickBot="1">
      <c r="A7" s="161" t="s">
        <v>965</v>
      </c>
      <c r="B7" s="33" t="b">
        <v>0</v>
      </c>
      <c r="C7" s="96" t="b">
        <f>NOT(B7)</f>
        <v>1</v>
      </c>
    </row>
    <row r="8" spans="1:3" ht="15.75" thickBot="1">
      <c r="A8" s="161" t="s">
        <v>960</v>
      </c>
      <c r="B8" s="33" t="b">
        <v>0</v>
      </c>
      <c r="C8" s="96" t="b">
        <f t="shared" ref="C8:C11" si="0">NOT(B8)</f>
        <v>1</v>
      </c>
    </row>
    <row r="9" spans="1:3" ht="15.75" thickBot="1">
      <c r="A9" s="161" t="s">
        <v>962</v>
      </c>
      <c r="B9" s="33" t="b">
        <v>0</v>
      </c>
      <c r="C9" s="96" t="b">
        <f t="shared" si="0"/>
        <v>1</v>
      </c>
    </row>
    <row r="10" spans="1:3" ht="15.75" thickBot="1">
      <c r="A10" s="161" t="s">
        <v>963</v>
      </c>
      <c r="B10" s="33" t="b">
        <v>0</v>
      </c>
      <c r="C10" s="96" t="b">
        <f t="shared" si="0"/>
        <v>1</v>
      </c>
    </row>
    <row r="11" spans="1:3" ht="15.75" thickBot="1">
      <c r="A11" s="161" t="s">
        <v>964</v>
      </c>
      <c r="B11" s="33" t="b">
        <v>0</v>
      </c>
      <c r="C11" s="96" t="b">
        <f t="shared" si="0"/>
        <v>1</v>
      </c>
    </row>
    <row r="12" spans="1:3" ht="15.75" thickBot="1">
      <c r="A12" s="170" t="s">
        <v>967</v>
      </c>
      <c r="B12" s="33" t="b">
        <v>0</v>
      </c>
      <c r="C12" s="96" t="b">
        <f>NOT(B12)</f>
        <v>1</v>
      </c>
    </row>
    <row r="13" spans="1:3" ht="15.75" thickBot="1">
      <c r="A13" s="170" t="s">
        <v>968</v>
      </c>
      <c r="B13" s="33" t="b">
        <v>0</v>
      </c>
      <c r="C13" s="96" t="b">
        <f>NOT(B13)</f>
        <v>1</v>
      </c>
    </row>
    <row r="14" spans="1:3" ht="15.75" thickBot="1">
      <c r="A14" s="158" t="s">
        <v>969</v>
      </c>
      <c r="B14" s="33" t="b">
        <v>0</v>
      </c>
      <c r="C14" s="96"/>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4"/>
  <sheetViews>
    <sheetView workbookViewId="0">
      <selection activeCell="T38" sqref="T38"/>
    </sheetView>
  </sheetViews>
  <sheetFormatPr defaultRowHeight="15"/>
  <cols>
    <col min="1" max="1" width="57.85546875" customWidth="1"/>
    <col min="2" max="9" width="11" customWidth="1"/>
    <col min="10" max="10" width="12" customWidth="1"/>
    <col min="11" max="11" width="80.7109375" customWidth="1"/>
  </cols>
  <sheetData>
    <row r="1" spans="1:11">
      <c r="A1" s="70" t="s">
        <v>1212</v>
      </c>
      <c r="B1" t="s">
        <v>36</v>
      </c>
      <c r="C1" s="204" t="s">
        <v>936</v>
      </c>
      <c r="D1" s="204" t="s">
        <v>933</v>
      </c>
      <c r="E1" t="s">
        <v>925</v>
      </c>
      <c r="F1" t="s">
        <v>938</v>
      </c>
      <c r="G1" t="s">
        <v>706</v>
      </c>
      <c r="H1" t="s">
        <v>717</v>
      </c>
      <c r="I1" t="s">
        <v>772</v>
      </c>
      <c r="J1" t="s">
        <v>681</v>
      </c>
      <c r="K1" t="s">
        <v>381</v>
      </c>
    </row>
    <row r="2" spans="1:11">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770</v>
      </c>
    </row>
    <row r="3" spans="1:11">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771</v>
      </c>
    </row>
    <row r="4" spans="1:11">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773</v>
      </c>
    </row>
    <row r="5" spans="1:11">
      <c r="A5" t="b">
        <f>IF(Table1526[[#This Row],[Column11]],Table1526[[#This Row],[Column12]])</f>
        <v>0</v>
      </c>
      <c r="B5" s="20" t="b">
        <f>AND('Medicated Shampoo Criteria'!B4)</f>
        <v>0</v>
      </c>
      <c r="C5" s="17"/>
      <c r="D5" s="17"/>
      <c r="E5" s="17"/>
      <c r="F5" s="17"/>
      <c r="G5" s="17"/>
      <c r="H5" s="17"/>
      <c r="I5" s="20" t="b">
        <f>I3</f>
        <v>0</v>
      </c>
      <c r="J5" t="b">
        <f>AND(Table1526[[#This Row],[Menthol]:[Coal Tar]])</f>
        <v>0</v>
      </c>
      <c r="K5" s="11" t="s">
        <v>774</v>
      </c>
    </row>
    <row r="6" spans="1:11">
      <c r="A6" t="b">
        <f>IF(Table1526[[#This Row],[Column11]],Table1526[[#This Row],[Column12]])</f>
        <v>0</v>
      </c>
      <c r="B6" s="17"/>
      <c r="C6" s="17"/>
      <c r="D6" s="17"/>
      <c r="E6" s="17"/>
      <c r="F6" s="17"/>
      <c r="G6" s="17"/>
      <c r="H6" s="17"/>
      <c r="I6" s="20" t="b">
        <f>I3</f>
        <v>0</v>
      </c>
      <c r="J6" t="b">
        <f>AND(Table1526[[#This Row],[Menthol]:[Coal Tar]])</f>
        <v>0</v>
      </c>
      <c r="K6" s="11" t="s">
        <v>775</v>
      </c>
    </row>
    <row r="7" spans="1:11">
      <c r="A7" s="16" t="e">
        <f>IF(Table1526[[#This Row],[Column11]],Table1526[[#This Row],[Column12]])</f>
        <v>#VALUE!</v>
      </c>
      <c r="B7" s="16"/>
      <c r="C7" s="16"/>
      <c r="D7" s="16"/>
      <c r="E7" s="16"/>
      <c r="F7" s="16"/>
      <c r="G7" s="16"/>
      <c r="H7" s="16"/>
      <c r="I7" s="16"/>
      <c r="J7" s="16" t="e">
        <f>AND(Table1526[[#This Row],[Menthol]:[Coal Tar]])</f>
        <v>#VALUE!</v>
      </c>
      <c r="K7" s="16"/>
    </row>
    <row r="8" spans="1:11">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924</v>
      </c>
    </row>
    <row r="9" spans="1:11">
      <c r="A9" s="16" t="e">
        <f>IF(Table1526[[#This Row],[Column11]],Table1526[[#This Row],[Column12]])</f>
        <v>#VALUE!</v>
      </c>
      <c r="B9" s="16"/>
      <c r="C9" s="16"/>
      <c r="D9" s="16"/>
      <c r="E9" s="16"/>
      <c r="F9" s="16"/>
      <c r="G9" s="16"/>
      <c r="H9" s="16"/>
      <c r="I9" s="16"/>
      <c r="J9" s="16" t="e">
        <f>AND(Table1526[[#This Row],[Menthol]:[Coal Tar]])</f>
        <v>#VALUE!</v>
      </c>
      <c r="K9" s="85"/>
    </row>
    <row r="10" spans="1:11">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926</v>
      </c>
    </row>
    <row r="11" spans="1:11">
      <c r="A11" t="b">
        <f>IF(Table1526[[#This Row],[Column11]],Table1526[[#This Row],[Column12]])</f>
        <v>0</v>
      </c>
      <c r="B11" s="17"/>
      <c r="C11" s="17"/>
      <c r="D11" s="17"/>
      <c r="E11" s="20" t="b">
        <f>E10</f>
        <v>0</v>
      </c>
      <c r="F11" s="17"/>
      <c r="G11" s="17"/>
      <c r="H11" s="17"/>
      <c r="I11" s="17"/>
      <c r="J11" t="b">
        <f>AND(Table1526[[#This Row],[Menthol]:[Coal Tar]])</f>
        <v>0</v>
      </c>
      <c r="K11" s="11" t="s">
        <v>927</v>
      </c>
    </row>
    <row r="12" spans="1:11">
      <c r="A12" t="b">
        <f>IF(Table1526[[#This Row],[Column11]],Table1526[[#This Row],[Column12]])</f>
        <v>0</v>
      </c>
      <c r="B12" s="17"/>
      <c r="C12" s="17"/>
      <c r="D12" s="17"/>
      <c r="E12" s="20" t="b">
        <f>E10</f>
        <v>0</v>
      </c>
      <c r="F12" s="17"/>
      <c r="G12" s="17"/>
      <c r="H12" s="17"/>
      <c r="I12" s="17"/>
      <c r="J12" t="b">
        <f>AND(Table1526[[#This Row],[Menthol]:[Coal Tar]])</f>
        <v>0</v>
      </c>
      <c r="K12" s="11" t="s">
        <v>928</v>
      </c>
    </row>
    <row r="13" spans="1:11">
      <c r="A13" t="b">
        <f>IF(Table1526[[#This Row],[Column11]],Table1526[[#This Row],[Column12]])</f>
        <v>0</v>
      </c>
      <c r="B13" s="17"/>
      <c r="C13" s="17"/>
      <c r="D13" s="17"/>
      <c r="E13" s="17"/>
      <c r="F13" s="20" t="b">
        <f>F2</f>
        <v>0</v>
      </c>
      <c r="G13" s="17"/>
      <c r="H13" s="17"/>
      <c r="I13" s="17"/>
      <c r="J13" t="b">
        <f>AND(Table1526[[#This Row],[Menthol]:[Coal Tar]])</f>
        <v>0</v>
      </c>
      <c r="K13" s="11" t="s">
        <v>929</v>
      </c>
    </row>
    <row r="14" spans="1:11">
      <c r="A14" t="b">
        <f>IF(Table1526[[#This Row],[Column11]],Table1526[[#This Row],[Column12]])</f>
        <v>0</v>
      </c>
      <c r="B14" s="17"/>
      <c r="C14" s="17"/>
      <c r="D14" s="17"/>
      <c r="E14" s="17"/>
      <c r="F14" s="17"/>
      <c r="G14" s="17"/>
      <c r="H14" s="20" t="b">
        <f>H4</f>
        <v>0</v>
      </c>
      <c r="I14" s="17"/>
      <c r="J14" t="b">
        <f>AND(Table1526[[#This Row],[Menthol]:[Coal Tar]])</f>
        <v>0</v>
      </c>
      <c r="K14" s="11" t="s">
        <v>930</v>
      </c>
    </row>
    <row r="15" spans="1:11">
      <c r="A15" t="b">
        <f>IF(Table1526[[#This Row],[Column11]],Table1526[[#This Row],[Column12]])</f>
        <v>0</v>
      </c>
      <c r="B15" s="17"/>
      <c r="C15" s="17"/>
      <c r="D15" s="17"/>
      <c r="E15" s="20" t="b">
        <f>E10</f>
        <v>0</v>
      </c>
      <c r="F15" s="17"/>
      <c r="G15" s="17"/>
      <c r="H15" s="17"/>
      <c r="I15" s="17"/>
      <c r="J15" t="b">
        <f>AND(Table1526[[#This Row],[Menthol]:[Coal Tar]])</f>
        <v>0</v>
      </c>
      <c r="K15" s="11" t="s">
        <v>931</v>
      </c>
    </row>
    <row r="16" spans="1:11"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932</v>
      </c>
      <c r="M17" s="92"/>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934</v>
      </c>
      <c r="M19" s="93"/>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935</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937</v>
      </c>
      <c r="M22" s="94"/>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954</v>
      </c>
    </row>
    <row r="25" spans="1:13">
      <c r="A25" t="b">
        <f>IF(Table1526[[#This Row],[Column11]],Table1526[[#This Row],[Column12]])</f>
        <v>0</v>
      </c>
      <c r="B25" s="17"/>
      <c r="C25" s="17"/>
      <c r="D25" s="17"/>
      <c r="E25" s="17"/>
      <c r="F25" s="20" t="b">
        <f>F2</f>
        <v>0</v>
      </c>
      <c r="G25" s="17"/>
      <c r="H25" s="17"/>
      <c r="I25" s="17"/>
      <c r="J25" t="b">
        <f>AND(Table1526[[#This Row],[Menthol]:[Coal Tar]])</f>
        <v>0</v>
      </c>
      <c r="K25" s="11" t="s">
        <v>955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956</v>
      </c>
    </row>
    <row r="27" spans="1:13">
      <c r="A27" t="b">
        <f>IF(Table1526[[#This Row],[Column11]],Table1526[[#This Row],[Column12]])</f>
        <v>0</v>
      </c>
      <c r="B27" s="17"/>
      <c r="C27" s="17"/>
      <c r="D27" s="17"/>
      <c r="E27" s="20" t="b">
        <f>E10</f>
        <v>0</v>
      </c>
      <c r="F27" s="17"/>
      <c r="G27" s="17"/>
      <c r="H27" s="17"/>
      <c r="I27" s="17"/>
      <c r="J27" t="b">
        <f>AND(Table1526[[#This Row],[Menthol]:[Coal Tar]])</f>
        <v>0</v>
      </c>
      <c r="K27" s="11" t="s">
        <v>957</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B18" sqref="B18"/>
    </sheetView>
  </sheetViews>
  <sheetFormatPr defaultRowHeight="15"/>
  <cols>
    <col min="1" max="1" width="37.85546875" customWidth="1"/>
  </cols>
  <sheetData>
    <row r="1" spans="1:10" ht="15.75" thickTop="1">
      <c r="A1" s="3" t="s">
        <v>15</v>
      </c>
      <c r="B1" s="7" t="s">
        <v>18</v>
      </c>
      <c r="C1" s="103"/>
    </row>
    <row r="2" spans="1:10" ht="15.75" thickBot="1">
      <c r="B2" s="4"/>
      <c r="C2" s="103"/>
    </row>
    <row r="3" spans="1:10" ht="15.75" thickBot="1">
      <c r="A3" s="161" t="s">
        <v>1059</v>
      </c>
      <c r="B3" s="33" t="b">
        <v>0</v>
      </c>
      <c r="C3" s="103"/>
    </row>
    <row r="4" spans="1:10" ht="15.75" thickBot="1">
      <c r="A4" s="161" t="s">
        <v>1060</v>
      </c>
      <c r="B4" s="33" t="b">
        <v>0</v>
      </c>
      <c r="C4" s="103" t="b">
        <f>NOT(B4)</f>
        <v>1</v>
      </c>
    </row>
    <row r="5" spans="1:10" ht="15.75" thickBot="1">
      <c r="A5" s="161" t="s">
        <v>1061</v>
      </c>
      <c r="B5" s="33" t="b">
        <v>0</v>
      </c>
      <c r="C5" s="103" t="b">
        <f>NOT(B5)</f>
        <v>1</v>
      </c>
    </row>
    <row r="6" spans="1:10" ht="15.75" thickBot="1">
      <c r="A6" s="158" t="s">
        <v>1070</v>
      </c>
      <c r="B6" s="33" t="b">
        <v>0</v>
      </c>
      <c r="C6" s="103" t="b">
        <f>NOT(B6)</f>
        <v>1</v>
      </c>
    </row>
    <row r="7" spans="1:10" ht="15.75" thickBot="1">
      <c r="A7" s="158" t="s">
        <v>1062</v>
      </c>
      <c r="B7" s="33" t="b">
        <v>0</v>
      </c>
      <c r="C7" s="103" t="b">
        <f t="shared" ref="C7:C10" si="0">NOT(B7)</f>
        <v>1</v>
      </c>
    </row>
    <row r="8" spans="1:10" ht="15.75" thickBot="1">
      <c r="A8" s="170" t="s">
        <v>1063</v>
      </c>
      <c r="B8" s="33" t="b">
        <v>0</v>
      </c>
      <c r="C8" s="103" t="b">
        <f t="shared" si="0"/>
        <v>1</v>
      </c>
    </row>
    <row r="9" spans="1:10" ht="15.75" thickBot="1">
      <c r="A9" s="170" t="s">
        <v>1064</v>
      </c>
      <c r="B9" s="33" t="b">
        <v>0</v>
      </c>
      <c r="C9" s="103" t="b">
        <f t="shared" si="0"/>
        <v>1</v>
      </c>
    </row>
    <row r="10" spans="1:10" ht="15.75" thickBot="1">
      <c r="A10" s="170" t="s">
        <v>1065</v>
      </c>
      <c r="B10" s="33" t="b">
        <v>0</v>
      </c>
      <c r="C10" s="103" t="b">
        <f t="shared" si="0"/>
        <v>1</v>
      </c>
    </row>
    <row r="11" spans="1:10" ht="15.75" thickBot="1">
      <c r="A11" s="162" t="s">
        <v>1066</v>
      </c>
      <c r="B11" s="33" t="b">
        <v>0</v>
      </c>
      <c r="C11" s="103" t="b">
        <f>NOT(B11)</f>
        <v>1</v>
      </c>
    </row>
    <row r="12" spans="1:10" ht="15.75" thickBot="1">
      <c r="A12" s="162" t="s">
        <v>1067</v>
      </c>
      <c r="B12" s="33" t="b">
        <v>0</v>
      </c>
      <c r="C12" s="103" t="b">
        <f t="shared" ref="C12:C14" si="1">NOT(B12)</f>
        <v>1</v>
      </c>
    </row>
    <row r="13" spans="1:10" ht="15.75" thickBot="1">
      <c r="A13" s="162" t="s">
        <v>1068</v>
      </c>
      <c r="B13" s="33" t="b">
        <v>0</v>
      </c>
      <c r="C13" s="103" t="b">
        <f t="shared" si="1"/>
        <v>1</v>
      </c>
    </row>
    <row r="14" spans="1:10" ht="15.75" thickBot="1">
      <c r="A14" s="162" t="s">
        <v>1069</v>
      </c>
      <c r="B14" s="33" t="b">
        <v>0</v>
      </c>
      <c r="C14" s="103" t="b">
        <f t="shared" si="1"/>
        <v>1</v>
      </c>
      <c r="J14" t="s">
        <v>1071</v>
      </c>
    </row>
    <row r="15" spans="1:10" ht="15.75" thickBot="1">
      <c r="A15" s="55" t="s">
        <v>1074</v>
      </c>
      <c r="B15" s="33" t="b">
        <v>0</v>
      </c>
      <c r="C15" s="103" t="b">
        <f>NOT(B15)</f>
        <v>1</v>
      </c>
    </row>
    <row r="16" spans="1:10" ht="15.75" thickBot="1">
      <c r="A16" s="184" t="s">
        <v>912</v>
      </c>
      <c r="B16" s="33" t="b">
        <v>0</v>
      </c>
      <c r="C16" s="103" t="b">
        <f>NOT(B16)</f>
        <v>1</v>
      </c>
    </row>
    <row r="17" spans="1:3" ht="15.75" thickBot="1">
      <c r="A17" s="184" t="s">
        <v>1073</v>
      </c>
      <c r="B17" s="33" t="b">
        <v>0</v>
      </c>
      <c r="C17" s="103" t="b">
        <f t="shared" ref="C17:C18" si="2">NOT(B17)</f>
        <v>1</v>
      </c>
    </row>
    <row r="18" spans="1:3" ht="15.75" thickBot="1">
      <c r="A18" s="184" t="s">
        <v>910</v>
      </c>
      <c r="B18" s="33" t="b">
        <v>0</v>
      </c>
      <c r="C18" s="103"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
  <sheetViews>
    <sheetView topLeftCell="A61" zoomScaleNormal="100" workbookViewId="0">
      <selection activeCell="R77" sqref="R77:R78"/>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0">
      <c r="A1" s="70" t="s">
        <v>1212</v>
      </c>
      <c r="B1" s="124" t="s">
        <v>988</v>
      </c>
      <c r="C1" s="124" t="s">
        <v>989</v>
      </c>
      <c r="D1" s="124" t="s">
        <v>990</v>
      </c>
      <c r="E1" s="124" t="s">
        <v>991</v>
      </c>
      <c r="F1" s="124" t="s">
        <v>992</v>
      </c>
      <c r="G1" s="124" t="s">
        <v>933</v>
      </c>
      <c r="H1" s="124" t="s">
        <v>629</v>
      </c>
      <c r="I1" s="124" t="s">
        <v>1050</v>
      </c>
      <c r="J1" s="204" t="s">
        <v>81</v>
      </c>
      <c r="K1" s="204" t="s">
        <v>1957</v>
      </c>
      <c r="L1" t="s">
        <v>914</v>
      </c>
      <c r="M1" t="s">
        <v>593</v>
      </c>
      <c r="N1" t="s">
        <v>803</v>
      </c>
      <c r="O1" t="s">
        <v>993</v>
      </c>
      <c r="P1" s="204" t="s">
        <v>994</v>
      </c>
      <c r="Q1" s="204" t="s">
        <v>1072</v>
      </c>
      <c r="R1" s="204" t="s">
        <v>1001</v>
      </c>
      <c r="S1" t="s">
        <v>681</v>
      </c>
      <c r="T1" t="s">
        <v>381</v>
      </c>
    </row>
    <row r="2" spans="1:20">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c r="I2" s="17"/>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8" t="s">
        <v>689</v>
      </c>
    </row>
    <row r="3" spans="1:20">
      <c r="A3" t="b">
        <f>IF(Table152516[[#This Row],[Column11]],Table152516[[#This Row],[Column12]])</f>
        <v>0</v>
      </c>
      <c r="B3" s="20" t="b">
        <f>B2</f>
        <v>0</v>
      </c>
      <c r="C3" s="20" t="b">
        <f>C2</f>
        <v>0</v>
      </c>
      <c r="D3" s="20" t="b">
        <f>D2</f>
        <v>0</v>
      </c>
      <c r="E3" s="17"/>
      <c r="F3" s="17" t="b">
        <f>AND('Dry Skin Criteria'!C15)</f>
        <v>1</v>
      </c>
      <c r="G3" s="106"/>
      <c r="H3" s="17"/>
      <c r="I3" s="20" t="b">
        <f>AND('Dry Skin Criteria'!C10)</f>
        <v>1</v>
      </c>
      <c r="J3" s="20" t="b">
        <f>AND('Dry Skin Criteria'!B3,'Dry Skin Criteria'!B5,'Dry Skin Criteria'!C4)</f>
        <v>0</v>
      </c>
      <c r="K3" s="17"/>
      <c r="L3" s="20" t="b">
        <f>L2</f>
        <v>0</v>
      </c>
      <c r="M3" s="17"/>
      <c r="N3" s="17"/>
      <c r="O3" s="17"/>
      <c r="P3" s="17" t="b">
        <f>P2</f>
        <v>1</v>
      </c>
      <c r="Q3" s="20"/>
      <c r="R3" s="17" t="b">
        <f>R2</f>
        <v>1</v>
      </c>
      <c r="S3" t="b">
        <f>AND(Table152516[[#This Row],[Colloidal Oat]:[Non-comedogenic]],OR(Table152516[[#This Row],[Occlusive]:[Bath Oil]]))</f>
        <v>0</v>
      </c>
      <c r="T3" s="28" t="s">
        <v>690</v>
      </c>
    </row>
    <row r="4" spans="1:20">
      <c r="A4" t="b">
        <f>IF(Table152516[[#This Row],[Column11]],Table152516[[#This Row],[Column12]])</f>
        <v>0</v>
      </c>
      <c r="B4" s="20" t="b">
        <f>B2</f>
        <v>0</v>
      </c>
      <c r="C4" s="20" t="b">
        <f>C2</f>
        <v>0</v>
      </c>
      <c r="D4" s="20" t="b">
        <f>D2</f>
        <v>0</v>
      </c>
      <c r="E4" s="17"/>
      <c r="F4" s="17" t="b">
        <f>F3</f>
        <v>1</v>
      </c>
      <c r="G4" s="106"/>
      <c r="H4" s="17"/>
      <c r="I4" s="20" t="b">
        <f>I3</f>
        <v>1</v>
      </c>
      <c r="J4" s="20" t="b">
        <f>J3</f>
        <v>0</v>
      </c>
      <c r="K4" s="17"/>
      <c r="L4" s="20" t="b">
        <f>L2</f>
        <v>0</v>
      </c>
      <c r="M4" s="17"/>
      <c r="N4" s="17"/>
      <c r="O4" s="17"/>
      <c r="P4" s="17" t="b">
        <f>P2</f>
        <v>1</v>
      </c>
      <c r="Q4" s="20"/>
      <c r="R4" s="17" t="b">
        <f>R2</f>
        <v>1</v>
      </c>
      <c r="S4" t="b">
        <f>AND(Table152516[[#This Row],[Colloidal Oat]:[Non-comedogenic]],OR(Table152516[[#This Row],[Occlusive]:[Bath Oil]]))</f>
        <v>0</v>
      </c>
      <c r="T4" s="28" t="s">
        <v>691</v>
      </c>
    </row>
    <row r="5" spans="1:20">
      <c r="A5" t="b">
        <f>IF(Table152516[[#This Row],[Column11]],Table152516[[#This Row],[Column12]])</f>
        <v>0</v>
      </c>
      <c r="B5" s="17"/>
      <c r="C5" s="20" t="b">
        <f>C2</f>
        <v>0</v>
      </c>
      <c r="D5" s="17"/>
      <c r="E5" s="17"/>
      <c r="F5" s="17" t="b">
        <f>F3</f>
        <v>1</v>
      </c>
      <c r="G5" s="17" t="b">
        <f>G2</f>
        <v>1</v>
      </c>
      <c r="H5" s="17"/>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8" t="s">
        <v>692</v>
      </c>
    </row>
    <row r="6" spans="1:20">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c r="I6" s="17"/>
      <c r="J6" s="17" t="b">
        <f t="shared" si="0"/>
        <v>1</v>
      </c>
      <c r="K6" s="17"/>
      <c r="L6" s="17"/>
      <c r="M6" s="20" t="b">
        <f>AND('Dry Skin Criteria'!B17,'Dry Skin Criteria'!C16,'Dry Skin Criteria'!C18)</f>
        <v>0</v>
      </c>
      <c r="N6" s="17"/>
      <c r="O6" s="17"/>
      <c r="P6" s="17" t="b">
        <f>P2</f>
        <v>1</v>
      </c>
      <c r="Q6" s="20"/>
      <c r="R6" s="17" t="b">
        <f>R2</f>
        <v>1</v>
      </c>
      <c r="S6" t="b">
        <f>AND(Table152516[[#This Row],[Colloidal Oat]:[Non-comedogenic]],OR(Table152516[[#This Row],[Occlusive]:[Bath Oil]]))</f>
        <v>0</v>
      </c>
      <c r="T6" s="28" t="s">
        <v>693</v>
      </c>
    </row>
    <row r="7" spans="1:20">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c r="I7" s="17"/>
      <c r="J7" s="17" t="b">
        <f t="shared" si="1"/>
        <v>1</v>
      </c>
      <c r="K7" s="17"/>
      <c r="L7" s="20" t="b">
        <f>L2</f>
        <v>0</v>
      </c>
      <c r="M7" s="17"/>
      <c r="N7" s="17"/>
      <c r="O7" s="20" t="b">
        <f>AND('Dry Skin Criteria'!B17,'Dry Skin Criteria'!C16,'Dry Skin Criteria'!C18)</f>
        <v>0</v>
      </c>
      <c r="P7" s="20"/>
      <c r="Q7" s="20"/>
      <c r="R7" s="17" t="b">
        <f>R2</f>
        <v>1</v>
      </c>
      <c r="S7" t="b">
        <f>AND(Table152516[[#This Row],[Colloidal Oat]:[Non-comedogenic]],OR(Table152516[[#This Row],[Occlusive]:[Bath Oil]]))</f>
        <v>0</v>
      </c>
      <c r="T7" s="28" t="s">
        <v>694</v>
      </c>
    </row>
    <row r="8" spans="1:20">
      <c r="A8" t="b">
        <f>IF(Table152516[[#This Row],[Column11]],Table152516[[#This Row],[Column12]])</f>
        <v>0</v>
      </c>
      <c r="B8" s="20" t="b">
        <f>B2</f>
        <v>0</v>
      </c>
      <c r="C8" s="17"/>
      <c r="D8" s="20" t="b">
        <f>D2</f>
        <v>0</v>
      </c>
      <c r="E8" s="17"/>
      <c r="F8" s="17" t="b">
        <f>F3</f>
        <v>1</v>
      </c>
      <c r="G8" s="17" t="b">
        <f>G2</f>
        <v>1</v>
      </c>
      <c r="H8" s="20" t="b">
        <f>AND('Dry Skin Criteria'!C9)</f>
        <v>1</v>
      </c>
      <c r="I8" s="17"/>
      <c r="J8" s="17" t="b">
        <f>J2</f>
        <v>1</v>
      </c>
      <c r="K8" s="17"/>
      <c r="L8" s="20" t="b">
        <f>L2</f>
        <v>0</v>
      </c>
      <c r="M8" s="17"/>
      <c r="N8" s="17"/>
      <c r="O8" s="17"/>
      <c r="P8" s="17" t="b">
        <f>P2</f>
        <v>1</v>
      </c>
      <c r="Q8" s="17" t="b">
        <f>Q2</f>
        <v>1</v>
      </c>
      <c r="R8" s="17" t="b">
        <f>R2</f>
        <v>1</v>
      </c>
      <c r="S8" t="b">
        <f>AND(Table152516[[#This Row],[Colloidal Oat]:[Non-comedogenic]],OR(Table152516[[#This Row],[Occlusive]:[Bath Oil]]))</f>
        <v>0</v>
      </c>
      <c r="T8" s="28" t="s">
        <v>695</v>
      </c>
    </row>
    <row r="9" spans="1:20">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16"/>
    </row>
    <row r="10" spans="1:20">
      <c r="A10" t="b">
        <f>IF(Table152516[[#This Row],[Column11]],Table152516[[#This Row],[Column12]])</f>
        <v>0</v>
      </c>
      <c r="B10" s="20" t="b">
        <f>B2</f>
        <v>0</v>
      </c>
      <c r="C10" s="20" t="b">
        <f>C2</f>
        <v>0</v>
      </c>
      <c r="D10" s="20" t="b">
        <f>D2</f>
        <v>0</v>
      </c>
      <c r="E10" s="17"/>
      <c r="F10" s="17" t="b">
        <f>F3</f>
        <v>1</v>
      </c>
      <c r="G10" s="106"/>
      <c r="H10" s="17"/>
      <c r="I10" s="17"/>
      <c r="J10" s="20" t="b">
        <f>J3</f>
        <v>0</v>
      </c>
      <c r="K10" s="17"/>
      <c r="L10" s="20" t="b">
        <f>L2</f>
        <v>0</v>
      </c>
      <c r="M10" s="17"/>
      <c r="N10" s="17"/>
      <c r="O10" s="17"/>
      <c r="P10" s="20"/>
      <c r="Q10" s="20"/>
      <c r="R10" s="17" t="b">
        <f>R2</f>
        <v>1</v>
      </c>
      <c r="S10" t="b">
        <f>AND(Table152516[[#This Row],[Colloidal Oat]:[Non-comedogenic]],OR(Table152516[[#This Row],[Occlusive]:[Bath Oil]]))</f>
        <v>0</v>
      </c>
      <c r="T10" s="29" t="s">
        <v>703</v>
      </c>
    </row>
    <row r="11" spans="1:20">
      <c r="A11" t="b">
        <f>IF(Table152516[[#This Row],[Column11]],Table152516[[#This Row],[Column12]])</f>
        <v>0</v>
      </c>
      <c r="B11" s="17"/>
      <c r="C11" s="17"/>
      <c r="D11" s="20" t="b">
        <f>D2</f>
        <v>0</v>
      </c>
      <c r="E11" s="17"/>
      <c r="F11" s="17" t="b">
        <f>F3</f>
        <v>1</v>
      </c>
      <c r="G11" s="17" t="b">
        <f>G2</f>
        <v>1</v>
      </c>
      <c r="H11" s="17"/>
      <c r="I11" s="17"/>
      <c r="J11" s="17" t="b">
        <f>J2</f>
        <v>1</v>
      </c>
      <c r="K11" s="20" t="b">
        <f>K5</f>
        <v>0</v>
      </c>
      <c r="L11" s="20" t="b">
        <f>L2</f>
        <v>0</v>
      </c>
      <c r="M11" s="17"/>
      <c r="N11" s="17"/>
      <c r="O11" s="17"/>
      <c r="P11" s="17" t="b">
        <f>P2</f>
        <v>1</v>
      </c>
      <c r="Q11" s="20"/>
      <c r="R11" s="17" t="b">
        <f>R2</f>
        <v>1</v>
      </c>
      <c r="S11" t="b">
        <f>AND(Table152516[[#This Row],[Colloidal Oat]:[Non-comedogenic]],OR(Table152516[[#This Row],[Occlusive]:[Bath Oil]]))</f>
        <v>0</v>
      </c>
      <c r="T11" s="29" t="s">
        <v>704</v>
      </c>
    </row>
    <row r="12" spans="1:20">
      <c r="A12" t="b">
        <f>IF(Table152516[[#This Row],[Column11]],Table152516[[#This Row],[Column12]])</f>
        <v>0</v>
      </c>
      <c r="B12" s="20" t="b">
        <f>B2</f>
        <v>0</v>
      </c>
      <c r="C12" s="17"/>
      <c r="D12" s="17"/>
      <c r="E12" s="17"/>
      <c r="F12" s="17" t="b">
        <f>F3</f>
        <v>1</v>
      </c>
      <c r="G12" s="17" t="b">
        <f>G2</f>
        <v>1</v>
      </c>
      <c r="H12" s="17"/>
      <c r="I12" s="17"/>
      <c r="J12" s="17" t="b">
        <f>J2</f>
        <v>1</v>
      </c>
      <c r="K12" s="20" t="b">
        <f>K5</f>
        <v>0</v>
      </c>
      <c r="L12" s="17"/>
      <c r="M12" s="17"/>
      <c r="N12" s="20" t="b">
        <f>N5</f>
        <v>0</v>
      </c>
      <c r="O12" s="17"/>
      <c r="P12" s="17" t="b">
        <f>P2</f>
        <v>1</v>
      </c>
      <c r="Q12" s="20"/>
      <c r="R12" s="17" t="b">
        <f>R2</f>
        <v>1</v>
      </c>
      <c r="S12" t="b">
        <f>AND(Table152516[[#This Row],[Colloidal Oat]:[Non-comedogenic]],OR(Table152516[[#This Row],[Occlusive]:[Bath Oil]]))</f>
        <v>0</v>
      </c>
      <c r="T12" s="29" t="s">
        <v>707</v>
      </c>
    </row>
    <row r="13" spans="1:20">
      <c r="A13" t="b">
        <f>IF(Table152516[[#This Row],[Column11]],Table152516[[#This Row],[Column12]])</f>
        <v>0</v>
      </c>
      <c r="B13" s="17"/>
      <c r="C13" s="17"/>
      <c r="D13" s="20" t="b">
        <f>D2</f>
        <v>0</v>
      </c>
      <c r="E13" s="17"/>
      <c r="F13" s="17" t="b">
        <f>F3</f>
        <v>1</v>
      </c>
      <c r="G13" s="17" t="b">
        <f>G2</f>
        <v>1</v>
      </c>
      <c r="H13" s="17"/>
      <c r="I13" s="17"/>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9" t="s">
        <v>708</v>
      </c>
    </row>
    <row r="14" spans="1:20">
      <c r="A14" t="b">
        <f>IF(Table152516[[#This Row],[Column11]],Table152516[[#This Row],[Column12]])</f>
        <v>0</v>
      </c>
      <c r="B14" s="17"/>
      <c r="C14" s="17"/>
      <c r="D14" s="20" t="b">
        <f>D2</f>
        <v>0</v>
      </c>
      <c r="E14" s="17"/>
      <c r="F14" s="17" t="b">
        <f>F3</f>
        <v>1</v>
      </c>
      <c r="G14" s="17" t="b">
        <f>G2</f>
        <v>1</v>
      </c>
      <c r="H14" s="17"/>
      <c r="I14" s="17"/>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9" t="s">
        <v>709</v>
      </c>
    </row>
    <row r="15" spans="1:20">
      <c r="A15" t="b">
        <f>IF(Table152516[[#This Row],[Column11]],Table152516[[#This Row],[Column12]])</f>
        <v>0</v>
      </c>
      <c r="B15" s="17"/>
      <c r="C15" s="17"/>
      <c r="D15" s="20" t="b">
        <f>D2</f>
        <v>0</v>
      </c>
      <c r="E15" s="17"/>
      <c r="F15" s="17" t="b">
        <f>F3</f>
        <v>1</v>
      </c>
      <c r="G15" s="17" t="b">
        <f>G2</f>
        <v>1</v>
      </c>
      <c r="H15" s="17"/>
      <c r="I15" s="17"/>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9" t="s">
        <v>710</v>
      </c>
    </row>
    <row r="16" spans="1:20">
      <c r="A16" t="b">
        <f>IF(Table152516[[#This Row],[Column11]],Table152516[[#This Row],[Column12]])</f>
        <v>0</v>
      </c>
      <c r="B16" s="17"/>
      <c r="C16" s="17"/>
      <c r="D16" s="20" t="b">
        <f>D2</f>
        <v>0</v>
      </c>
      <c r="E16" s="17"/>
      <c r="F16" s="17" t="b">
        <f>F3</f>
        <v>1</v>
      </c>
      <c r="G16" s="17" t="b">
        <f>G2</f>
        <v>1</v>
      </c>
      <c r="H16" s="17"/>
      <c r="I16" s="17"/>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9" t="s">
        <v>711</v>
      </c>
    </row>
    <row r="17" spans="1:20">
      <c r="A17" t="b">
        <f>IF(Table152516[[#This Row],[Column11]],Table152516[[#This Row],[Column12]])</f>
        <v>0</v>
      </c>
      <c r="B17" s="20" t="b">
        <f>B2</f>
        <v>0</v>
      </c>
      <c r="C17" s="20" t="b">
        <f>C2</f>
        <v>0</v>
      </c>
      <c r="D17" s="20" t="b">
        <f>D2</f>
        <v>0</v>
      </c>
      <c r="E17" s="17"/>
      <c r="F17" s="17" t="b">
        <f>F3</f>
        <v>1</v>
      </c>
      <c r="G17" s="17" t="b">
        <f>G2</f>
        <v>1</v>
      </c>
      <c r="H17" s="17"/>
      <c r="I17" s="17"/>
      <c r="J17" s="17" t="b">
        <f>J2</f>
        <v>1</v>
      </c>
      <c r="K17" s="17"/>
      <c r="L17" s="20" t="b">
        <f>L2</f>
        <v>0</v>
      </c>
      <c r="M17" s="17"/>
      <c r="N17" s="17"/>
      <c r="O17" s="17"/>
      <c r="P17" s="20"/>
      <c r="Q17" s="20"/>
      <c r="R17" s="17" t="b">
        <f>R2</f>
        <v>1</v>
      </c>
      <c r="S17" t="b">
        <f>AND(Table152516[[#This Row],[Colloidal Oat]:[Non-comedogenic]],OR(Table152516[[#This Row],[Occlusive]:[Bath Oil]]))</f>
        <v>0</v>
      </c>
      <c r="T17" s="29" t="s">
        <v>712</v>
      </c>
    </row>
    <row r="18" spans="1:20">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c r="I18" s="17"/>
      <c r="J18" s="17" t="b">
        <f t="shared" si="2"/>
        <v>1</v>
      </c>
      <c r="K18" s="17"/>
      <c r="L18" s="17"/>
      <c r="M18" s="17"/>
      <c r="N18" s="20" t="b">
        <f>N5</f>
        <v>0</v>
      </c>
      <c r="O18" s="17"/>
      <c r="P18" s="20"/>
      <c r="Q18" s="20"/>
      <c r="R18" s="17" t="b">
        <f>R2</f>
        <v>1</v>
      </c>
      <c r="S18" t="b">
        <f>AND(Table152516[[#This Row],[Colloidal Oat]:[Non-comedogenic]],OR(Table152516[[#This Row],[Occlusive]:[Bath Oil]]))</f>
        <v>0</v>
      </c>
      <c r="T18" s="29" t="s">
        <v>996</v>
      </c>
    </row>
    <row r="19" spans="1:20">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c r="I19" s="17"/>
      <c r="J19" s="17" t="b">
        <f t="shared" si="3"/>
        <v>1</v>
      </c>
      <c r="K19" s="17"/>
      <c r="L19" s="20" t="b">
        <f>L2</f>
        <v>0</v>
      </c>
      <c r="M19" s="17"/>
      <c r="N19" s="17"/>
      <c r="O19" s="17"/>
      <c r="P19" s="20"/>
      <c r="Q19" s="20"/>
      <c r="R19" s="17" t="b">
        <f>R2</f>
        <v>1</v>
      </c>
      <c r="S19" t="b">
        <f>AND(Table152516[[#This Row],[Colloidal Oat]:[Non-comedogenic]],OR(Table152516[[#This Row],[Occlusive]:[Bath Oil]]))</f>
        <v>0</v>
      </c>
      <c r="T19" s="29" t="s">
        <v>995</v>
      </c>
    </row>
    <row r="20" spans="1:20">
      <c r="A20" t="b">
        <f>IF(Table152516[[#This Row],[Column11]],Table152516[[#This Row],[Column12]])</f>
        <v>0</v>
      </c>
      <c r="B20" s="20" t="b">
        <f>B2</f>
        <v>0</v>
      </c>
      <c r="C20" s="20" t="b">
        <f>C2</f>
        <v>0</v>
      </c>
      <c r="D20" s="20" t="b">
        <f>D2</f>
        <v>0</v>
      </c>
      <c r="E20" s="17"/>
      <c r="F20" s="17" t="b">
        <f>F3</f>
        <v>1</v>
      </c>
      <c r="G20" s="17" t="b">
        <f>G2</f>
        <v>1</v>
      </c>
      <c r="H20" s="17"/>
      <c r="I20" s="17"/>
      <c r="J20" s="17" t="b">
        <f>J2</f>
        <v>1</v>
      </c>
      <c r="K20" s="17"/>
      <c r="L20" s="20" t="b">
        <f>L2</f>
        <v>0</v>
      </c>
      <c r="M20" s="17"/>
      <c r="N20" s="17"/>
      <c r="O20" s="17"/>
      <c r="P20" s="20"/>
      <c r="Q20" s="17" t="b">
        <f>Q2</f>
        <v>1</v>
      </c>
      <c r="R20" s="17" t="b">
        <f>R2</f>
        <v>1</v>
      </c>
      <c r="S20" t="b">
        <f>AND(Table152516[[#This Row],[Colloidal Oat]:[Non-comedogenic]],OR(Table152516[[#This Row],[Occlusive]:[Bath Oil]]))</f>
        <v>0</v>
      </c>
      <c r="T20" s="29" t="s">
        <v>713</v>
      </c>
    </row>
    <row r="21" spans="1:20">
      <c r="A21" t="b">
        <f>IF(Table152516[[#This Row],[Column11]],Table152516[[#This Row],[Column12]])</f>
        <v>0</v>
      </c>
      <c r="B21" s="20" t="b">
        <f>B2</f>
        <v>0</v>
      </c>
      <c r="C21" s="20" t="b">
        <f>C2</f>
        <v>0</v>
      </c>
      <c r="D21" s="20" t="b">
        <f>D2</f>
        <v>0</v>
      </c>
      <c r="E21" s="17"/>
      <c r="F21" s="17" t="b">
        <f>F3</f>
        <v>1</v>
      </c>
      <c r="G21" s="20" t="b">
        <f>AND('Dry Skin Criteria'!B5,'Dry Skin Criteria'!C4)</f>
        <v>0</v>
      </c>
      <c r="H21" s="17"/>
      <c r="I21" s="17"/>
      <c r="J21" s="106"/>
      <c r="K21" s="17"/>
      <c r="L21" s="17"/>
      <c r="M21" s="17"/>
      <c r="N21" s="20" t="b">
        <f>N5</f>
        <v>0</v>
      </c>
      <c r="O21" s="17"/>
      <c r="P21" s="17" t="b">
        <f>P2</f>
        <v>1</v>
      </c>
      <c r="Q21" s="17" t="b">
        <f>Q2</f>
        <v>1</v>
      </c>
      <c r="R21" s="17" t="b">
        <f>R2</f>
        <v>1</v>
      </c>
      <c r="S21" t="b">
        <f>AND(Table152516[[#This Row],[Colloidal Oat]:[Non-comedogenic]],OR(Table152516[[#This Row],[Occlusive]:[Bath Oil]]))</f>
        <v>0</v>
      </c>
      <c r="T21" s="29" t="s">
        <v>714</v>
      </c>
    </row>
    <row r="22" spans="1:20">
      <c r="A22" t="b">
        <f>IF(Table152516[[#This Row],[Column11]],Table152516[[#This Row],[Column12]])</f>
        <v>0</v>
      </c>
      <c r="B22" s="20" t="b">
        <f>B2</f>
        <v>0</v>
      </c>
      <c r="C22" s="20" t="b">
        <f>C2</f>
        <v>0</v>
      </c>
      <c r="D22" s="20" t="b">
        <f>D2</f>
        <v>0</v>
      </c>
      <c r="E22" s="17"/>
      <c r="F22" s="17" t="b">
        <f>F3</f>
        <v>1</v>
      </c>
      <c r="G22" s="17" t="b">
        <f>G2</f>
        <v>1</v>
      </c>
      <c r="H22" s="17"/>
      <c r="I22" s="17"/>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9" t="s">
        <v>997</v>
      </c>
    </row>
    <row r="23" spans="1:20">
      <c r="A23" t="b">
        <f>IF(Table152516[[#This Row],[Column11]],Table152516[[#This Row],[Column12]])</f>
        <v>0</v>
      </c>
      <c r="B23" s="20" t="b">
        <f>B2</f>
        <v>0</v>
      </c>
      <c r="C23" s="20" t="b">
        <f>C2</f>
        <v>0</v>
      </c>
      <c r="D23" s="20" t="b">
        <f>D2</f>
        <v>0</v>
      </c>
      <c r="E23" s="17"/>
      <c r="F23" s="17" t="b">
        <f>F3</f>
        <v>1</v>
      </c>
      <c r="G23" s="17" t="b">
        <f>G2</f>
        <v>1</v>
      </c>
      <c r="H23" s="17"/>
      <c r="I23" s="17"/>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9" t="s">
        <v>998</v>
      </c>
    </row>
    <row r="24" spans="1:20">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16"/>
    </row>
    <row r="25" spans="1:20">
      <c r="A25" t="b">
        <f>IF(Table152516[[#This Row],[Column11]],Table152516[[#This Row],[Column12]])</f>
        <v>0</v>
      </c>
      <c r="B25" s="20" t="b">
        <f>B2</f>
        <v>0</v>
      </c>
      <c r="C25" s="20" t="b">
        <f>C2</f>
        <v>0</v>
      </c>
      <c r="D25" s="17"/>
      <c r="E25" s="17"/>
      <c r="F25" s="17" t="b">
        <f>F3</f>
        <v>1</v>
      </c>
      <c r="G25" s="17" t="b">
        <f>G2</f>
        <v>1</v>
      </c>
      <c r="H25" s="17"/>
      <c r="I25" s="17"/>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8" t="s">
        <v>999</v>
      </c>
    </row>
    <row r="26" spans="1:20">
      <c r="A26" t="b">
        <f>IF(Table152516[[#This Row],[Column11]],Table152516[[#This Row],[Column12]])</f>
        <v>0</v>
      </c>
      <c r="B26" s="20" t="b">
        <f>B2</f>
        <v>0</v>
      </c>
      <c r="C26" s="20" t="b">
        <f>C2</f>
        <v>0</v>
      </c>
      <c r="D26" s="17"/>
      <c r="E26" s="17"/>
      <c r="F26" s="17" t="b">
        <f>F3</f>
        <v>1</v>
      </c>
      <c r="G26" s="17" t="b">
        <f>G2</f>
        <v>1</v>
      </c>
      <c r="H26" s="17"/>
      <c r="I26" s="17"/>
      <c r="J26" s="17" t="b">
        <f>J2</f>
        <v>1</v>
      </c>
      <c r="K26" s="17"/>
      <c r="L26" s="20" t="b">
        <f>L2</f>
        <v>0</v>
      </c>
      <c r="M26" s="17"/>
      <c r="N26" s="17"/>
      <c r="O26" s="17"/>
      <c r="P26" s="17" t="b">
        <f>P2</f>
        <v>1</v>
      </c>
      <c r="Q26" s="20"/>
      <c r="R26" s="17" t="b">
        <f>R2</f>
        <v>1</v>
      </c>
      <c r="S26" t="b">
        <f>AND(Table152516[[#This Row],[Colloidal Oat]:[Non-comedogenic]],OR(Table152516[[#This Row],[Occlusive]:[Bath Oil]]))</f>
        <v>0</v>
      </c>
      <c r="T26" s="28" t="s">
        <v>1000</v>
      </c>
    </row>
    <row r="27" spans="1:20">
      <c r="A27" t="b">
        <f>IF(Table152516[[#This Row],[Column11]],Table152516[[#This Row],[Column12]])</f>
        <v>0</v>
      </c>
      <c r="B27" s="20" t="b">
        <f>B2</f>
        <v>0</v>
      </c>
      <c r="C27" s="20" t="b">
        <f>C2</f>
        <v>0</v>
      </c>
      <c r="D27" s="17"/>
      <c r="E27" s="17"/>
      <c r="F27" s="17" t="b">
        <f>F3</f>
        <v>1</v>
      </c>
      <c r="G27" s="17" t="b">
        <f>G2</f>
        <v>1</v>
      </c>
      <c r="H27" s="17"/>
      <c r="I27" s="17"/>
      <c r="J27" s="17" t="b">
        <f>J2</f>
        <v>1</v>
      </c>
      <c r="K27" s="17"/>
      <c r="L27" s="20" t="b">
        <f>L2</f>
        <v>0</v>
      </c>
      <c r="M27" s="17"/>
      <c r="N27" s="17"/>
      <c r="O27" s="17"/>
      <c r="P27" s="17" t="b">
        <f>P2</f>
        <v>1</v>
      </c>
      <c r="Q27" s="20"/>
      <c r="R27" s="20"/>
      <c r="S27" t="b">
        <f>AND(Table152516[[#This Row],[Colloidal Oat]:[Non-comedogenic]],OR(Table152516[[#This Row],[Occlusive]:[Bath Oil]]))</f>
        <v>0</v>
      </c>
      <c r="T27" s="28" t="s">
        <v>1002</v>
      </c>
    </row>
    <row r="28" spans="1:20">
      <c r="A28" t="b">
        <f>IF(Table152516[[#This Row],[Column11]],Table152516[[#This Row],[Column12]])</f>
        <v>0</v>
      </c>
      <c r="B28" s="17"/>
      <c r="C28" s="20" t="b">
        <f>C2</f>
        <v>0</v>
      </c>
      <c r="D28" s="20" t="b">
        <f>D2</f>
        <v>0</v>
      </c>
      <c r="E28" s="17"/>
      <c r="F28" s="17" t="b">
        <f>F3</f>
        <v>1</v>
      </c>
      <c r="G28" s="17" t="b">
        <f>G2</f>
        <v>1</v>
      </c>
      <c r="H28" s="17"/>
      <c r="I28" s="17"/>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8" t="s">
        <v>1003</v>
      </c>
    </row>
    <row r="29" spans="1:20">
      <c r="A29" t="b">
        <f>IF(Table152516[[#This Row],[Column11]],Table152516[[#This Row],[Column12]])</f>
        <v>0</v>
      </c>
      <c r="B29" s="20" t="b">
        <f>B2</f>
        <v>0</v>
      </c>
      <c r="C29" s="20" t="b">
        <f>C2</f>
        <v>0</v>
      </c>
      <c r="D29" s="20" t="b">
        <f>D2</f>
        <v>0</v>
      </c>
      <c r="E29" s="17"/>
      <c r="F29" s="17" t="b">
        <f>F3</f>
        <v>1</v>
      </c>
      <c r="G29" s="17" t="b">
        <f>G2</f>
        <v>1</v>
      </c>
      <c r="H29" s="17"/>
      <c r="I29" s="17"/>
      <c r="J29" s="17" t="b">
        <f>J2</f>
        <v>1</v>
      </c>
      <c r="K29" s="17"/>
      <c r="L29" s="20" t="b">
        <f>L2</f>
        <v>0</v>
      </c>
      <c r="M29" s="17"/>
      <c r="N29" s="17"/>
      <c r="O29" s="17"/>
      <c r="P29" s="17" t="b">
        <f>P2</f>
        <v>1</v>
      </c>
      <c r="Q29" s="17" t="b">
        <f>Q2</f>
        <v>1</v>
      </c>
      <c r="R29" s="20"/>
      <c r="S29" t="b">
        <f>AND(Table152516[[#This Row],[Colloidal Oat]:[Non-comedogenic]],OR(Table152516[[#This Row],[Occlusive]:[Bath Oil]]))</f>
        <v>0</v>
      </c>
      <c r="T29" s="28" t="s">
        <v>1004</v>
      </c>
    </row>
    <row r="30" spans="1:20">
      <c r="A30" t="b">
        <f>IF(Table152516[[#This Row],[Column11]],Table152516[[#This Row],[Column12]])</f>
        <v>0</v>
      </c>
      <c r="B30" s="20" t="b">
        <f>B2</f>
        <v>0</v>
      </c>
      <c r="C30" s="20" t="b">
        <f>C2</f>
        <v>0</v>
      </c>
      <c r="D30" s="17"/>
      <c r="E30" s="17"/>
      <c r="F30" s="17" t="b">
        <f>F3</f>
        <v>1</v>
      </c>
      <c r="G30" s="17" t="b">
        <f>G2</f>
        <v>1</v>
      </c>
      <c r="H30" s="17"/>
      <c r="I30" s="17"/>
      <c r="J30" s="17" t="b">
        <f>J2</f>
        <v>1</v>
      </c>
      <c r="K30" s="17"/>
      <c r="L30" s="20" t="b">
        <f>L2</f>
        <v>0</v>
      </c>
      <c r="M30" s="17"/>
      <c r="N30" s="17"/>
      <c r="O30" s="17"/>
      <c r="P30" s="17" t="b">
        <f>P2</f>
        <v>1</v>
      </c>
      <c r="Q30" s="20"/>
      <c r="R30" s="20"/>
      <c r="S30" t="b">
        <f>AND(Table152516[[#This Row],[Colloidal Oat]:[Non-comedogenic]],OR(Table152516[[#This Row],[Occlusive]:[Bath Oil]]))</f>
        <v>0</v>
      </c>
      <c r="T30" s="28" t="s">
        <v>1005</v>
      </c>
    </row>
    <row r="31" spans="1:20">
      <c r="A31" t="b">
        <f>IF(Table152516[[#This Row],[Column11]],Table152516[[#This Row],[Column12]])</f>
        <v>0</v>
      </c>
      <c r="B31" s="20" t="b">
        <f>B2</f>
        <v>0</v>
      </c>
      <c r="C31" s="20" t="b">
        <f>C2</f>
        <v>0</v>
      </c>
      <c r="D31" s="17"/>
      <c r="E31" s="17"/>
      <c r="F31" s="17" t="b">
        <f>F3</f>
        <v>1</v>
      </c>
      <c r="G31" s="17" t="b">
        <f>G2</f>
        <v>1</v>
      </c>
      <c r="H31" s="17"/>
      <c r="I31" s="17"/>
      <c r="J31" s="17" t="b">
        <f>J2</f>
        <v>1</v>
      </c>
      <c r="K31" s="17"/>
      <c r="L31" s="20" t="b">
        <f>L2</f>
        <v>0</v>
      </c>
      <c r="M31" s="17"/>
      <c r="N31" s="17"/>
      <c r="O31" s="17"/>
      <c r="P31" s="17" t="b">
        <f>P2</f>
        <v>1</v>
      </c>
      <c r="Q31" s="17" t="b">
        <f>Q2</f>
        <v>1</v>
      </c>
      <c r="R31" s="20"/>
      <c r="S31" t="b">
        <f>AND(Table152516[[#This Row],[Colloidal Oat]:[Non-comedogenic]],OR(Table152516[[#This Row],[Occlusive]:[Bath Oil]]))</f>
        <v>0</v>
      </c>
      <c r="T31" s="28" t="s">
        <v>1006</v>
      </c>
    </row>
    <row r="32" spans="1:20">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16"/>
    </row>
    <row r="33" spans="1:20">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c r="I33" s="17"/>
      <c r="J33" s="17" t="b">
        <f t="shared" si="4"/>
        <v>1</v>
      </c>
      <c r="K33" s="17"/>
      <c r="L33" s="17"/>
      <c r="M33" s="17"/>
      <c r="N33" s="17"/>
      <c r="O33" s="20" t="b">
        <f>O7</f>
        <v>0</v>
      </c>
      <c r="P33" s="20"/>
      <c r="Q33" s="20"/>
      <c r="R33" s="17" t="b">
        <f>R2</f>
        <v>1</v>
      </c>
      <c r="S33" t="b">
        <f>AND(Table152516[[#This Row],[Colloidal Oat]:[Non-comedogenic]],OR(Table152516[[#This Row],[Occlusive]:[Bath Oil]]))</f>
        <v>0</v>
      </c>
      <c r="T33" s="28" t="s">
        <v>908</v>
      </c>
    </row>
    <row r="34" spans="1:20">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c r="I34" s="17"/>
      <c r="J34" s="17" t="b">
        <f t="shared" si="5"/>
        <v>1</v>
      </c>
      <c r="K34" s="17"/>
      <c r="L34" s="17"/>
      <c r="M34" s="20" t="b">
        <f>M6</f>
        <v>0</v>
      </c>
      <c r="N34" s="17"/>
      <c r="O34" s="17"/>
      <c r="P34" s="17" t="b">
        <f>P2</f>
        <v>1</v>
      </c>
      <c r="Q34" s="20"/>
      <c r="R34" s="17" t="b">
        <f>R2</f>
        <v>1</v>
      </c>
      <c r="S34" t="b">
        <f>AND(Table152516[[#This Row],[Colloidal Oat]:[Non-comedogenic]],OR(Table152516[[#This Row],[Occlusive]:[Bath Oil]]))</f>
        <v>0</v>
      </c>
      <c r="T34" s="28" t="s">
        <v>909</v>
      </c>
    </row>
    <row r="35" spans="1:20">
      <c r="A35" t="b">
        <f>IF(Table152516[[#This Row],[Column11]],Table152516[[#This Row],[Column12]])</f>
        <v>0</v>
      </c>
      <c r="B35" s="20" t="b">
        <f>B2</f>
        <v>0</v>
      </c>
      <c r="C35" s="20" t="b">
        <f>C2</f>
        <v>0</v>
      </c>
      <c r="D35" s="17"/>
      <c r="E35" s="20" t="b">
        <f t="shared" ref="E35:J35" si="6">E2</f>
        <v>0</v>
      </c>
      <c r="F35" s="20" t="b">
        <f t="shared" si="6"/>
        <v>0</v>
      </c>
      <c r="G35" s="17" t="b">
        <f t="shared" si="6"/>
        <v>1</v>
      </c>
      <c r="H35" s="17"/>
      <c r="I35" s="17"/>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11" t="s">
        <v>1007</v>
      </c>
    </row>
    <row r="36" spans="1:20">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c r="I36" s="17"/>
      <c r="J36" s="17" t="b">
        <f t="shared" si="7"/>
        <v>1</v>
      </c>
      <c r="K36" s="17"/>
      <c r="L36" s="17"/>
      <c r="M36" s="17"/>
      <c r="N36" s="20" t="b">
        <f>N5</f>
        <v>0</v>
      </c>
      <c r="O36" s="17"/>
      <c r="P36" s="17" t="b">
        <f>P2</f>
        <v>1</v>
      </c>
      <c r="Q36" s="20"/>
      <c r="R36" s="17" t="b">
        <f>R2</f>
        <v>1</v>
      </c>
      <c r="S36" t="b">
        <f>AND(Table152516[[#This Row],[Colloidal Oat]:[Non-comedogenic]],OR(Table152516[[#This Row],[Occlusive]:[Bath Oil]]))</f>
        <v>0</v>
      </c>
      <c r="T36" s="11" t="s">
        <v>1008</v>
      </c>
    </row>
    <row r="37" spans="1:20">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c r="I37" s="17"/>
      <c r="J37" s="17" t="b">
        <f t="shared" si="8"/>
        <v>1</v>
      </c>
      <c r="K37" s="17"/>
      <c r="L37" s="20" t="b">
        <f>L2</f>
        <v>0</v>
      </c>
      <c r="M37" s="17"/>
      <c r="N37" s="17"/>
      <c r="O37" s="17"/>
      <c r="P37" s="17" t="b">
        <f>P2</f>
        <v>1</v>
      </c>
      <c r="Q37" s="20"/>
      <c r="R37" s="20"/>
      <c r="S37" t="b">
        <f>AND(Table152516[[#This Row],[Colloidal Oat]:[Non-comedogenic]],OR(Table152516[[#This Row],[Occlusive]:[Bath Oil]]))</f>
        <v>0</v>
      </c>
      <c r="T37" s="11" t="s">
        <v>1009</v>
      </c>
    </row>
    <row r="38" spans="1:20">
      <c r="A38" t="b">
        <f>IF(Table152516[[#This Row],[Column11]],Table152516[[#This Row],[Column12]])</f>
        <v>0</v>
      </c>
      <c r="B38" s="20" t="b">
        <f>B2</f>
        <v>0</v>
      </c>
      <c r="C38" s="20" t="b">
        <f>C2</f>
        <v>0</v>
      </c>
      <c r="D38" s="17"/>
      <c r="E38" s="20" t="b">
        <f t="shared" ref="E38:J38" si="9">E2</f>
        <v>0</v>
      </c>
      <c r="F38" s="20" t="b">
        <f t="shared" si="9"/>
        <v>0</v>
      </c>
      <c r="G38" s="17" t="b">
        <f t="shared" si="9"/>
        <v>1</v>
      </c>
      <c r="H38" s="17"/>
      <c r="I38" s="17"/>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11" t="s">
        <v>1010</v>
      </c>
    </row>
    <row r="39" spans="1:20">
      <c r="A39" t="b">
        <f>IF(Table152516[[#This Row],[Column11]],Table152516[[#This Row],[Column12]])</f>
        <v>0</v>
      </c>
      <c r="B39" s="20" t="b">
        <f>B2</f>
        <v>0</v>
      </c>
      <c r="C39" s="20" t="b">
        <f>C2</f>
        <v>0</v>
      </c>
      <c r="D39" s="17"/>
      <c r="E39" s="20" t="b">
        <f t="shared" ref="E39:J39" si="10">E2</f>
        <v>0</v>
      </c>
      <c r="F39" s="20" t="b">
        <f t="shared" si="10"/>
        <v>0</v>
      </c>
      <c r="G39" s="17" t="b">
        <f t="shared" si="10"/>
        <v>1</v>
      </c>
      <c r="H39" s="17"/>
      <c r="I39" s="17"/>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11" t="s">
        <v>1011</v>
      </c>
    </row>
    <row r="40" spans="1:20">
      <c r="A40" t="b">
        <f>IF(Table152516[[#This Row],[Column11]],Table152516[[#This Row],[Column12]])</f>
        <v>0</v>
      </c>
      <c r="B40" s="20" t="b">
        <f>B2</f>
        <v>0</v>
      </c>
      <c r="C40" s="20" t="b">
        <f>C2</f>
        <v>0</v>
      </c>
      <c r="D40" s="17"/>
      <c r="E40" s="20" t="b">
        <f t="shared" ref="E40:J40" si="11">E2</f>
        <v>0</v>
      </c>
      <c r="F40" s="20" t="b">
        <f t="shared" si="11"/>
        <v>0</v>
      </c>
      <c r="G40" s="17" t="b">
        <f t="shared" si="11"/>
        <v>1</v>
      </c>
      <c r="H40" s="17"/>
      <c r="I40" s="17"/>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11" t="s">
        <v>1012</v>
      </c>
    </row>
    <row r="41" spans="1:20">
      <c r="A41" t="b">
        <f>IF(Table152516[[#This Row],[Column11]],Table152516[[#This Row],[Column12]])</f>
        <v>0</v>
      </c>
      <c r="B41" s="20" t="b">
        <f>B2</f>
        <v>0</v>
      </c>
      <c r="C41" s="20" t="b">
        <f>C2</f>
        <v>0</v>
      </c>
      <c r="D41" s="17"/>
      <c r="E41" s="20" t="b">
        <f t="shared" ref="E41:J41" si="12">E2</f>
        <v>0</v>
      </c>
      <c r="F41" s="20" t="b">
        <f t="shared" si="12"/>
        <v>0</v>
      </c>
      <c r="G41" s="17" t="b">
        <f t="shared" si="12"/>
        <v>1</v>
      </c>
      <c r="H41" s="17"/>
      <c r="I41" s="17"/>
      <c r="J41" s="17" t="b">
        <f t="shared" si="12"/>
        <v>1</v>
      </c>
      <c r="K41" s="17"/>
      <c r="L41" s="17"/>
      <c r="M41" s="17"/>
      <c r="N41" s="20" t="b">
        <f>N5</f>
        <v>0</v>
      </c>
      <c r="O41" s="17"/>
      <c r="P41" s="17" t="b">
        <f>P2</f>
        <v>1</v>
      </c>
      <c r="Q41" s="20"/>
      <c r="R41" s="17" t="b">
        <f>R2</f>
        <v>1</v>
      </c>
      <c r="S41" t="b">
        <f>AND(Table152516[[#This Row],[Colloidal Oat]:[Non-comedogenic]],OR(Table152516[[#This Row],[Occlusive]:[Bath Oil]]))</f>
        <v>0</v>
      </c>
      <c r="T41" s="11" t="s">
        <v>1013</v>
      </c>
    </row>
    <row r="42" spans="1:20">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c r="I42" s="17"/>
      <c r="J42" s="17" t="b">
        <f t="shared" si="13"/>
        <v>1</v>
      </c>
      <c r="K42" s="17"/>
      <c r="L42" s="17"/>
      <c r="M42" s="17"/>
      <c r="N42" s="20" t="b">
        <f>N5</f>
        <v>0</v>
      </c>
      <c r="O42" s="17"/>
      <c r="P42" s="17" t="b">
        <f>P2</f>
        <v>1</v>
      </c>
      <c r="Q42" s="20"/>
      <c r="R42" s="20"/>
      <c r="S42" t="b">
        <f>AND(Table152516[[#This Row],[Colloidal Oat]:[Non-comedogenic]],OR(Table152516[[#This Row],[Occlusive]:[Bath Oil]]))</f>
        <v>0</v>
      </c>
      <c r="T42" s="11" t="s">
        <v>1014</v>
      </c>
    </row>
    <row r="43" spans="1:20">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c r="I43" s="17"/>
      <c r="J43" s="17" t="b">
        <f t="shared" si="14"/>
        <v>1</v>
      </c>
      <c r="K43" s="17"/>
      <c r="L43" s="20" t="b">
        <f>L2</f>
        <v>0</v>
      </c>
      <c r="M43" s="17"/>
      <c r="N43" s="17"/>
      <c r="O43" s="17"/>
      <c r="P43" s="17" t="b">
        <f>P2</f>
        <v>1</v>
      </c>
      <c r="Q43" s="20"/>
      <c r="R43" s="17" t="b">
        <f>R2</f>
        <v>1</v>
      </c>
      <c r="S43" t="b">
        <f>AND(Table152516[[#This Row],[Colloidal Oat]:[Non-comedogenic]],OR(Table152516[[#This Row],[Occlusive]:[Bath Oil]]))</f>
        <v>0</v>
      </c>
      <c r="T43" s="11" t="s">
        <v>1015</v>
      </c>
    </row>
    <row r="44" spans="1:20">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c r="I44" s="17"/>
      <c r="J44" s="17" t="b">
        <f t="shared" si="15"/>
        <v>1</v>
      </c>
      <c r="K44" s="17"/>
      <c r="L44" s="17"/>
      <c r="M44" s="17"/>
      <c r="N44" s="17"/>
      <c r="O44" s="20" t="b">
        <f>O7</f>
        <v>0</v>
      </c>
      <c r="P44" s="20"/>
      <c r="Q44" s="20"/>
      <c r="R44" s="17" t="b">
        <f>R2</f>
        <v>1</v>
      </c>
      <c r="S44" t="b">
        <f>AND(Table152516[[#This Row],[Colloidal Oat]:[Non-comedogenic]],OR(Table152516[[#This Row],[Occlusive]:[Bath Oil]]))</f>
        <v>0</v>
      </c>
      <c r="T44" s="11" t="s">
        <v>1016</v>
      </c>
    </row>
    <row r="45" spans="1:20">
      <c r="A45" t="b">
        <f>IF(Table152516[[#This Row],[Column11]],Table152516[[#This Row],[Column12]])</f>
        <v>0</v>
      </c>
      <c r="B45" s="20" t="b">
        <f>B2</f>
        <v>0</v>
      </c>
      <c r="C45" s="20" t="b">
        <f>C2</f>
        <v>0</v>
      </c>
      <c r="D45" s="20" t="b">
        <f>D2</f>
        <v>0</v>
      </c>
      <c r="E45" s="17"/>
      <c r="F45" s="17" t="b">
        <f>F3</f>
        <v>1</v>
      </c>
      <c r="G45" s="17" t="b">
        <f>G2</f>
        <v>1</v>
      </c>
      <c r="H45" s="17"/>
      <c r="I45" s="17"/>
      <c r="J45" s="17" t="b">
        <f>J2</f>
        <v>1</v>
      </c>
      <c r="K45" s="17"/>
      <c r="L45" s="17"/>
      <c r="M45" s="17"/>
      <c r="N45" s="20" t="b">
        <f>N5</f>
        <v>0</v>
      </c>
      <c r="O45" s="17"/>
      <c r="P45" s="20"/>
      <c r="Q45" s="17" t="b">
        <f>Q2</f>
        <v>1</v>
      </c>
      <c r="R45" s="17" t="b">
        <f>R2</f>
        <v>1</v>
      </c>
      <c r="S45" t="b">
        <f>AND(Table152516[[#This Row],[Colloidal Oat]:[Non-comedogenic]],OR(Table152516[[#This Row],[Occlusive]:[Bath Oil]]))</f>
        <v>0</v>
      </c>
      <c r="T45" s="11" t="s">
        <v>1017</v>
      </c>
    </row>
    <row r="46" spans="1:20">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c r="I46" s="17"/>
      <c r="J46" s="17" t="b">
        <f t="shared" si="16"/>
        <v>1</v>
      </c>
      <c r="K46" s="17"/>
      <c r="L46" s="17"/>
      <c r="M46" s="17"/>
      <c r="N46" s="20" t="b">
        <f>N5</f>
        <v>0</v>
      </c>
      <c r="O46" s="17"/>
      <c r="P46" s="17" t="b">
        <f>P2</f>
        <v>1</v>
      </c>
      <c r="Q46" s="20"/>
      <c r="R46" s="17" t="b">
        <f>R2</f>
        <v>1</v>
      </c>
      <c r="S46" t="b">
        <f>AND(Table152516[[#This Row],[Colloidal Oat]:[Non-comedogenic]],OR(Table152516[[#This Row],[Occlusive]:[Bath Oil]]))</f>
        <v>0</v>
      </c>
      <c r="T46" s="11" t="s">
        <v>1018</v>
      </c>
    </row>
    <row r="47" spans="1:20">
      <c r="A47" t="b">
        <f>IF(Table152516[[#This Row],[Column11]],Table152516[[#This Row],[Column12]])</f>
        <v>0</v>
      </c>
      <c r="B47" s="20" t="b">
        <f>B2</f>
        <v>0</v>
      </c>
      <c r="C47" s="20" t="b">
        <f>C2</f>
        <v>0</v>
      </c>
      <c r="D47" s="17"/>
      <c r="E47" s="20" t="b">
        <f t="shared" ref="E47:J47" si="17">E2</f>
        <v>0</v>
      </c>
      <c r="F47" s="20" t="b">
        <f t="shared" si="17"/>
        <v>0</v>
      </c>
      <c r="G47" s="17" t="b">
        <f t="shared" si="17"/>
        <v>1</v>
      </c>
      <c r="H47" s="17"/>
      <c r="I47" s="17"/>
      <c r="J47" s="17" t="b">
        <f t="shared" si="17"/>
        <v>1</v>
      </c>
      <c r="K47" s="17"/>
      <c r="L47" s="17"/>
      <c r="M47" s="17"/>
      <c r="N47" s="20" t="b">
        <f>N5</f>
        <v>0</v>
      </c>
      <c r="O47" s="17"/>
      <c r="P47" s="17" t="b">
        <f>P2</f>
        <v>1</v>
      </c>
      <c r="Q47" s="20"/>
      <c r="R47" s="17" t="b">
        <f>R2</f>
        <v>1</v>
      </c>
      <c r="S47" t="b">
        <f>AND(Table152516[[#This Row],[Colloidal Oat]:[Non-comedogenic]],OR(Table152516[[#This Row],[Occlusive]:[Bath Oil]]))</f>
        <v>0</v>
      </c>
      <c r="T47" s="11" t="s">
        <v>1019</v>
      </c>
    </row>
    <row r="48" spans="1:20">
      <c r="A48" t="b">
        <f>IF(Table152516[[#This Row],[Column11]],Table152516[[#This Row],[Column12]])</f>
        <v>0</v>
      </c>
      <c r="B48" s="20" t="b">
        <f>B2</f>
        <v>0</v>
      </c>
      <c r="C48" s="20" t="b">
        <f>C2</f>
        <v>0</v>
      </c>
      <c r="D48" s="17"/>
      <c r="E48" s="20" t="b">
        <f t="shared" ref="E48:J48" si="18">E2</f>
        <v>0</v>
      </c>
      <c r="F48" s="20" t="b">
        <f t="shared" si="18"/>
        <v>0</v>
      </c>
      <c r="G48" s="17" t="b">
        <f t="shared" si="18"/>
        <v>1</v>
      </c>
      <c r="H48" s="17"/>
      <c r="I48" s="17"/>
      <c r="J48" s="17" t="b">
        <f t="shared" si="18"/>
        <v>1</v>
      </c>
      <c r="K48" s="17"/>
      <c r="L48" s="17"/>
      <c r="M48" s="17"/>
      <c r="N48" s="20" t="b">
        <f>N5</f>
        <v>0</v>
      </c>
      <c r="O48" s="17"/>
      <c r="P48" s="17" t="b">
        <f>P2</f>
        <v>1</v>
      </c>
      <c r="Q48" s="20"/>
      <c r="R48" s="17" t="b">
        <f>R2</f>
        <v>1</v>
      </c>
      <c r="S48" t="b">
        <f>AND(Table152516[[#This Row],[Colloidal Oat]:[Non-comedogenic]],OR(Table152516[[#This Row],[Occlusive]:[Bath Oil]]))</f>
        <v>0</v>
      </c>
      <c r="T48" s="11" t="s">
        <v>1020</v>
      </c>
    </row>
    <row r="49" spans="1:20">
      <c r="A49" t="b">
        <f>IF(Table152516[[#This Row],[Column11]],Table152516[[#This Row],[Column12]])</f>
        <v>0</v>
      </c>
      <c r="B49" s="20" t="b">
        <f>B2</f>
        <v>0</v>
      </c>
      <c r="C49" s="20" t="b">
        <f>C2</f>
        <v>0</v>
      </c>
      <c r="D49" s="17"/>
      <c r="E49" s="20" t="b">
        <f t="shared" ref="E49:J49" si="19">E2</f>
        <v>0</v>
      </c>
      <c r="F49" s="20" t="b">
        <f t="shared" si="19"/>
        <v>0</v>
      </c>
      <c r="G49" s="17" t="b">
        <f t="shared" si="19"/>
        <v>1</v>
      </c>
      <c r="H49" s="17"/>
      <c r="I49" s="17"/>
      <c r="J49" s="17" t="b">
        <f t="shared" si="19"/>
        <v>1</v>
      </c>
      <c r="K49" s="17"/>
      <c r="L49" s="20" t="b">
        <f>L2</f>
        <v>0</v>
      </c>
      <c r="M49" s="17"/>
      <c r="N49" s="17"/>
      <c r="O49" s="17"/>
      <c r="P49" s="17" t="b">
        <f>P2</f>
        <v>1</v>
      </c>
      <c r="Q49" s="20"/>
      <c r="R49" s="17" t="b">
        <f>R2</f>
        <v>1</v>
      </c>
      <c r="S49" t="b">
        <f>AND(Table152516[[#This Row],[Colloidal Oat]:[Non-comedogenic]],OR(Table152516[[#This Row],[Occlusive]:[Bath Oil]]))</f>
        <v>0</v>
      </c>
      <c r="T49" s="11" t="s">
        <v>1021</v>
      </c>
    </row>
    <row r="50" spans="1:20">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c r="I50" s="17"/>
      <c r="J50" s="17" t="b">
        <f t="shared" si="20"/>
        <v>1</v>
      </c>
      <c r="K50" s="17"/>
      <c r="L50" s="20" t="b">
        <f>L2</f>
        <v>0</v>
      </c>
      <c r="M50" s="17"/>
      <c r="N50" s="17"/>
      <c r="O50" s="17"/>
      <c r="P50" s="17" t="b">
        <f>P2</f>
        <v>1</v>
      </c>
      <c r="Q50" s="20"/>
      <c r="R50" s="17" t="b">
        <f>R2</f>
        <v>1</v>
      </c>
      <c r="S50" t="b">
        <f>AND(Table152516[[#This Row],[Colloidal Oat]:[Non-comedogenic]],OR(Table152516[[#This Row],[Occlusive]:[Bath Oil]]))</f>
        <v>0</v>
      </c>
      <c r="T50" s="11" t="s">
        <v>1022</v>
      </c>
    </row>
    <row r="51" spans="1:20">
      <c r="A51" t="b">
        <f>IF(Table152516[[#This Row],[Column11]],Table152516[[#This Row],[Column12]])</f>
        <v>0</v>
      </c>
      <c r="B51" s="20" t="b">
        <f>B2</f>
        <v>0</v>
      </c>
      <c r="C51" s="20" t="b">
        <f>C2</f>
        <v>0</v>
      </c>
      <c r="D51" s="17"/>
      <c r="E51" s="17"/>
      <c r="F51" s="17" t="b">
        <f>F3</f>
        <v>1</v>
      </c>
      <c r="G51" s="20" t="b">
        <f>G21</f>
        <v>0</v>
      </c>
      <c r="H51" s="17"/>
      <c r="I51" s="17"/>
      <c r="J51" s="106"/>
      <c r="K51" s="17"/>
      <c r="L51" s="20" t="b">
        <f>L2</f>
        <v>0</v>
      </c>
      <c r="M51" s="17"/>
      <c r="N51" s="17"/>
      <c r="O51" s="17"/>
      <c r="P51" s="20"/>
      <c r="Q51" s="17" t="b">
        <f>Q2</f>
        <v>1</v>
      </c>
      <c r="R51" s="20"/>
      <c r="S51" t="b">
        <f>AND(Table152516[[#This Row],[Colloidal Oat]:[Non-comedogenic]],OR(Table152516[[#This Row],[Occlusive]:[Bath Oil]]))</f>
        <v>0</v>
      </c>
      <c r="T51" s="11" t="s">
        <v>1023</v>
      </c>
    </row>
    <row r="52" spans="1:20">
      <c r="A52" t="b">
        <f>IF(Table152516[[#This Row],[Column11]],Table152516[[#This Row],[Column12]])</f>
        <v>0</v>
      </c>
      <c r="B52" s="20" t="b">
        <f>B2</f>
        <v>0</v>
      </c>
      <c r="C52" s="20" t="b">
        <f>C2</f>
        <v>0</v>
      </c>
      <c r="D52" s="17"/>
      <c r="E52" s="20" t="b">
        <f t="shared" ref="E52:J52" si="21">E2</f>
        <v>0</v>
      </c>
      <c r="F52" s="20" t="b">
        <f t="shared" si="21"/>
        <v>0</v>
      </c>
      <c r="G52" s="17" t="b">
        <f t="shared" si="21"/>
        <v>1</v>
      </c>
      <c r="H52" s="17"/>
      <c r="I52" s="17"/>
      <c r="J52" s="17" t="b">
        <f t="shared" si="21"/>
        <v>1</v>
      </c>
      <c r="K52" s="17"/>
      <c r="L52" s="20" t="b">
        <f>L2</f>
        <v>0</v>
      </c>
      <c r="M52" s="17"/>
      <c r="N52" s="17"/>
      <c r="O52" s="17"/>
      <c r="P52" s="17" t="b">
        <f>P2</f>
        <v>1</v>
      </c>
      <c r="Q52" s="20"/>
      <c r="R52" s="17" t="b">
        <f>R2</f>
        <v>1</v>
      </c>
      <c r="S52" t="b">
        <f>AND(Table152516[[#This Row],[Colloidal Oat]:[Non-comedogenic]],OR(Table152516[[#This Row],[Occlusive]:[Bath Oil]]))</f>
        <v>0</v>
      </c>
      <c r="T52" s="11" t="s">
        <v>1024</v>
      </c>
    </row>
    <row r="53" spans="1:20">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c r="I53" s="17"/>
      <c r="J53" s="17" t="b">
        <f t="shared" si="22"/>
        <v>1</v>
      </c>
      <c r="K53" s="17"/>
      <c r="L53" s="20" t="b">
        <f>L2</f>
        <v>0</v>
      </c>
      <c r="M53" s="17"/>
      <c r="N53" s="17"/>
      <c r="O53" s="17"/>
      <c r="P53" s="17" t="b">
        <f>P2</f>
        <v>1</v>
      </c>
      <c r="Q53" s="20"/>
      <c r="R53" s="20"/>
      <c r="S53" t="b">
        <f>AND(Table152516[[#This Row],[Colloidal Oat]:[Non-comedogenic]],OR(Table152516[[#This Row],[Occlusive]:[Bath Oil]]))</f>
        <v>0</v>
      </c>
      <c r="T53" s="11" t="s">
        <v>1025</v>
      </c>
    </row>
    <row r="54" spans="1:20">
      <c r="A54" t="b">
        <f>IF(Table152516[[#This Row],[Column11]],Table152516[[#This Row],[Column12]])</f>
        <v>0</v>
      </c>
      <c r="B54" s="20" t="b">
        <f>B2</f>
        <v>0</v>
      </c>
      <c r="C54" s="20" t="b">
        <f>C2</f>
        <v>0</v>
      </c>
      <c r="D54" s="17"/>
      <c r="E54" s="20" t="b">
        <f t="shared" ref="E54:J54" si="23">E2</f>
        <v>0</v>
      </c>
      <c r="F54" s="20" t="b">
        <f t="shared" si="23"/>
        <v>0</v>
      </c>
      <c r="G54" s="17" t="b">
        <f t="shared" si="23"/>
        <v>1</v>
      </c>
      <c r="H54" s="17"/>
      <c r="I54" s="17"/>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11" t="s">
        <v>1026</v>
      </c>
    </row>
    <row r="55" spans="1:20">
      <c r="A55" t="b">
        <f>IF(Table152516[[#This Row],[Column11]],Table152516[[#This Row],[Column12]])</f>
        <v>0</v>
      </c>
      <c r="B55" s="20" t="b">
        <f>B2</f>
        <v>0</v>
      </c>
      <c r="C55" s="20" t="b">
        <f>C2</f>
        <v>0</v>
      </c>
      <c r="D55" s="17"/>
      <c r="E55" s="20" t="b">
        <f t="shared" ref="E55:J55" si="24">E2</f>
        <v>0</v>
      </c>
      <c r="F55" s="20" t="b">
        <f t="shared" si="24"/>
        <v>0</v>
      </c>
      <c r="G55" s="17" t="b">
        <f t="shared" si="24"/>
        <v>1</v>
      </c>
      <c r="H55" s="17"/>
      <c r="I55" s="17"/>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11" t="s">
        <v>1027</v>
      </c>
    </row>
    <row r="56" spans="1:20">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c r="I56" s="17"/>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11" t="s">
        <v>1028</v>
      </c>
    </row>
    <row r="57" spans="1:20">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16"/>
    </row>
    <row r="58" spans="1:20">
      <c r="A58" t="b">
        <f>IF(Table152516[[#This Row],[Column11]],Table152516[[#This Row],[Column12]])</f>
        <v>0</v>
      </c>
      <c r="B58" s="17"/>
      <c r="C58" s="20" t="b">
        <f>C2</f>
        <v>0</v>
      </c>
      <c r="D58" s="17"/>
      <c r="E58" s="17"/>
      <c r="F58" s="17" t="b">
        <f>F3</f>
        <v>1</v>
      </c>
      <c r="G58" s="20" t="b">
        <f>G21</f>
        <v>0</v>
      </c>
      <c r="H58" s="17"/>
      <c r="I58" s="17"/>
      <c r="J58" s="106"/>
      <c r="K58" s="17"/>
      <c r="L58" s="20" t="b">
        <f>L2</f>
        <v>0</v>
      </c>
      <c r="M58" s="17"/>
      <c r="N58" s="17"/>
      <c r="O58" s="17"/>
      <c r="P58" s="17" t="b">
        <f>P2</f>
        <v>1</v>
      </c>
      <c r="Q58" s="17" t="b">
        <f>Q2</f>
        <v>1</v>
      </c>
      <c r="R58" s="17" t="b">
        <f>R2</f>
        <v>1</v>
      </c>
      <c r="S58" t="b">
        <f>AND(Table152516[[#This Row],[Colloidal Oat]:[Non-comedogenic]],OR(Table152516[[#This Row],[Occlusive]:[Bath Oil]]))</f>
        <v>0</v>
      </c>
      <c r="T58" s="11" t="s">
        <v>1029</v>
      </c>
    </row>
    <row r="59" spans="1:20">
      <c r="A59" t="b">
        <f>IF(Table152516[[#This Row],[Column11]],Table152516[[#This Row],[Column12]])</f>
        <v>0</v>
      </c>
      <c r="B59" s="17"/>
      <c r="C59" s="20" t="b">
        <f>C2</f>
        <v>0</v>
      </c>
      <c r="D59" s="17"/>
      <c r="E59" s="17"/>
      <c r="F59" s="17" t="b">
        <f>F3</f>
        <v>1</v>
      </c>
      <c r="G59" s="20" t="b">
        <f>G21</f>
        <v>0</v>
      </c>
      <c r="H59" s="17"/>
      <c r="I59" s="17"/>
      <c r="J59" s="106"/>
      <c r="K59" s="17"/>
      <c r="L59" s="17"/>
      <c r="M59" s="17"/>
      <c r="N59" s="20" t="b">
        <f>N5</f>
        <v>0</v>
      </c>
      <c r="O59" s="17"/>
      <c r="P59" s="17" t="b">
        <f>P2</f>
        <v>1</v>
      </c>
      <c r="Q59" s="17" t="b">
        <f>Q2</f>
        <v>1</v>
      </c>
      <c r="R59" s="17" t="b">
        <f>R2</f>
        <v>1</v>
      </c>
      <c r="S59" t="b">
        <f>AND(Table152516[[#This Row],[Colloidal Oat]:[Non-comedogenic]],OR(Table152516[[#This Row],[Occlusive]:[Bath Oil]]))</f>
        <v>0</v>
      </c>
      <c r="T59" s="11" t="s">
        <v>1030</v>
      </c>
    </row>
    <row r="60" spans="1:20">
      <c r="A60" t="b">
        <f>IF(Table152516[[#This Row],[Column11]],Table152516[[#This Row],[Column12]])</f>
        <v>0</v>
      </c>
      <c r="B60" s="17"/>
      <c r="C60" s="20" t="b">
        <f>C2</f>
        <v>0</v>
      </c>
      <c r="D60" s="17"/>
      <c r="E60" s="17"/>
      <c r="F60" s="17" t="b">
        <f>F3</f>
        <v>1</v>
      </c>
      <c r="G60" s="20" t="b">
        <f>G21</f>
        <v>0</v>
      </c>
      <c r="H60" s="17"/>
      <c r="I60" s="17"/>
      <c r="J60" s="106"/>
      <c r="K60" s="17"/>
      <c r="L60" s="20" t="b">
        <f>L2</f>
        <v>0</v>
      </c>
      <c r="M60" s="17"/>
      <c r="N60" s="17"/>
      <c r="O60" s="17"/>
      <c r="P60" s="17" t="b">
        <f>P2</f>
        <v>1</v>
      </c>
      <c r="Q60" s="17" t="b">
        <f>Q2</f>
        <v>1</v>
      </c>
      <c r="R60" s="17" t="b">
        <f>R2</f>
        <v>1</v>
      </c>
      <c r="S60" t="b">
        <f>AND(Table152516[[#This Row],[Colloidal Oat]:[Non-comedogenic]],OR(Table152516[[#This Row],[Occlusive]:[Bath Oil]]))</f>
        <v>0</v>
      </c>
      <c r="T60" s="28" t="s">
        <v>1031</v>
      </c>
    </row>
    <row r="61" spans="1:20">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16"/>
    </row>
    <row r="62" spans="1:20">
      <c r="A62" t="b">
        <f>IF(Table152516[[#This Row],[Column11]],Table152516[[#This Row],[Column12]])</f>
        <v>0</v>
      </c>
      <c r="B62" s="20" t="b">
        <f>B2</f>
        <v>0</v>
      </c>
      <c r="C62" s="20" t="b">
        <f>C2</f>
        <v>0</v>
      </c>
      <c r="D62" s="20" t="b">
        <f>D2</f>
        <v>0</v>
      </c>
      <c r="E62" s="17"/>
      <c r="F62" s="17" t="b">
        <f>F3</f>
        <v>1</v>
      </c>
      <c r="G62" s="17" t="b">
        <f>G2</f>
        <v>1</v>
      </c>
      <c r="H62" s="17"/>
      <c r="I62" s="20" t="b">
        <f>I3</f>
        <v>1</v>
      </c>
      <c r="J62" s="17" t="b">
        <f>J2</f>
        <v>1</v>
      </c>
      <c r="K62" s="17"/>
      <c r="L62" s="20" t="b">
        <f>L2</f>
        <v>0</v>
      </c>
      <c r="M62" s="17"/>
      <c r="N62" s="17"/>
      <c r="O62" s="17"/>
      <c r="P62" s="20"/>
      <c r="Q62" s="20"/>
      <c r="R62" s="20"/>
      <c r="S62" t="b">
        <f>AND(Table152516[[#This Row],[Colloidal Oat]:[Non-comedogenic]],OR(Table152516[[#This Row],[Occlusive]:[Bath Oil]]))</f>
        <v>0</v>
      </c>
      <c r="T62" s="11" t="s">
        <v>1032</v>
      </c>
    </row>
    <row r="63" spans="1:20">
      <c r="A63" t="b">
        <f>IF(Table152516[[#This Row],[Column11]],Table152516[[#This Row],[Column12]])</f>
        <v>0</v>
      </c>
      <c r="B63" s="20" t="b">
        <f>B2</f>
        <v>0</v>
      </c>
      <c r="C63" s="20" t="b">
        <f>C2</f>
        <v>0</v>
      </c>
      <c r="D63" s="20" t="b">
        <f>D2</f>
        <v>0</v>
      </c>
      <c r="E63" s="17"/>
      <c r="F63" s="17" t="b">
        <f>F3</f>
        <v>1</v>
      </c>
      <c r="G63" s="17" t="b">
        <f>G2</f>
        <v>1</v>
      </c>
      <c r="H63" s="17"/>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11" t="s">
        <v>1033</v>
      </c>
    </row>
    <row r="64" spans="1:20">
      <c r="A64" t="b">
        <f>IF(Table152516[[#This Row],[Column11]],Table152516[[#This Row],[Column12]])</f>
        <v>0</v>
      </c>
      <c r="B64" s="20" t="b">
        <f>B2</f>
        <v>0</v>
      </c>
      <c r="C64" s="20" t="b">
        <f>C2</f>
        <v>0</v>
      </c>
      <c r="D64" s="20" t="b">
        <f>D2</f>
        <v>0</v>
      </c>
      <c r="E64" s="17"/>
      <c r="F64" s="17" t="b">
        <f>F3</f>
        <v>1</v>
      </c>
      <c r="G64" s="17" t="b">
        <f>G2</f>
        <v>1</v>
      </c>
      <c r="H64" s="17"/>
      <c r="I64" s="20" t="b">
        <f>I3</f>
        <v>1</v>
      </c>
      <c r="J64" s="17" t="b">
        <f>J2</f>
        <v>1</v>
      </c>
      <c r="K64" s="17"/>
      <c r="L64" s="17"/>
      <c r="M64" s="17"/>
      <c r="N64" s="20" t="b">
        <f>N5</f>
        <v>0</v>
      </c>
      <c r="O64" s="17"/>
      <c r="P64" s="17" t="b">
        <f>P2</f>
        <v>1</v>
      </c>
      <c r="Q64" s="17" t="b">
        <f>Q2</f>
        <v>1</v>
      </c>
      <c r="R64" s="20"/>
      <c r="S64" t="b">
        <f>AND(Table152516[[#This Row],[Colloidal Oat]:[Non-comedogenic]],OR(Table152516[[#This Row],[Occlusive]:[Bath Oil]]))</f>
        <v>0</v>
      </c>
      <c r="T64" s="11" t="s">
        <v>1034</v>
      </c>
    </row>
    <row r="65" spans="1:20">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16"/>
    </row>
    <row r="66" spans="1:20">
      <c r="A66" t="b">
        <f>IF(Table152516[[#This Row],[Column11]],Table152516[[#This Row],[Column12]])</f>
        <v>0</v>
      </c>
      <c r="B66" s="20" t="b">
        <f>B2</f>
        <v>0</v>
      </c>
      <c r="C66" s="20" t="b">
        <f>C2</f>
        <v>0</v>
      </c>
      <c r="D66" s="20" t="b">
        <f>D2</f>
        <v>0</v>
      </c>
      <c r="E66" s="17"/>
      <c r="F66" s="17" t="b">
        <f>F3</f>
        <v>1</v>
      </c>
      <c r="G66" s="17" t="b">
        <f>G2</f>
        <v>1</v>
      </c>
      <c r="H66" s="17"/>
      <c r="I66" s="17"/>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11" t="s">
        <v>1035</v>
      </c>
    </row>
    <row r="67" spans="1:20">
      <c r="A67" t="b">
        <f>IF(Table152516[[#This Row],[Column11]],Table152516[[#This Row],[Column12]])</f>
        <v>0</v>
      </c>
      <c r="B67" s="20" t="b">
        <f>B2</f>
        <v>0</v>
      </c>
      <c r="C67" s="20" t="b">
        <f>C2</f>
        <v>0</v>
      </c>
      <c r="D67" s="20" t="b">
        <f>D2</f>
        <v>0</v>
      </c>
      <c r="E67" s="17"/>
      <c r="F67" s="17" t="b">
        <f>F3</f>
        <v>1</v>
      </c>
      <c r="G67" s="17" t="b">
        <f>G2</f>
        <v>1</v>
      </c>
      <c r="H67" s="17"/>
      <c r="I67" s="17"/>
      <c r="J67" s="17" t="b">
        <f>J2</f>
        <v>1</v>
      </c>
      <c r="K67" s="17"/>
      <c r="L67" s="17"/>
      <c r="M67" s="17"/>
      <c r="N67" s="20" t="b">
        <f>N5</f>
        <v>0</v>
      </c>
      <c r="O67" s="17"/>
      <c r="P67" s="17" t="b">
        <f>P2</f>
        <v>1</v>
      </c>
      <c r="Q67" s="20"/>
      <c r="R67" s="20"/>
      <c r="S67" t="b">
        <f>AND(Table152516[[#This Row],[Colloidal Oat]:[Non-comedogenic]],OR(Table152516[[#This Row],[Occlusive]:[Bath Oil]]))</f>
        <v>0</v>
      </c>
      <c r="T67" s="11" t="s">
        <v>1036</v>
      </c>
    </row>
    <row r="68" spans="1:20">
      <c r="A68" t="b">
        <f>IF(Table152516[[#This Row],[Column11]],Table152516[[#This Row],[Column12]])</f>
        <v>0</v>
      </c>
      <c r="B68" s="20" t="b">
        <f>B2</f>
        <v>0</v>
      </c>
      <c r="C68" s="20" t="b">
        <f>C2</f>
        <v>0</v>
      </c>
      <c r="D68" s="20" t="b">
        <f>D2</f>
        <v>0</v>
      </c>
      <c r="E68" s="17"/>
      <c r="F68" s="17" t="b">
        <f>F3</f>
        <v>1</v>
      </c>
      <c r="G68" s="17" t="b">
        <f>G2</f>
        <v>1</v>
      </c>
      <c r="H68" s="17"/>
      <c r="I68" s="17"/>
      <c r="J68" s="17" t="b">
        <f>J2</f>
        <v>1</v>
      </c>
      <c r="K68" s="17"/>
      <c r="L68" s="20" t="b">
        <f>L2</f>
        <v>0</v>
      </c>
      <c r="M68" s="17"/>
      <c r="N68" s="17"/>
      <c r="O68" s="17"/>
      <c r="P68" s="17" t="b">
        <f>P2</f>
        <v>1</v>
      </c>
      <c r="Q68" s="20"/>
      <c r="R68" s="20"/>
      <c r="S68" t="b">
        <f>AND(Table152516[[#This Row],[Colloidal Oat]:[Non-comedogenic]],OR(Table152516[[#This Row],[Occlusive]:[Bath Oil]]))</f>
        <v>0</v>
      </c>
      <c r="T68" s="11" t="s">
        <v>1037</v>
      </c>
    </row>
    <row r="69" spans="1:20">
      <c r="A69" t="b">
        <f>IF(Table152516[[#This Row],[Column11]],Table152516[[#This Row],[Column12]])</f>
        <v>0</v>
      </c>
      <c r="B69" s="20" t="b">
        <f>B2</f>
        <v>0</v>
      </c>
      <c r="C69" s="20" t="b">
        <f>C2</f>
        <v>0</v>
      </c>
      <c r="D69" s="20" t="b">
        <f>D2</f>
        <v>0</v>
      </c>
      <c r="E69" s="20" t="b">
        <f>E2</f>
        <v>0</v>
      </c>
      <c r="F69" s="17" t="b">
        <f>F3</f>
        <v>1</v>
      </c>
      <c r="G69" s="17" t="b">
        <f>G2</f>
        <v>1</v>
      </c>
      <c r="H69" s="17"/>
      <c r="I69" s="17"/>
      <c r="J69" s="17" t="b">
        <f>J2</f>
        <v>1</v>
      </c>
      <c r="K69" s="17"/>
      <c r="L69" s="20" t="b">
        <f>L2</f>
        <v>0</v>
      </c>
      <c r="M69" s="17"/>
      <c r="N69" s="17"/>
      <c r="O69" s="17"/>
      <c r="P69" s="17" t="b">
        <f>P2</f>
        <v>1</v>
      </c>
      <c r="Q69" s="20"/>
      <c r="R69" s="17" t="b">
        <f>R2</f>
        <v>1</v>
      </c>
      <c r="S69" t="b">
        <f>AND(Table152516[[#This Row],[Colloidal Oat]:[Non-comedogenic]],OR(Table152516[[#This Row],[Occlusive]:[Bath Oil]]))</f>
        <v>0</v>
      </c>
      <c r="T69" s="11" t="s">
        <v>1038</v>
      </c>
    </row>
    <row r="70" spans="1:20">
      <c r="A70" t="b">
        <f>IF(Table152516[[#This Row],[Column11]],Table152516[[#This Row],[Column12]])</f>
        <v>0</v>
      </c>
      <c r="B70" s="17"/>
      <c r="C70" s="20" t="b">
        <f>C2</f>
        <v>0</v>
      </c>
      <c r="D70" s="17"/>
      <c r="E70" s="17"/>
      <c r="F70" s="17" t="b">
        <f>F3</f>
        <v>1</v>
      </c>
      <c r="G70" s="20" t="b">
        <f>G21</f>
        <v>0</v>
      </c>
      <c r="H70" s="17"/>
      <c r="I70" s="17"/>
      <c r="J70" s="106"/>
      <c r="K70" s="17"/>
      <c r="L70" s="17"/>
      <c r="M70" s="17"/>
      <c r="N70" s="20" t="b">
        <f>N5</f>
        <v>0</v>
      </c>
      <c r="O70" s="17"/>
      <c r="P70" s="20"/>
      <c r="Q70" s="20"/>
      <c r="R70" s="20"/>
      <c r="S70" t="b">
        <f>AND(Table152516[[#This Row],[Colloidal Oat]:[Non-comedogenic]],OR(Table152516[[#This Row],[Occlusive]:[Bath Oil]]))</f>
        <v>0</v>
      </c>
      <c r="T70" s="11" t="s">
        <v>1039</v>
      </c>
    </row>
    <row r="71" spans="1:20">
      <c r="A71" t="b">
        <f>IF(Table152516[[#This Row],[Column11]],Table152516[[#This Row],[Column12]])</f>
        <v>0</v>
      </c>
      <c r="B71" s="20" t="b">
        <f>B2</f>
        <v>0</v>
      </c>
      <c r="C71" s="20" t="b">
        <f>C2</f>
        <v>0</v>
      </c>
      <c r="D71" s="20" t="b">
        <f>D2</f>
        <v>0</v>
      </c>
      <c r="E71" s="17"/>
      <c r="F71" s="17" t="b">
        <f>F3</f>
        <v>1</v>
      </c>
      <c r="G71" s="17" t="b">
        <f>G2</f>
        <v>1</v>
      </c>
      <c r="H71" s="17"/>
      <c r="I71" s="17"/>
      <c r="J71" s="17" t="b">
        <f>J2</f>
        <v>1</v>
      </c>
      <c r="K71" s="17"/>
      <c r="L71" s="20" t="b">
        <f>L2</f>
        <v>0</v>
      </c>
      <c r="M71" s="17"/>
      <c r="N71" s="17"/>
      <c r="O71" s="17"/>
      <c r="P71" s="20"/>
      <c r="Q71" s="20"/>
      <c r="R71" s="20"/>
      <c r="S71" t="b">
        <f>AND(Table152516[[#This Row],[Colloidal Oat]:[Non-comedogenic]],OR(Table152516[[#This Row],[Occlusive]:[Bath Oil]]))</f>
        <v>0</v>
      </c>
      <c r="T71" s="11" t="s">
        <v>1040</v>
      </c>
    </row>
    <row r="72" spans="1:20">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c r="I72" s="17"/>
      <c r="J72" s="17" t="b">
        <f t="shared" si="26"/>
        <v>1</v>
      </c>
      <c r="K72" s="17"/>
      <c r="L72" s="17"/>
      <c r="M72" s="17"/>
      <c r="N72" s="20" t="b">
        <f>N5</f>
        <v>0</v>
      </c>
      <c r="O72" s="17"/>
      <c r="P72" s="17" t="b">
        <f>P2</f>
        <v>1</v>
      </c>
      <c r="Q72" s="20"/>
      <c r="R72" s="17" t="b">
        <f>R2</f>
        <v>1</v>
      </c>
      <c r="S72" t="b">
        <f>AND(Table152516[[#This Row],[Colloidal Oat]:[Non-comedogenic]],OR(Table152516[[#This Row],[Occlusive]:[Bath Oil]]))</f>
        <v>0</v>
      </c>
      <c r="T72" s="11" t="s">
        <v>1041</v>
      </c>
    </row>
    <row r="73" spans="1:20">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16"/>
    </row>
    <row r="74" spans="1:20">
      <c r="A74" t="b">
        <f>IF(Table152516[[#This Row],[Column11]],Table152516[[#This Row],[Column12]])</f>
        <v>0</v>
      </c>
      <c r="B74" s="20" t="b">
        <f>B2</f>
        <v>0</v>
      </c>
      <c r="C74" s="17"/>
      <c r="D74" s="17"/>
      <c r="E74" s="20" t="b">
        <f>E2</f>
        <v>0</v>
      </c>
      <c r="F74" s="17" t="b">
        <f>F3</f>
        <v>1</v>
      </c>
      <c r="G74" s="17" t="b">
        <f>G2</f>
        <v>1</v>
      </c>
      <c r="H74" s="17"/>
      <c r="I74" s="17"/>
      <c r="J74" s="17" t="b">
        <f>J2</f>
        <v>1</v>
      </c>
      <c r="K74" s="17"/>
      <c r="L74" s="20" t="b">
        <f>L2</f>
        <v>0</v>
      </c>
      <c r="M74" s="17"/>
      <c r="N74" s="17"/>
      <c r="O74" s="17"/>
      <c r="P74" s="20"/>
      <c r="Q74" s="20"/>
      <c r="R74" s="17" t="b">
        <f>R2</f>
        <v>1</v>
      </c>
      <c r="S74" t="b">
        <f>AND(Table152516[[#This Row],[Colloidal Oat]:[Non-comedogenic]],OR(Table152516[[#This Row],[Occlusive]:[Bath Oil]]))</f>
        <v>0</v>
      </c>
      <c r="T74" s="11" t="s">
        <v>1042</v>
      </c>
    </row>
    <row r="75" spans="1:20">
      <c r="A75" t="b">
        <f>IF(Table152516[[#This Row],[Column11]],Table152516[[#This Row],[Column12]])</f>
        <v>0</v>
      </c>
      <c r="B75" s="20" t="b">
        <f>B2</f>
        <v>0</v>
      </c>
      <c r="C75" s="17"/>
      <c r="D75" s="20" t="b">
        <f>D2</f>
        <v>0</v>
      </c>
      <c r="E75" s="20" t="b">
        <f>E2</f>
        <v>0</v>
      </c>
      <c r="F75" s="17" t="b">
        <f>F3</f>
        <v>1</v>
      </c>
      <c r="G75" s="17" t="b">
        <f>G2</f>
        <v>1</v>
      </c>
      <c r="H75" s="17"/>
      <c r="I75" s="17"/>
      <c r="J75" s="17" t="b">
        <f>J2</f>
        <v>1</v>
      </c>
      <c r="K75" s="17"/>
      <c r="L75" s="17"/>
      <c r="M75" s="17"/>
      <c r="N75" s="20" t="b">
        <f>N5</f>
        <v>0</v>
      </c>
      <c r="O75" s="17"/>
      <c r="P75" s="20"/>
      <c r="Q75" s="20"/>
      <c r="R75" s="17" t="b">
        <f>R2</f>
        <v>1</v>
      </c>
      <c r="S75" t="b">
        <f>AND(Table152516[[#This Row],[Colloidal Oat]:[Non-comedogenic]],OR(Table152516[[#This Row],[Occlusive]:[Bath Oil]]))</f>
        <v>0</v>
      </c>
      <c r="T75" s="11" t="s">
        <v>1043</v>
      </c>
    </row>
    <row r="76" spans="1:20">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16"/>
    </row>
    <row r="77" spans="1:20">
      <c r="A77" t="b">
        <f>IF(Table152516[[#This Row],[Column11]],Table152516[[#This Row],[Column12]])</f>
        <v>0</v>
      </c>
      <c r="B77" s="20" t="b">
        <f>B2</f>
        <v>0</v>
      </c>
      <c r="C77" s="17"/>
      <c r="D77" s="17"/>
      <c r="E77" s="17"/>
      <c r="F77" s="17" t="b">
        <f>F3</f>
        <v>1</v>
      </c>
      <c r="G77" s="17" t="b">
        <f>G2</f>
        <v>1</v>
      </c>
      <c r="H77" s="17"/>
      <c r="I77" s="17"/>
      <c r="J77" s="17" t="b">
        <f>J2</f>
        <v>1</v>
      </c>
      <c r="K77" s="17"/>
      <c r="L77" s="17"/>
      <c r="M77" s="20" t="b">
        <f>M6</f>
        <v>0</v>
      </c>
      <c r="N77" s="17"/>
      <c r="O77" s="17"/>
      <c r="P77" s="20"/>
      <c r="Q77" s="17" t="b">
        <f>Q2</f>
        <v>1</v>
      </c>
      <c r="R77" s="20"/>
      <c r="S77" t="b">
        <f>AND(Table152516[[#This Row],[Colloidal Oat]:[Non-comedogenic]],OR(Table152516[[#This Row],[Occlusive]:[Bath Oil]]))</f>
        <v>0</v>
      </c>
      <c r="T77" s="11" t="s">
        <v>1044</v>
      </c>
    </row>
    <row r="78" spans="1:20">
      <c r="A78" t="b">
        <f>IF(Table152516[[#This Row],[Column11]],Table152516[[#This Row],[Column12]])</f>
        <v>0</v>
      </c>
      <c r="B78" s="20" t="b">
        <f>B2</f>
        <v>0</v>
      </c>
      <c r="C78" s="17"/>
      <c r="D78" s="20" t="b">
        <f>D2</f>
        <v>0</v>
      </c>
      <c r="E78" s="17"/>
      <c r="F78" s="17" t="b">
        <f>F3</f>
        <v>1</v>
      </c>
      <c r="G78" s="17" t="b">
        <f>G2</f>
        <v>1</v>
      </c>
      <c r="H78" s="17"/>
      <c r="I78" s="17"/>
      <c r="J78" s="17" t="b">
        <f>J2</f>
        <v>1</v>
      </c>
      <c r="K78" s="17"/>
      <c r="L78" s="17"/>
      <c r="M78" s="20" t="b">
        <f>M6</f>
        <v>0</v>
      </c>
      <c r="N78" s="17"/>
      <c r="O78" s="17"/>
      <c r="P78" s="17" t="b">
        <f>P2</f>
        <v>1</v>
      </c>
      <c r="Q78" s="17" t="b">
        <f>Q2</f>
        <v>1</v>
      </c>
      <c r="R78" s="20"/>
      <c r="S78" t="b">
        <f>AND(Table152516[[#This Row],[Colloidal Oat]:[Non-comedogenic]],OR(Table152516[[#This Row],[Occlusive]:[Bath Oil]]))</f>
        <v>0</v>
      </c>
      <c r="T78" s="11" t="s">
        <v>1045</v>
      </c>
    </row>
    <row r="79" spans="1:20">
      <c r="A79" t="b">
        <f>IF(Table152516[[#This Row],[Column11]],Table152516[[#This Row],[Column12]])</f>
        <v>0</v>
      </c>
      <c r="B79" s="20" t="b">
        <f>B2</f>
        <v>0</v>
      </c>
      <c r="C79" s="20" t="b">
        <f>C2</f>
        <v>0</v>
      </c>
      <c r="D79" s="17"/>
      <c r="E79" s="20" t="b">
        <f>E2</f>
        <v>0</v>
      </c>
      <c r="F79" s="20" t="b">
        <f>F2</f>
        <v>0</v>
      </c>
      <c r="G79" s="17" t="b">
        <f>G2</f>
        <v>1</v>
      </c>
      <c r="H79" s="17"/>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11" t="s">
        <v>1046</v>
      </c>
    </row>
    <row r="80" spans="1:20">
      <c r="A80" t="b">
        <f>IF(Table152516[[#This Row],[Column11]],Table152516[[#This Row],[Column12]])</f>
        <v>0</v>
      </c>
      <c r="B80" s="20" t="b">
        <f>B2</f>
        <v>0</v>
      </c>
      <c r="C80" s="20" t="b">
        <f>C2</f>
        <v>0</v>
      </c>
      <c r="D80" s="20" t="b">
        <f>D2</f>
        <v>0</v>
      </c>
      <c r="E80" s="17"/>
      <c r="F80" s="17" t="b">
        <f>F3</f>
        <v>1</v>
      </c>
      <c r="G80" s="17" t="b">
        <f>G2</f>
        <v>1</v>
      </c>
      <c r="H80" s="17"/>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11" t="s">
        <v>1047</v>
      </c>
    </row>
    <row r="81" spans="1:20">
      <c r="A81" t="b">
        <f>IF(Table152516[[#This Row],[Column11]],Table152516[[#This Row],[Column12]])</f>
        <v>0</v>
      </c>
      <c r="B81" s="20" t="b">
        <f>B2</f>
        <v>0</v>
      </c>
      <c r="C81" s="20" t="b">
        <f>C2</f>
        <v>0</v>
      </c>
      <c r="D81" s="20" t="b">
        <f>D2</f>
        <v>0</v>
      </c>
      <c r="E81" s="17"/>
      <c r="F81" s="17" t="b">
        <f>F3</f>
        <v>1</v>
      </c>
      <c r="G81" s="17" t="b">
        <f>G2</f>
        <v>1</v>
      </c>
      <c r="H81" s="17"/>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11" t="s">
        <v>1048</v>
      </c>
    </row>
    <row r="82" spans="1:20">
      <c r="A82" s="100" t="b">
        <f>IF(Table152516[[#This Row],[Column11]],Table152516[[#This Row],[Column12]])</f>
        <v>0</v>
      </c>
      <c r="B82" s="20" t="b">
        <f>B2</f>
        <v>0</v>
      </c>
      <c r="C82" s="20" t="b">
        <f>C2</f>
        <v>0</v>
      </c>
      <c r="D82" s="17"/>
      <c r="E82" s="20" t="b">
        <f>E2</f>
        <v>0</v>
      </c>
      <c r="F82" s="17" t="b">
        <f>F3</f>
        <v>1</v>
      </c>
      <c r="G82" s="17" t="b">
        <f>G2</f>
        <v>1</v>
      </c>
      <c r="H82" s="17"/>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11" t="s">
        <v>1049</v>
      </c>
    </row>
    <row r="83" spans="1:20">
      <c r="A83" s="99" t="b">
        <f>IF(Table152516[[#This Row],[Column11]],Table152516[[#This Row],[Column12]])</f>
        <v>0</v>
      </c>
      <c r="B83" s="20" t="b">
        <f>B2</f>
        <v>0</v>
      </c>
      <c r="C83" s="20" t="b">
        <f>C2</f>
        <v>0</v>
      </c>
      <c r="D83" s="20" t="b">
        <f>D2</f>
        <v>0</v>
      </c>
      <c r="E83" s="17"/>
      <c r="F83" s="17" t="b">
        <f>F3</f>
        <v>1</v>
      </c>
      <c r="G83" s="17" t="b">
        <f>G2</f>
        <v>1</v>
      </c>
      <c r="H83" s="17"/>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11" t="s">
        <v>1051</v>
      </c>
    </row>
    <row r="84" spans="1:20">
      <c r="A84" s="102" t="b">
        <f>IF(Table152516[[#This Row],[Column11]],Table152516[[#This Row],[Column12]])</f>
        <v>0</v>
      </c>
      <c r="B84" s="20" t="b">
        <f>B2</f>
        <v>0</v>
      </c>
      <c r="C84" s="20" t="b">
        <f>C2</f>
        <v>0</v>
      </c>
      <c r="D84" s="20" t="b">
        <f>D2</f>
        <v>0</v>
      </c>
      <c r="E84" s="17"/>
      <c r="F84" s="17" t="b">
        <f>F3</f>
        <v>1</v>
      </c>
      <c r="G84" s="17" t="b">
        <f>G2</f>
        <v>1</v>
      </c>
      <c r="H84" s="17"/>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11" t="s">
        <v>1052</v>
      </c>
    </row>
    <row r="85" spans="1:20">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16"/>
    </row>
    <row r="86" spans="1:20">
      <c r="A86" t="b">
        <f>IF(Table152516[[#This Row],[Column11]],Table152516[[#This Row],[Column12]])</f>
        <v>0</v>
      </c>
      <c r="B86" s="20" t="b">
        <f>B2</f>
        <v>0</v>
      </c>
      <c r="C86" s="20" t="b">
        <f>C2</f>
        <v>0</v>
      </c>
      <c r="D86" s="20" t="b">
        <f>D2</f>
        <v>0</v>
      </c>
      <c r="E86" s="17"/>
      <c r="F86" s="17" t="b">
        <f>F3</f>
        <v>1</v>
      </c>
      <c r="G86" s="17" t="b">
        <f>G2</f>
        <v>1</v>
      </c>
      <c r="H86" s="17"/>
      <c r="I86" s="17"/>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11" t="s">
        <v>1053</v>
      </c>
    </row>
    <row r="87" spans="1:20">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c r="I87" s="17"/>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11" t="s">
        <v>1054</v>
      </c>
    </row>
    <row r="88" spans="1:20">
      <c r="A88" t="b">
        <f>IF(Table152516[[#This Row],[Column11]],Table152516[[#This Row],[Column12]])</f>
        <v>0</v>
      </c>
      <c r="B88" s="20" t="b">
        <f>B2</f>
        <v>0</v>
      </c>
      <c r="C88" s="17"/>
      <c r="D88" s="20" t="b">
        <f>D2</f>
        <v>0</v>
      </c>
      <c r="E88" s="17"/>
      <c r="F88" s="17" t="b">
        <f>F3</f>
        <v>1</v>
      </c>
      <c r="G88" s="17" t="b">
        <f>G2</f>
        <v>1</v>
      </c>
      <c r="H88" s="17"/>
      <c r="I88" s="17"/>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11" t="s">
        <v>1055</v>
      </c>
    </row>
    <row r="89" spans="1:20">
      <c r="A89" s="101" t="b">
        <f>IF(Table152516[[#This Row],[Column11]],Table152516[[#This Row],[Column12]])</f>
        <v>0</v>
      </c>
      <c r="B89" s="20" t="b">
        <f>B2</f>
        <v>0</v>
      </c>
      <c r="C89" s="20" t="b">
        <f>C2</f>
        <v>0</v>
      </c>
      <c r="D89" s="20" t="b">
        <f>D2</f>
        <v>0</v>
      </c>
      <c r="E89" s="17"/>
      <c r="F89" s="17" t="b">
        <f>F3</f>
        <v>1</v>
      </c>
      <c r="G89" s="17" t="b">
        <f>G2</f>
        <v>1</v>
      </c>
      <c r="H89" s="17"/>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11" t="s">
        <v>1056</v>
      </c>
    </row>
    <row r="90" spans="1:20">
      <c r="A90" s="100" t="b">
        <f>IF(Table152516[[#This Row],[Column11]],Table152516[[#This Row],[Column12]])</f>
        <v>0</v>
      </c>
      <c r="B90" s="20" t="b">
        <f>B2</f>
        <v>0</v>
      </c>
      <c r="C90" s="20" t="b">
        <f>C2</f>
        <v>0</v>
      </c>
      <c r="D90" s="20" t="b">
        <f>D2</f>
        <v>0</v>
      </c>
      <c r="E90" s="17"/>
      <c r="F90" s="17" t="b">
        <f>F3</f>
        <v>1</v>
      </c>
      <c r="G90" s="17" t="b">
        <f>G2</f>
        <v>1</v>
      </c>
      <c r="H90" s="17"/>
      <c r="I90" s="20" t="b">
        <f>I3</f>
        <v>1</v>
      </c>
      <c r="J90" s="17" t="b">
        <f>J2</f>
        <v>1</v>
      </c>
      <c r="K90" s="17"/>
      <c r="L90" s="20" t="b">
        <f>L2</f>
        <v>0</v>
      </c>
      <c r="M90" s="17"/>
      <c r="N90" s="17"/>
      <c r="O90" s="17"/>
      <c r="P90" s="17" t="b">
        <f>P2</f>
        <v>1</v>
      </c>
      <c r="Q90" s="20"/>
      <c r="R90" s="17" t="b">
        <f>R2</f>
        <v>1</v>
      </c>
      <c r="S90" t="b">
        <f>AND(Table152516[[#This Row],[Colloidal Oat]:[Non-comedogenic]],OR(Table152516[[#This Row],[Occlusive]:[Bath Oil]]))</f>
        <v>0</v>
      </c>
      <c r="T90" s="11" t="s">
        <v>1057</v>
      </c>
    </row>
    <row r="91" spans="1:20">
      <c r="A91" s="99" t="b">
        <f>IF(Table152516[[#This Row],[Column11]],Table152516[[#This Row],[Column12]])</f>
        <v>0</v>
      </c>
      <c r="B91" s="20" t="b">
        <f>B2</f>
        <v>0</v>
      </c>
      <c r="C91" s="20" t="b">
        <f>C2</f>
        <v>0</v>
      </c>
      <c r="D91" s="20" t="b">
        <f>D2</f>
        <v>0</v>
      </c>
      <c r="E91" s="17"/>
      <c r="F91" s="17" t="b">
        <f>F3</f>
        <v>1</v>
      </c>
      <c r="G91" s="17" t="b">
        <f>G2</f>
        <v>1</v>
      </c>
      <c r="H91" s="17"/>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11" t="s">
        <v>1058</v>
      </c>
    </row>
    <row r="92" spans="1:20">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16"/>
    </row>
    <row r="93" spans="1:20">
      <c r="A93" t="e">
        <f>IF(Table152516[[#This Row],[Column11]],Table152516[[#This Row],[Column12]])</f>
        <v>#VALUE!</v>
      </c>
      <c r="S93" t="e">
        <f>AND(Table152516[[#This Row],[Colloidal Oat]:[Non-comedogenic]],OR(Table152516[[#This Row],[Occlusive]:[Bath Oil]]))</f>
        <v>#VALUE!</v>
      </c>
    </row>
    <row r="94" spans="1:20">
      <c r="A94" t="e">
        <f>IF(Table152516[[#This Row],[Column11]],Table152516[[#This Row],[Column12]])</f>
        <v>#VALUE!</v>
      </c>
      <c r="S94" t="e">
        <f>AND(Table152516[[#This Row],[Colloidal Oat]:[Non-comedogenic]],OR(Table152516[[#This Row],[Occlusive]:[Bath Oil]]))</f>
        <v>#VALUE!</v>
      </c>
    </row>
    <row r="95" spans="1:20">
      <c r="A95" t="e">
        <f>IF(Table152516[[#This Row],[Column11]],Table152516[[#This Row],[Column12]])</f>
        <v>#VALUE!</v>
      </c>
      <c r="S95" t="e">
        <f>AND(Table152516[[#This Row],[Colloidal Oat]:[Non-comedogenic]],OR(Table152516[[#This Row],[Occlusive]:[Bath Oil]]))</f>
        <v>#VALUE!</v>
      </c>
    </row>
    <row r="96" spans="1:20">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B9" sqref="B9"/>
    </sheetView>
  </sheetViews>
  <sheetFormatPr defaultRowHeight="15"/>
  <cols>
    <col min="1" max="1" width="64.42578125" customWidth="1"/>
  </cols>
  <sheetData>
    <row r="1" spans="1:3" ht="15.75" thickTop="1">
      <c r="A1" s="3" t="s">
        <v>15</v>
      </c>
      <c r="B1" s="7" t="s">
        <v>18</v>
      </c>
      <c r="C1" s="96"/>
    </row>
    <row r="2" spans="1:3" ht="15.75" thickBot="1">
      <c r="B2" s="4"/>
      <c r="C2" s="96"/>
    </row>
    <row r="3" spans="1:3" ht="15.75" thickBot="1">
      <c r="A3" s="158" t="s">
        <v>942</v>
      </c>
      <c r="B3" s="33" t="b">
        <v>0</v>
      </c>
      <c r="C3" s="206" t="b">
        <f>NOT(B3)</f>
        <v>1</v>
      </c>
    </row>
    <row r="4" spans="1:3" ht="15.75" thickBot="1">
      <c r="A4" s="173" t="s">
        <v>943</v>
      </c>
      <c r="B4" s="33" t="b">
        <v>0</v>
      </c>
      <c r="C4" s="206" t="b">
        <f>NOT(B4)</f>
        <v>1</v>
      </c>
    </row>
    <row r="5" spans="1:3" ht="15.75" thickBot="1">
      <c r="A5" s="165" t="s">
        <v>944</v>
      </c>
      <c r="B5" s="33" t="b">
        <v>0</v>
      </c>
      <c r="C5" s="206" t="b">
        <f>NOT(B5)</f>
        <v>1</v>
      </c>
    </row>
    <row r="6" spans="1:3" ht="15.75" thickBot="1">
      <c r="A6" s="165" t="s">
        <v>947</v>
      </c>
      <c r="B6" s="33" t="b">
        <v>0</v>
      </c>
      <c r="C6" s="206" t="b">
        <f t="shared" ref="C6:C7" si="0">NOT(B6)</f>
        <v>1</v>
      </c>
    </row>
    <row r="7" spans="1:3" ht="15.75" thickBot="1">
      <c r="A7" s="165" t="s">
        <v>950</v>
      </c>
      <c r="B7" s="33" t="b">
        <v>0</v>
      </c>
      <c r="C7" s="206" t="b">
        <f t="shared" si="0"/>
        <v>1</v>
      </c>
    </row>
    <row r="8" spans="1:3" ht="15.75" thickBot="1">
      <c r="A8" s="161" t="s">
        <v>951</v>
      </c>
      <c r="B8" s="33" t="b">
        <v>0</v>
      </c>
      <c r="C8" s="205"/>
    </row>
    <row r="9" spans="1:3" ht="15.75" thickBot="1">
      <c r="A9" s="161" t="s">
        <v>952</v>
      </c>
      <c r="B9" s="33" t="b">
        <v>0</v>
      </c>
      <c r="C9" s="205"/>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0"/>
  <sheetViews>
    <sheetView workbookViewId="0">
      <selection activeCell="E17" sqref="E17"/>
    </sheetView>
  </sheetViews>
  <sheetFormatPr defaultRowHeight="15"/>
  <cols>
    <col min="1" max="1" width="54.140625" customWidth="1"/>
    <col min="2" max="9" width="11" customWidth="1"/>
    <col min="10" max="10" width="12" customWidth="1"/>
    <col min="11" max="11" width="80.7109375" customWidth="1"/>
  </cols>
  <sheetData>
    <row r="1" spans="1:11">
      <c r="A1" s="70" t="s">
        <v>1212</v>
      </c>
      <c r="B1" t="s">
        <v>717</v>
      </c>
      <c r="C1" t="s">
        <v>757</v>
      </c>
      <c r="D1" s="204" t="s">
        <v>629</v>
      </c>
      <c r="E1" s="204" t="s">
        <v>919</v>
      </c>
      <c r="F1" s="204" t="s">
        <v>945</v>
      </c>
      <c r="G1" s="204" t="s">
        <v>946</v>
      </c>
      <c r="H1" t="s">
        <v>948</v>
      </c>
      <c r="I1" t="s">
        <v>949</v>
      </c>
      <c r="J1" t="s">
        <v>681</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9" t="s">
        <v>758</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9" t="s">
        <v>759</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9" t="s">
        <v>760</v>
      </c>
    </row>
    <row r="5" spans="1:11">
      <c r="A5" t="b">
        <f>IF(Table1524[[#This Row],[Column11]],Table1524[[#This Row],[Column12]])</f>
        <v>0</v>
      </c>
      <c r="B5" s="20" t="b">
        <f>AND('Wart Criteria'!C3)</f>
        <v>1</v>
      </c>
      <c r="C5" s="20" t="b">
        <f>C2</f>
        <v>0</v>
      </c>
      <c r="D5" s="17"/>
      <c r="E5" s="17"/>
      <c r="F5" s="17"/>
      <c r="G5" s="106" t="b">
        <f>AND('Wart Criteria'!B5:B6,'Wart Criteria'!C7)</f>
        <v>0</v>
      </c>
      <c r="H5" s="20" t="b">
        <f>H2</f>
        <v>0</v>
      </c>
      <c r="I5" s="20" t="b">
        <f>I2</f>
        <v>0</v>
      </c>
      <c r="J5" t="b">
        <f>AND(Table1524[[#This Row],[Salicylic Acid]:[Liquid/Gel]],OR(Table1524[[#This Row],[Common Warts]:[Plantar]]))</f>
        <v>0</v>
      </c>
      <c r="K5" s="29" t="s">
        <v>761</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9" t="s">
        <v>762</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9" t="s">
        <v>763</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9" t="s">
        <v>764</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9" t="s">
        <v>765</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9" t="s">
        <v>766</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9" t="s">
        <v>767</v>
      </c>
    </row>
    <row r="12" spans="1:11">
      <c r="A12" t="b">
        <f>IF(Table1524[[#This Row],[Column11]],Table1524[[#This Row],[Column12]])</f>
        <v>0</v>
      </c>
      <c r="B12" s="20" t="b">
        <f>B5</f>
        <v>1</v>
      </c>
      <c r="C12" s="17"/>
      <c r="D12" s="17"/>
      <c r="E12" s="17"/>
      <c r="F12" s="17"/>
      <c r="G12" s="106" t="b">
        <f>AND('Wart Criteria'!B6,'Wart Criteria'!C5,'Wart Criteria'!C7)</f>
        <v>0</v>
      </c>
      <c r="H12" s="20" t="b">
        <f>H2</f>
        <v>0</v>
      </c>
      <c r="I12" s="20" t="b">
        <f>I2</f>
        <v>0</v>
      </c>
      <c r="J12" t="b">
        <f>AND(Table1524[[#This Row],[Salicylic Acid]:[Liquid/Gel]],OR(Table1524[[#This Row],[Common Warts]:[Plantar]]))</f>
        <v>0</v>
      </c>
      <c r="K12" s="29" t="s">
        <v>768</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9" t="s">
        <v>769</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7"/>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9" t="s">
        <v>939</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9" t="s">
        <v>940</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9" t="s">
        <v>941</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16"/>
    </row>
    <row r="19" spans="1:11">
      <c r="A19" t="e">
        <f>IF(Table1524[[#This Row],[Column11]],Table1524[[#This Row],[Column12]])</f>
        <v>#VALUE!</v>
      </c>
      <c r="J19" t="e">
        <f>AND(Table1524[[#This Row],[Salicylic Acid]:[Liquid/Gel]],OR(Table1524[[#This Row],[Common Warts]:[Plantar]]))</f>
        <v>#VALUE!</v>
      </c>
    </row>
    <row r="20" spans="1:11">
      <c r="A20" t="e">
        <f>IF(Table1524[[#This Row],[Column11]],Table1524[[#This Row],[Column12]])</f>
        <v>#VALUE!</v>
      </c>
      <c r="J20" t="e">
        <f>AND(Table1524[[#This Row],[Salicylic Acid]:[Liquid/Gel]],OR(Table1524[[#This Row],[Common Warts]:[Plantar]]))</f>
        <v>#VALUE!</v>
      </c>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B11" sqref="B11"/>
    </sheetView>
  </sheetViews>
  <sheetFormatPr defaultRowHeight="15"/>
  <cols>
    <col min="1" max="1" width="54.140625" customWidth="1"/>
  </cols>
  <sheetData>
    <row r="1" spans="1:3" ht="15.75" thickTop="1">
      <c r="A1" s="3" t="s">
        <v>15</v>
      </c>
      <c r="B1" s="7" t="s">
        <v>18</v>
      </c>
      <c r="C1" s="98"/>
    </row>
    <row r="2" spans="1:3" ht="15.75" thickBot="1">
      <c r="B2" s="4"/>
      <c r="C2" s="98"/>
    </row>
    <row r="3" spans="1:3" ht="15.75" thickBot="1">
      <c r="A3" s="1" t="s">
        <v>984</v>
      </c>
      <c r="B3" s="33" t="b">
        <v>1</v>
      </c>
      <c r="C3" s="208" t="b">
        <f>NOT(B3)</f>
        <v>0</v>
      </c>
    </row>
    <row r="4" spans="1:3" ht="15.75" thickBot="1">
      <c r="A4" s="1" t="s">
        <v>982</v>
      </c>
      <c r="B4" s="33" t="b">
        <v>0</v>
      </c>
      <c r="C4" s="208"/>
    </row>
    <row r="5" spans="1:3" ht="15.75" thickBot="1">
      <c r="A5" s="174" t="s">
        <v>987</v>
      </c>
      <c r="B5" s="33" t="b">
        <v>1</v>
      </c>
      <c r="C5" s="208" t="b">
        <f t="shared" ref="C5:C10" si="0">NOT(B5)</f>
        <v>0</v>
      </c>
    </row>
    <row r="6" spans="1:3" ht="15.75" thickBot="1">
      <c r="A6" s="1" t="s">
        <v>970</v>
      </c>
      <c r="B6" s="33" t="b">
        <v>0</v>
      </c>
      <c r="C6" s="208" t="b">
        <f t="shared" si="0"/>
        <v>1</v>
      </c>
    </row>
    <row r="7" spans="1:3" ht="15.75" thickBot="1">
      <c r="A7" s="1" t="s">
        <v>971</v>
      </c>
      <c r="B7" s="33" t="b">
        <v>1</v>
      </c>
      <c r="C7" s="208" t="b">
        <f t="shared" si="0"/>
        <v>0</v>
      </c>
    </row>
    <row r="8" spans="1:3" ht="15.75" thickBot="1">
      <c r="A8" s="174" t="s">
        <v>972</v>
      </c>
      <c r="B8" s="33" t="b">
        <v>0</v>
      </c>
      <c r="C8" s="208" t="b">
        <f t="shared" si="0"/>
        <v>1</v>
      </c>
    </row>
    <row r="9" spans="1:3" ht="15.75" thickBot="1">
      <c r="A9" s="165" t="s">
        <v>985</v>
      </c>
      <c r="B9" s="33" t="b">
        <v>1</v>
      </c>
      <c r="C9" s="208" t="b">
        <f t="shared" si="0"/>
        <v>0</v>
      </c>
    </row>
    <row r="10" spans="1:3" ht="15.75" thickBot="1">
      <c r="A10" s="165" t="s">
        <v>977</v>
      </c>
      <c r="B10" s="33" t="b">
        <v>0</v>
      </c>
      <c r="C10" s="208" t="b">
        <f t="shared" si="0"/>
        <v>1</v>
      </c>
    </row>
    <row r="11" spans="1:3" ht="15.75" thickBot="1">
      <c r="A11" s="161" t="s">
        <v>978</v>
      </c>
      <c r="B11" s="33" t="b">
        <v>1</v>
      </c>
      <c r="C11" s="208" t="b">
        <f t="shared" ref="C11:C12" si="1">NOT(B11)</f>
        <v>0</v>
      </c>
    </row>
    <row r="12" spans="1:3" ht="15.75" thickBot="1">
      <c r="A12" s="161" t="s">
        <v>986</v>
      </c>
      <c r="B12" s="33" t="b">
        <v>0</v>
      </c>
      <c r="C12" s="208"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2"/>
  <sheetViews>
    <sheetView workbookViewId="0">
      <selection activeCell="M27" sqref="M27"/>
    </sheetView>
  </sheetViews>
  <sheetFormatPr defaultRowHeight="15"/>
  <cols>
    <col min="1" max="1" width="46.42578125" customWidth="1"/>
    <col min="2" max="11" width="11" customWidth="1"/>
    <col min="12" max="12" width="12" customWidth="1"/>
    <col min="13" max="13" width="80.7109375" customWidth="1"/>
  </cols>
  <sheetData>
    <row r="1" spans="1:13">
      <c r="A1" s="70" t="s">
        <v>1212</v>
      </c>
      <c r="B1" t="s">
        <v>981</v>
      </c>
      <c r="C1" t="s">
        <v>1892</v>
      </c>
      <c r="D1" t="s">
        <v>1893</v>
      </c>
      <c r="E1" t="s">
        <v>983</v>
      </c>
      <c r="F1" t="s">
        <v>673</v>
      </c>
      <c r="G1" t="s">
        <v>362</v>
      </c>
      <c r="H1" s="204" t="s">
        <v>359</v>
      </c>
      <c r="I1" t="s">
        <v>920</v>
      </c>
      <c r="J1" t="s">
        <v>979</v>
      </c>
      <c r="K1" t="s">
        <v>980</v>
      </c>
      <c r="L1" t="s">
        <v>681</v>
      </c>
      <c r="M1" t="s">
        <v>381</v>
      </c>
    </row>
    <row r="2" spans="1:13">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1</v>
      </c>
      <c r="K2" s="17"/>
      <c r="L2" t="b">
        <f>AND(Table1523[[#This Row],[Azole]:[Spray/Powder]])</f>
        <v>0</v>
      </c>
      <c r="M2" s="29" t="s">
        <v>696</v>
      </c>
    </row>
    <row r="3" spans="1:13">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697</v>
      </c>
    </row>
    <row r="4" spans="1:13">
      <c r="A4" t="b">
        <f>IF(Table1523[[#This Row],[Column11]],Table1523[[#This Row],[Column12]])</f>
        <v>0</v>
      </c>
      <c r="B4" s="17"/>
      <c r="C4" s="20" t="b">
        <f>C2</f>
        <v>0</v>
      </c>
      <c r="D4" s="17"/>
      <c r="E4" s="17"/>
      <c r="F4" s="17"/>
      <c r="G4" s="17"/>
      <c r="H4" s="17"/>
      <c r="I4" s="17"/>
      <c r="J4" s="17"/>
      <c r="K4" s="20" t="b">
        <f>K3</f>
        <v>0</v>
      </c>
      <c r="L4" t="b">
        <f>AND(Table1523[[#This Row],[Azole]:[Spray/Powder]])</f>
        <v>0</v>
      </c>
      <c r="M4" s="29" t="s">
        <v>698</v>
      </c>
    </row>
    <row r="5" spans="1:13">
      <c r="A5" t="b">
        <f>IF(Table1523[[#This Row],[Column11]],Table1523[[#This Row],[Column12]])</f>
        <v>0</v>
      </c>
      <c r="B5" s="17"/>
      <c r="C5" s="20" t="b">
        <f>C2</f>
        <v>0</v>
      </c>
      <c r="D5" s="17"/>
      <c r="E5" s="17"/>
      <c r="F5" s="17"/>
      <c r="G5" s="17"/>
      <c r="H5" s="17"/>
      <c r="I5" s="17"/>
      <c r="J5" s="17"/>
      <c r="K5" s="20" t="b">
        <f>K3</f>
        <v>0</v>
      </c>
      <c r="L5" t="b">
        <f>AND(Table1523[[#This Row],[Azole]:[Spray/Powder]])</f>
        <v>0</v>
      </c>
      <c r="M5" s="29" t="s">
        <v>699</v>
      </c>
    </row>
    <row r="6" spans="1:13">
      <c r="A6" t="b">
        <f>IF(Table1523[[#This Row],[Column11]],Table1523[[#This Row],[Column12]])</f>
        <v>0</v>
      </c>
      <c r="B6" s="17"/>
      <c r="C6" s="20" t="b">
        <f>C2</f>
        <v>0</v>
      </c>
      <c r="D6" s="17"/>
      <c r="E6" s="17"/>
      <c r="F6" s="17"/>
      <c r="G6" s="17"/>
      <c r="H6" s="17"/>
      <c r="I6" s="17"/>
      <c r="J6" s="17"/>
      <c r="K6" s="20" t="b">
        <f>K3</f>
        <v>0</v>
      </c>
      <c r="L6" t="b">
        <f>AND(Table1523[[#This Row],[Azole]:[Spray/Powder]])</f>
        <v>0</v>
      </c>
      <c r="M6" s="29" t="s">
        <v>700</v>
      </c>
    </row>
    <row r="7" spans="1:13">
      <c r="A7" t="b">
        <f>IF(Table1523[[#This Row],[Column11]],Table1523[[#This Row],[Column12]])</f>
        <v>0</v>
      </c>
      <c r="B7" s="17"/>
      <c r="C7" s="20" t="b">
        <f>C2</f>
        <v>0</v>
      </c>
      <c r="D7" s="17"/>
      <c r="E7" s="17"/>
      <c r="F7" s="17"/>
      <c r="G7" s="17"/>
      <c r="H7" s="17"/>
      <c r="I7" s="17"/>
      <c r="J7" s="20" t="b">
        <f>J2</f>
        <v>1</v>
      </c>
      <c r="K7" s="17"/>
      <c r="L7" t="b">
        <f>AND(Table1523[[#This Row],[Azole]:[Spray/Powder]])</f>
        <v>0</v>
      </c>
      <c r="M7" s="29" t="s">
        <v>701</v>
      </c>
    </row>
    <row r="8" spans="1:13">
      <c r="A8" t="b">
        <f>IF(Table1523[[#This Row],[Column11]],Table1523[[#This Row],[Column12]])</f>
        <v>0</v>
      </c>
      <c r="B8" s="17"/>
      <c r="C8" s="20" t="b">
        <f>C2</f>
        <v>0</v>
      </c>
      <c r="D8" s="17"/>
      <c r="E8" s="17"/>
      <c r="F8" s="17"/>
      <c r="G8" s="17"/>
      <c r="H8" s="17"/>
      <c r="I8" s="17"/>
      <c r="J8" s="17"/>
      <c r="K8" s="20" t="b">
        <f>K3</f>
        <v>0</v>
      </c>
      <c r="L8" t="b">
        <f>AND(Table1523[[#This Row],[Azole]:[Spray/Powder]])</f>
        <v>0</v>
      </c>
      <c r="M8" s="29" t="s">
        <v>702</v>
      </c>
    </row>
    <row r="9" spans="1:13">
      <c r="A9" s="16" t="e">
        <f>IF(Table1523[[#This Row],[Column11]],Table1523[[#This Row],[Column12]])</f>
        <v>#VALUE!</v>
      </c>
      <c r="B9" s="16"/>
      <c r="C9" s="16"/>
      <c r="D9" s="16"/>
      <c r="E9" s="16"/>
      <c r="F9" s="16"/>
      <c r="G9" s="16"/>
      <c r="H9" s="16"/>
      <c r="I9" s="16"/>
      <c r="J9" s="16"/>
      <c r="K9" s="16"/>
      <c r="L9" s="16" t="e">
        <f>AND(Table1523[[#This Row],[Azole]:[Spray/Powder]])</f>
        <v>#VALUE!</v>
      </c>
      <c r="M9" s="16"/>
    </row>
    <row r="10" spans="1:13">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1</v>
      </c>
      <c r="K10" s="17"/>
      <c r="L10" t="b">
        <f>AND(Table1523[[#This Row],[Azole]:[Spray/Powder]])</f>
        <v>0</v>
      </c>
      <c r="M10" s="29" t="s">
        <v>715</v>
      </c>
    </row>
    <row r="11" spans="1:13">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716</v>
      </c>
    </row>
    <row r="12" spans="1:13">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3">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1</v>
      </c>
      <c r="K13" s="17"/>
      <c r="L13" t="b">
        <f>AND(Table1523[[#This Row],[Azole]:[Spray/Powder]])</f>
        <v>0</v>
      </c>
      <c r="M13" s="28" t="s">
        <v>682</v>
      </c>
    </row>
    <row r="14" spans="1:13">
      <c r="A14" t="b">
        <f>IF(Table1523[[#This Row],[Column11]],Table1523[[#This Row],[Column12]])</f>
        <v>0</v>
      </c>
      <c r="B14" s="17"/>
      <c r="C14" s="17"/>
      <c r="D14" s="17"/>
      <c r="E14" s="17"/>
      <c r="F14" s="20" t="b">
        <f>F13</f>
        <v>0</v>
      </c>
      <c r="G14" s="17"/>
      <c r="H14" s="17"/>
      <c r="I14" s="17"/>
      <c r="J14" s="20" t="b">
        <f>J2</f>
        <v>1</v>
      </c>
      <c r="K14" s="17"/>
      <c r="L14" t="b">
        <f>AND(Table1523[[#This Row],[Azole]:[Spray/Powder]])</f>
        <v>0</v>
      </c>
      <c r="M14" s="28" t="s">
        <v>683</v>
      </c>
    </row>
    <row r="15" spans="1:13">
      <c r="A15" t="b">
        <f>IF(Table1523[[#This Row],[Column11]],Table1523[[#This Row],[Column12]])</f>
        <v>0</v>
      </c>
      <c r="B15" s="17"/>
      <c r="C15" s="17"/>
      <c r="D15" s="17"/>
      <c r="E15" s="17"/>
      <c r="F15" s="20" t="b">
        <f>F13</f>
        <v>0</v>
      </c>
      <c r="G15" s="20" t="b">
        <f>G13</f>
        <v>0</v>
      </c>
      <c r="H15" s="17"/>
      <c r="I15" s="17"/>
      <c r="J15" s="20" t="b">
        <f>J2</f>
        <v>1</v>
      </c>
      <c r="K15" s="17"/>
      <c r="L15" t="b">
        <f>AND(Table1523[[#This Row],[Azole]:[Spray/Powder]])</f>
        <v>0</v>
      </c>
      <c r="M15" s="28" t="s">
        <v>684</v>
      </c>
    </row>
    <row r="16" spans="1:13">
      <c r="A16" t="b">
        <f>IF(Table1523[[#This Row],[Column11]],Table1523[[#This Row],[Column12]])</f>
        <v>0</v>
      </c>
      <c r="B16" s="17"/>
      <c r="C16" s="17"/>
      <c r="D16" s="17"/>
      <c r="E16" s="17"/>
      <c r="F16" s="20" t="b">
        <f>F13</f>
        <v>0</v>
      </c>
      <c r="G16" s="20" t="b">
        <f>G13</f>
        <v>0</v>
      </c>
      <c r="H16" s="17"/>
      <c r="I16" s="17"/>
      <c r="J16" s="20" t="b">
        <f>J2</f>
        <v>1</v>
      </c>
      <c r="K16" s="17"/>
      <c r="L16" t="b">
        <f>AND(Table1523[[#This Row],[Azole]:[Spray/Powder]])</f>
        <v>0</v>
      </c>
      <c r="M16" s="28" t="s">
        <v>685</v>
      </c>
    </row>
    <row r="17" spans="1:13">
      <c r="A17" t="b">
        <f>IF(Table1523[[#This Row],[Column11]],Table1523[[#This Row],[Column12]])</f>
        <v>0</v>
      </c>
      <c r="B17" s="17"/>
      <c r="C17" s="17"/>
      <c r="D17" s="17"/>
      <c r="E17" s="17"/>
      <c r="F17" s="20" t="b">
        <f>F13</f>
        <v>0</v>
      </c>
      <c r="G17" s="17"/>
      <c r="H17" s="17"/>
      <c r="I17" s="17"/>
      <c r="J17" s="20" t="b">
        <f>J2</f>
        <v>1</v>
      </c>
      <c r="K17" s="17"/>
      <c r="L17" t="b">
        <f>AND(Table1523[[#This Row],[Azole]:[Spray/Powder]])</f>
        <v>0</v>
      </c>
      <c r="M17" s="28" t="s">
        <v>686</v>
      </c>
    </row>
    <row r="18" spans="1:13">
      <c r="A18" t="b">
        <f>IF(Table1523[[#This Row],[Column11]],Table1523[[#This Row],[Column12]])</f>
        <v>0</v>
      </c>
      <c r="B18" s="17"/>
      <c r="C18" s="17"/>
      <c r="D18" s="17"/>
      <c r="E18" s="17"/>
      <c r="F18" s="20" t="b">
        <f>F13</f>
        <v>0</v>
      </c>
      <c r="G18" s="17"/>
      <c r="H18" s="17"/>
      <c r="I18" s="17"/>
      <c r="J18" s="20" t="b">
        <f>J2</f>
        <v>1</v>
      </c>
      <c r="K18" s="17"/>
      <c r="L18" t="b">
        <f>AND(Table1523[[#This Row],[Azole]:[Spray/Powder]])</f>
        <v>0</v>
      </c>
      <c r="M18" s="28" t="s">
        <v>687</v>
      </c>
    </row>
    <row r="19" spans="1:13">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688</v>
      </c>
    </row>
    <row r="20" spans="1:13">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3">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953</v>
      </c>
    </row>
    <row r="22" spans="1:13">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3">
      <c r="A23" t="b">
        <f>IF(Table1523[[#This Row],[Column11]],Table1523[[#This Row],[Column12]])</f>
        <v>0</v>
      </c>
      <c r="B23" s="97"/>
      <c r="C23" s="97"/>
      <c r="D23" s="97"/>
      <c r="E23" s="67" t="b">
        <f>E21</f>
        <v>0</v>
      </c>
      <c r="F23" s="17"/>
      <c r="G23" s="17"/>
      <c r="H23" s="17"/>
      <c r="I23" s="17"/>
      <c r="J23" s="17"/>
      <c r="K23" s="17"/>
      <c r="L23" t="b">
        <f>AND(Table1523[[#This Row],[Azole]:[Spray/Powder]])</f>
        <v>0</v>
      </c>
      <c r="M23" s="11" t="s">
        <v>973</v>
      </c>
    </row>
    <row r="24" spans="1:13">
      <c r="A24" t="b">
        <f>IF(Table1523[[#This Row],[Column11]],Table1523[[#This Row],[Column12]])</f>
        <v>0</v>
      </c>
      <c r="B24" s="97"/>
      <c r="C24" s="17"/>
      <c r="D24" s="67" t="b">
        <f>AND('Anti-Infection Skin Criteria'!B7,'Anti-Infection Skin Criteria'!C8,'Anti-Infection Skin Criteria'!B12,'Anti-Infection Skin Criteria'!C11,'Anti-Infection Skin Criteria'!C6,'Anti-Infection Skin Criteria'!C3)</f>
        <v>0</v>
      </c>
      <c r="E24" s="97"/>
      <c r="F24" s="17"/>
      <c r="G24" s="17"/>
      <c r="H24" s="17"/>
      <c r="I24" s="17"/>
      <c r="J24" s="17"/>
      <c r="K24" s="17"/>
      <c r="L24" t="b">
        <f>AND(Table1523[[#This Row],[Azole]:[Spray/Powder]])</f>
        <v>0</v>
      </c>
      <c r="M24" s="11" t="s">
        <v>974</v>
      </c>
    </row>
    <row r="25" spans="1:13">
      <c r="A25" t="b">
        <f>IF(Table1523[[#This Row],[Column11]],Table1523[[#This Row],[Column12]])</f>
        <v>0</v>
      </c>
      <c r="B25" s="97"/>
      <c r="C25" s="207"/>
      <c r="D25" s="67" t="b">
        <f>D24</f>
        <v>0</v>
      </c>
      <c r="E25" s="97"/>
      <c r="F25" s="17"/>
      <c r="G25" s="17"/>
      <c r="H25" s="17"/>
      <c r="I25" s="17"/>
      <c r="J25" s="20" t="b">
        <f>J2</f>
        <v>1</v>
      </c>
      <c r="K25" s="17"/>
      <c r="L25" t="b">
        <f>AND(Table1523[[#This Row],[Azole]:[Spray/Powder]])</f>
        <v>0</v>
      </c>
      <c r="M25" s="11" t="s">
        <v>975</v>
      </c>
    </row>
    <row r="26" spans="1:13">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3">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976</v>
      </c>
    </row>
    <row r="28" spans="1:13">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3">
      <c r="A29" t="e">
        <f>IF(Table1523[[#This Row],[Column11]],Table1523[[#This Row],[Column12]])</f>
        <v>#VALUE!</v>
      </c>
      <c r="L29" t="e">
        <f>AND(Table1523[[#This Row],[Azole]:[Spray/Powder]])</f>
        <v>#VALUE!</v>
      </c>
    </row>
    <row r="30" spans="1:13">
      <c r="A30" t="e">
        <f>IF(Table1523[[#This Row],[Column11]],Table1523[[#This Row],[Column12]])</f>
        <v>#VALUE!</v>
      </c>
      <c r="L30" t="e">
        <f>AND(Table1523[[#This Row],[Azole]:[Spray/Powder]])</f>
        <v>#VALUE!</v>
      </c>
    </row>
    <row r="31" spans="1:13">
      <c r="A31" t="e">
        <f>IF(Table1523[[#This Row],[Column11]],Table1523[[#This Row],[Column12]])</f>
        <v>#VALUE!</v>
      </c>
      <c r="L31" t="e">
        <f>AND(Table1523[[#This Row],[Azole]:[Spray/Powder]])</f>
        <v>#VALUE!</v>
      </c>
    </row>
    <row r="32" spans="1:13">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zoomScaleNormal="100" workbookViewId="0">
      <selection activeCell="I13" sqref="I13"/>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48" t="s">
        <v>1212</v>
      </c>
      <c r="B1" s="157" t="s">
        <v>1325</v>
      </c>
      <c r="C1" s="157" t="s">
        <v>1328</v>
      </c>
      <c r="D1" s="157" t="s">
        <v>1940</v>
      </c>
      <c r="E1" s="157" t="s">
        <v>1209</v>
      </c>
      <c r="F1" s="157" t="s">
        <v>1326</v>
      </c>
      <c r="G1" s="157" t="s">
        <v>1327</v>
      </c>
      <c r="H1" s="157" t="s">
        <v>1937</v>
      </c>
      <c r="I1" s="157" t="s">
        <v>1938</v>
      </c>
      <c r="J1" s="157" t="s">
        <v>594</v>
      </c>
      <c r="K1" s="157" t="s">
        <v>1939</v>
      </c>
      <c r="L1" s="157" t="s">
        <v>1120</v>
      </c>
      <c r="M1" s="157" t="s">
        <v>25</v>
      </c>
      <c r="N1" s="15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1317</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1318</v>
      </c>
    </row>
    <row r="4" spans="1:14">
      <c r="A4" t="b">
        <f>IF(Table28[[#This Row],[Total]],Table28[[#This Row],[Product]])</f>
        <v>0</v>
      </c>
      <c r="B4" s="20" t="b">
        <f>B2</f>
        <v>0</v>
      </c>
      <c r="C4" s="20" t="b">
        <f>AND('Dry Mouth Criteria'!B3)</f>
        <v>0</v>
      </c>
      <c r="D4" s="17"/>
      <c r="E4" s="20" t="b">
        <f>AND('Dry Mouth Criteria'!B8,'Dry Mouth Criteria'!C7)</f>
        <v>0</v>
      </c>
      <c r="F4" s="17"/>
      <c r="G4" s="17" t="b">
        <f>G2</f>
        <v>1</v>
      </c>
      <c r="H4" s="17"/>
      <c r="I4" s="17"/>
      <c r="J4" s="20" t="b">
        <f>AND('Dry Mouth Criteria'!B11,'Dry Mouth Criteria'!C9:C10,'Dry Mouth Criteria'!C12:C13)</f>
        <v>0</v>
      </c>
      <c r="K4" s="17"/>
      <c r="L4" s="17"/>
      <c r="M4" t="b">
        <f>AND(Table28[[#This Row],[Xylitol]:[Patch]])</f>
        <v>0</v>
      </c>
      <c r="N4" s="29" t="s">
        <v>1319</v>
      </c>
    </row>
    <row r="5" spans="1:14">
      <c r="A5" t="b">
        <f>IF(Table28[[#This Row],[Total]],Table28[[#This Row],[Product]])</f>
        <v>0</v>
      </c>
      <c r="B5" s="20" t="b">
        <f>B2</f>
        <v>0</v>
      </c>
      <c r="C5" s="17" t="b">
        <f>C2</f>
        <v>1</v>
      </c>
      <c r="D5" s="20" t="b">
        <f>D2</f>
        <v>0</v>
      </c>
      <c r="E5" s="17"/>
      <c r="F5" s="17"/>
      <c r="G5" s="17" t="b">
        <f>G2</f>
        <v>1</v>
      </c>
      <c r="H5" s="17"/>
      <c r="I5" s="17"/>
      <c r="J5" s="17"/>
      <c r="K5" s="20" t="b">
        <f>AND('Dry Mouth Criteria'!B12,'Dry Mouth Criteria'!C9:C11,'Dry Mouth Criteria'!C13)</f>
        <v>0</v>
      </c>
      <c r="L5" s="17"/>
      <c r="M5" t="b">
        <f>AND(Table28[[#This Row],[Xylitol]:[Patch]])</f>
        <v>0</v>
      </c>
      <c r="N5" s="29" t="s">
        <v>1329</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1321</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c r="G9" s="20" t="b">
        <f>AND('Dry Mouth Criteria'!B5)</f>
        <v>0</v>
      </c>
      <c r="H9" s="67" t="b">
        <f>H3</f>
        <v>0</v>
      </c>
      <c r="I9" s="207"/>
      <c r="J9" s="207"/>
      <c r="K9" s="207"/>
      <c r="L9" s="207"/>
      <c r="M9" t="b">
        <f>AND(Table28[[#This Row],[Xylitol]:[Patch]])</f>
        <v>0</v>
      </c>
      <c r="N9" s="11" t="s">
        <v>1320</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c r="G11" s="17" t="b">
        <f>G2</f>
        <v>1</v>
      </c>
      <c r="H11" s="17"/>
      <c r="I11" s="17"/>
      <c r="J11" s="17"/>
      <c r="K11" s="17"/>
      <c r="L11" s="20" t="b">
        <f>AND('Dry Mouth Criteria'!B13,'Dry Mouth Criteria'!C9:C12)</f>
        <v>0</v>
      </c>
      <c r="M11" t="b">
        <f>AND(Table28[[#This Row],[Xylitol]:[Patch]])</f>
        <v>0</v>
      </c>
      <c r="N11" s="11" t="s">
        <v>1322</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c r="G13" s="17" t="b">
        <f>G2</f>
        <v>1</v>
      </c>
      <c r="H13" s="17"/>
      <c r="I13" s="17"/>
      <c r="J13" s="17"/>
      <c r="K13" s="20" t="b">
        <f>K5</f>
        <v>0</v>
      </c>
      <c r="L13" s="17"/>
      <c r="M13" t="b">
        <f>AND(Table28[[#This Row],[Xylitol]:[Patch]])</f>
        <v>0</v>
      </c>
      <c r="N13" s="11" t="s">
        <v>1324</v>
      </c>
    </row>
    <row r="14" spans="1:14">
      <c r="A14" t="b">
        <f>IF(Table28[[#This Row],[Total]],Table28[[#This Row],[Product]])</f>
        <v>0</v>
      </c>
      <c r="B14" s="20" t="b">
        <f>B2</f>
        <v>0</v>
      </c>
      <c r="C14" s="17" t="b">
        <f>C2</f>
        <v>1</v>
      </c>
      <c r="D14" s="20" t="b">
        <f>D2</f>
        <v>0</v>
      </c>
      <c r="E14" s="17"/>
      <c r="F14" s="17"/>
      <c r="G14" s="17" t="b">
        <f>G2</f>
        <v>1</v>
      </c>
      <c r="H14" s="17"/>
      <c r="I14" s="17"/>
      <c r="J14" s="17"/>
      <c r="K14" s="20" t="b">
        <f>K5</f>
        <v>0</v>
      </c>
      <c r="L14" s="17"/>
      <c r="M14" t="b">
        <f>AND(Table28[[#This Row],[Xylitol]:[Patch]])</f>
        <v>0</v>
      </c>
      <c r="N14" s="11" t="s">
        <v>1323</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c r="G16" s="17" t="b">
        <f>G2</f>
        <v>1</v>
      </c>
      <c r="H16" s="17"/>
      <c r="I16" s="17"/>
      <c r="J16" s="17"/>
      <c r="K16" s="17"/>
      <c r="L16" s="20" t="b">
        <f>L11</f>
        <v>0</v>
      </c>
      <c r="M16" t="b">
        <f>AND(Table28[[#This Row],[Xylitol]:[Patch]])</f>
        <v>0</v>
      </c>
      <c r="N16" s="29" t="s">
        <v>1330</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workbookViewId="0">
      <selection activeCell="B19" sqref="B19"/>
    </sheetView>
  </sheetViews>
  <sheetFormatPr defaultRowHeight="15"/>
  <cols>
    <col min="1" max="1" width="37.5703125" customWidth="1"/>
  </cols>
  <sheetData>
    <row r="1" spans="1:3" ht="15.75" thickTop="1">
      <c r="A1" s="3" t="s">
        <v>15</v>
      </c>
      <c r="B1" s="7" t="s">
        <v>18</v>
      </c>
      <c r="C1" s="95"/>
    </row>
    <row r="2" spans="1:3" ht="15.75" thickBot="1">
      <c r="B2" s="4"/>
      <c r="C2" s="95"/>
    </row>
    <row r="3" spans="1:3" ht="15.75" thickBot="1">
      <c r="A3" s="161" t="s">
        <v>912</v>
      </c>
      <c r="B3" s="33" t="b">
        <v>1</v>
      </c>
      <c r="C3" s="95" t="b">
        <f t="shared" ref="C3:C8" si="0">NOT(B3)</f>
        <v>0</v>
      </c>
    </row>
    <row r="4" spans="1:3" ht="15.75" thickBot="1">
      <c r="A4" s="161" t="s">
        <v>911</v>
      </c>
      <c r="B4" s="33" t="b">
        <v>0</v>
      </c>
      <c r="C4" s="95" t="b">
        <f t="shared" si="0"/>
        <v>1</v>
      </c>
    </row>
    <row r="5" spans="1:3" ht="15.75" thickBot="1">
      <c r="A5" s="161" t="s">
        <v>910</v>
      </c>
      <c r="B5" s="33" t="b">
        <v>1</v>
      </c>
      <c r="C5" s="95" t="b">
        <f t="shared" si="0"/>
        <v>0</v>
      </c>
    </row>
    <row r="6" spans="1:3" ht="15.75" customHeight="1" thickBot="1">
      <c r="A6" s="161" t="s">
        <v>913</v>
      </c>
      <c r="B6" s="33" t="b">
        <v>0</v>
      </c>
      <c r="C6" s="95" t="b">
        <f t="shared" si="0"/>
        <v>1</v>
      </c>
    </row>
    <row r="7" spans="1:3" ht="15.75" customHeight="1" thickBot="1">
      <c r="A7" s="1" t="s">
        <v>921</v>
      </c>
      <c r="B7" s="33" t="b">
        <v>1</v>
      </c>
      <c r="C7" s="95" t="b">
        <f t="shared" si="0"/>
        <v>0</v>
      </c>
    </row>
    <row r="8" spans="1:3" ht="15.75" customHeight="1" thickBot="1">
      <c r="A8" s="1" t="s">
        <v>923</v>
      </c>
      <c r="B8" s="33" t="b">
        <v>0</v>
      </c>
      <c r="C8" s="95" t="b">
        <f t="shared" si="0"/>
        <v>1</v>
      </c>
    </row>
    <row r="9" spans="1:3" ht="15.75" customHeight="1">
      <c r="A9" s="78"/>
      <c r="B9" s="79"/>
      <c r="C9" s="95"/>
    </row>
    <row r="10" spans="1:3" ht="15.75" customHeight="1" thickBot="1">
      <c r="A10" s="90"/>
      <c r="B10" s="91"/>
      <c r="C10" s="95"/>
    </row>
    <row r="11" spans="1:3" ht="15.75" customHeight="1" thickTop="1">
      <c r="A11" s="88" t="s">
        <v>14</v>
      </c>
      <c r="B11" s="7" t="s">
        <v>18</v>
      </c>
      <c r="C11" s="95"/>
    </row>
    <row r="12" spans="1:3" ht="15.75" customHeight="1" thickBot="1">
      <c r="A12" s="89"/>
      <c r="B12" s="80"/>
      <c r="C12" s="95"/>
    </row>
    <row r="13" spans="1:3" ht="15.75" thickBot="1">
      <c r="A13" s="1" t="s">
        <v>918</v>
      </c>
      <c r="B13" s="33" t="b">
        <v>1</v>
      </c>
      <c r="C13" s="95" t="b">
        <f>NOT(B13)</f>
        <v>0</v>
      </c>
    </row>
    <row r="14" spans="1:3" ht="15.75" thickBot="1">
      <c r="A14" s="1" t="s">
        <v>916</v>
      </c>
      <c r="B14" s="33" t="b">
        <v>0</v>
      </c>
      <c r="C14" s="95" t="b">
        <f>NOT(B14)</f>
        <v>1</v>
      </c>
    </row>
    <row r="15" spans="1:3" ht="15.75" thickBot="1">
      <c r="A15" s="1" t="s">
        <v>917</v>
      </c>
      <c r="B15" s="33" t="b">
        <v>1</v>
      </c>
      <c r="C15" s="95" t="b">
        <f>NOT(B15)</f>
        <v>0</v>
      </c>
    </row>
  </sheetData>
  <dataValidations xWindow="164" yWindow="203" count="2">
    <dataValidation allowBlank="1" showInputMessage="1" showErrorMessage="1" prompt="Consult your physician if unsure" sqref="A7 A9:A12" xr:uid="{00000000-0002-0000-1D00-000000000000}"/>
    <dataValidation allowBlank="1" showInputMessage="1" showErrorMessage="1" prompt="Consult your pharmacist if unsure" sqref="A3:A6 A8 A13: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64" yWindow="203" count="9">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topLeftCell="A10" workbookViewId="0">
      <selection activeCell="K17" sqref="K17"/>
    </sheetView>
  </sheetViews>
  <sheetFormatPr defaultRowHeight="15"/>
  <cols>
    <col min="1" max="1" width="63.140625" customWidth="1"/>
    <col min="2" max="9" width="11" customWidth="1"/>
    <col min="10" max="10" width="12" customWidth="1"/>
    <col min="11" max="11" width="80.7109375" customWidth="1"/>
  </cols>
  <sheetData>
    <row r="1" spans="1:11">
      <c r="A1" s="70" t="s">
        <v>1212</v>
      </c>
      <c r="B1" t="s">
        <v>717</v>
      </c>
      <c r="C1" t="s">
        <v>721</v>
      </c>
      <c r="D1" t="s">
        <v>914</v>
      </c>
      <c r="E1" t="s">
        <v>803</v>
      </c>
      <c r="F1" t="s">
        <v>594</v>
      </c>
      <c r="G1" t="s">
        <v>915</v>
      </c>
      <c r="H1" t="s">
        <v>399</v>
      </c>
      <c r="I1" t="s">
        <v>922</v>
      </c>
      <c r="J1" t="s">
        <v>681</v>
      </c>
      <c r="K1" t="s">
        <v>381</v>
      </c>
    </row>
    <row r="2" spans="1:11">
      <c r="A2" t="b">
        <f>IF(Table1522[[#This Row],[Column11]],Table1522[[#This Row],[Column12]])</f>
        <v>0</v>
      </c>
      <c r="B2" s="20" t="b">
        <f>AND('Acne Products Criteria'!B14,'Acne Products Criteria'!C13)</f>
        <v>0</v>
      </c>
      <c r="C2" s="17"/>
      <c r="D2" s="17"/>
      <c r="E2" s="17"/>
      <c r="F2" s="17"/>
      <c r="G2" s="17"/>
      <c r="H2" s="20" t="b">
        <f>AND('Acne Products Criteria'!B7,'Acne Products Criteria'!C8)</f>
        <v>1</v>
      </c>
      <c r="I2" s="17"/>
      <c r="J2" t="b">
        <f>AND(Table1522[[#This Row],[Salicylic Acid]:[Spot Treatment]])</f>
        <v>0</v>
      </c>
      <c r="K2" s="28" t="s">
        <v>718</v>
      </c>
    </row>
    <row r="3" spans="1:11">
      <c r="A3" t="b">
        <f>IF(Table1522[[#This Row],[Column11]],Table1522[[#This Row],[Column12]])</f>
        <v>0</v>
      </c>
      <c r="B3" s="20" t="b">
        <f>B2</f>
        <v>0</v>
      </c>
      <c r="C3" s="17"/>
      <c r="D3" s="20" t="b">
        <f>AND('Acne Products Criteria'!B3,'Acne Products Criteria'!C4:C6)</f>
        <v>0</v>
      </c>
      <c r="E3" s="17"/>
      <c r="F3" s="17"/>
      <c r="G3" s="17"/>
      <c r="H3" s="20" t="b">
        <f>H2</f>
        <v>1</v>
      </c>
      <c r="I3" s="17"/>
      <c r="J3" t="b">
        <f>AND(Table1522[[#This Row],[Salicylic Acid]:[Spot Treatment]])</f>
        <v>0</v>
      </c>
      <c r="K3" s="28" t="s">
        <v>719</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1</v>
      </c>
      <c r="I4" s="17"/>
      <c r="J4" t="b">
        <f>AND(Table1522[[#This Row],[Salicylic Acid]:[Spot Treatment]])</f>
        <v>0</v>
      </c>
      <c r="K4" s="28" t="s">
        <v>720</v>
      </c>
    </row>
    <row r="5" spans="1:11">
      <c r="A5" t="b">
        <f>IF(Table1522[[#This Row],[Column11]],Table1522[[#This Row],[Column12]])</f>
        <v>0</v>
      </c>
      <c r="B5" s="17"/>
      <c r="C5" s="20" t="b">
        <f>C4</f>
        <v>0</v>
      </c>
      <c r="D5" s="17"/>
      <c r="E5" s="17"/>
      <c r="F5" s="17"/>
      <c r="G5" s="17"/>
      <c r="H5" s="20" t="b">
        <f>H2</f>
        <v>1</v>
      </c>
      <c r="I5" s="17"/>
      <c r="J5" t="b">
        <f>AND(Table1522[[#This Row],[Salicylic Acid]:[Spot Treatment]])</f>
        <v>0</v>
      </c>
      <c r="K5" s="28" t="s">
        <v>722</v>
      </c>
    </row>
    <row r="6" spans="1:11">
      <c r="A6" t="b">
        <f>IF(Table1522[[#This Row],[Column11]],Table1522[[#This Row],[Column12]])</f>
        <v>0</v>
      </c>
      <c r="B6" s="20" t="b">
        <f>B2</f>
        <v>0</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723</v>
      </c>
    </row>
    <row r="7" spans="1:11">
      <c r="A7" t="b">
        <f>IF(Table1522[[#This Row],[Column11]],Table1522[[#This Row],[Column12]])</f>
        <v>0</v>
      </c>
      <c r="B7" s="17"/>
      <c r="C7" s="20" t="b">
        <f>C4</f>
        <v>0</v>
      </c>
      <c r="D7" s="17"/>
      <c r="E7" s="17"/>
      <c r="F7" s="17"/>
      <c r="G7" s="17"/>
      <c r="H7" s="20" t="b">
        <f>H2</f>
        <v>1</v>
      </c>
      <c r="I7" s="17"/>
      <c r="J7" t="b">
        <f>AND(Table1522[[#This Row],[Salicylic Acid]:[Spot Treatment]])</f>
        <v>0</v>
      </c>
      <c r="K7" s="28" t="s">
        <v>724</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725</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726</v>
      </c>
    </row>
    <row r="10" spans="1:11">
      <c r="A10" t="b">
        <f>IF(Table1522[[#This Row],[Column11]],Table1522[[#This Row],[Column12]])</f>
        <v>0</v>
      </c>
      <c r="B10" s="20" t="b">
        <f>B2</f>
        <v>0</v>
      </c>
      <c r="C10" s="17"/>
      <c r="D10" s="17"/>
      <c r="E10" s="17"/>
      <c r="F10" s="17"/>
      <c r="G10" s="20" t="b">
        <f>G6</f>
        <v>0</v>
      </c>
      <c r="H10" s="17"/>
      <c r="I10" s="20" t="b">
        <f>I6</f>
        <v>0</v>
      </c>
      <c r="J10" t="b">
        <f>AND(Table1522[[#This Row],[Salicylic Acid]:[Spot Treatment]])</f>
        <v>0</v>
      </c>
      <c r="K10" s="28" t="s">
        <v>727</v>
      </c>
    </row>
    <row r="11" spans="1:11">
      <c r="A11" t="b">
        <f>IF(Table1522[[#This Row],[Column11]],Table1522[[#This Row],[Column12]])</f>
        <v>0</v>
      </c>
      <c r="B11" s="20" t="b">
        <f>B2</f>
        <v>0</v>
      </c>
      <c r="C11" s="17"/>
      <c r="D11" s="17"/>
      <c r="E11" s="17"/>
      <c r="F11" s="17"/>
      <c r="G11" s="17"/>
      <c r="H11" s="17"/>
      <c r="I11" s="20" t="b">
        <f>I6</f>
        <v>0</v>
      </c>
      <c r="J11" t="b">
        <f>AND(Table1522[[#This Row],[Salicylic Acid]:[Spot Treatment]])</f>
        <v>0</v>
      </c>
      <c r="K11" s="28" t="s">
        <v>728</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729</v>
      </c>
    </row>
    <row r="14" spans="1:11">
      <c r="A14" t="b">
        <f>IF(Table1522[[#This Row],[Column11]],Table1522[[#This Row],[Column12]])</f>
        <v>0</v>
      </c>
      <c r="B14" s="20" t="b">
        <f>B2</f>
        <v>0</v>
      </c>
      <c r="C14" s="17"/>
      <c r="D14" s="17"/>
      <c r="E14" s="17"/>
      <c r="F14" s="20" t="b">
        <f>AND('Acne Products Criteria'!B4,'Acne Products Criteria'!C3,'Acne Products Criteria'!C5:C6)</f>
        <v>0</v>
      </c>
      <c r="G14" s="17"/>
      <c r="H14" s="17"/>
      <c r="I14" s="20" t="b">
        <f>I6</f>
        <v>0</v>
      </c>
      <c r="J14" t="b">
        <f>AND(Table1522[[#This Row],[Salicylic Acid]:[Spot Treatment]])</f>
        <v>0</v>
      </c>
      <c r="K14" s="29" t="s">
        <v>730</v>
      </c>
    </row>
    <row r="15" spans="1:11">
      <c r="A15" t="b">
        <f>IF(Table1522[[#This Row],[Column11]],Table1522[[#This Row],[Column12]])</f>
        <v>0</v>
      </c>
      <c r="B15" s="20" t="b">
        <f>B2</f>
        <v>0</v>
      </c>
      <c r="C15" s="17"/>
      <c r="D15" s="17"/>
      <c r="E15" s="17"/>
      <c r="F15" s="17"/>
      <c r="G15" s="17"/>
      <c r="H15" s="20" t="b">
        <f>H2</f>
        <v>1</v>
      </c>
      <c r="I15" s="17"/>
      <c r="J15" t="b">
        <f>AND(Table1522[[#This Row],[Salicylic Acid]:[Spot Treatment]])</f>
        <v>0</v>
      </c>
      <c r="K15" s="29" t="s">
        <v>731</v>
      </c>
    </row>
    <row r="16" spans="1:11">
      <c r="A16" t="b">
        <f>IF(Table1522[[#This Row],[Column11]],Table1522[[#This Row],[Column12]])</f>
        <v>0</v>
      </c>
      <c r="B16" s="20" t="b">
        <f>B2</f>
        <v>0</v>
      </c>
      <c r="C16" s="17"/>
      <c r="D16" s="17"/>
      <c r="E16" s="17"/>
      <c r="F16" s="17"/>
      <c r="G16" s="20" t="b">
        <f>G6</f>
        <v>0</v>
      </c>
      <c r="H16" s="17"/>
      <c r="I16" s="20" t="b">
        <f>I6</f>
        <v>0</v>
      </c>
      <c r="J16" t="b">
        <f>AND(Table1522[[#This Row],[Salicylic Acid]:[Spot Treatment]])</f>
        <v>0</v>
      </c>
      <c r="K16" s="29" t="s">
        <v>732</v>
      </c>
    </row>
    <row r="17" spans="1:11">
      <c r="A17" t="b">
        <f>IF(Table1522[[#This Row],[Column11]],Table1522[[#This Row],[Column12]])</f>
        <v>0</v>
      </c>
      <c r="B17" s="20" t="b">
        <f>B2</f>
        <v>0</v>
      </c>
      <c r="C17" s="17"/>
      <c r="D17" s="17"/>
      <c r="E17" s="17"/>
      <c r="F17" s="17"/>
      <c r="G17" s="17"/>
      <c r="H17" s="20" t="b">
        <f>H2</f>
        <v>1</v>
      </c>
      <c r="I17" s="17"/>
      <c r="J17" t="b">
        <f>AND(Table1522[[#This Row],[Salicylic Acid]:[Spot Treatment]])</f>
        <v>0</v>
      </c>
      <c r="K17" s="29" t="s">
        <v>733</v>
      </c>
    </row>
    <row r="18" spans="1:11">
      <c r="A18" t="b">
        <f>IF(Table1522[[#This Row],[Column11]],Table1522[[#This Row],[Column12]])</f>
        <v>0</v>
      </c>
      <c r="B18" s="20" t="b">
        <f>B2</f>
        <v>0</v>
      </c>
      <c r="C18" s="17"/>
      <c r="D18" s="17"/>
      <c r="E18" s="17"/>
      <c r="F18" s="17"/>
      <c r="G18" s="20" t="b">
        <f>G6</f>
        <v>0</v>
      </c>
      <c r="H18" s="17"/>
      <c r="I18" s="20" t="b">
        <f>I6</f>
        <v>0</v>
      </c>
      <c r="J18" t="b">
        <f>AND(Table1522[[#This Row],[Salicylic Acid]:[Spot Treatment]])</f>
        <v>0</v>
      </c>
      <c r="K18" s="29" t="s">
        <v>734</v>
      </c>
    </row>
    <row r="19" spans="1:11">
      <c r="A19" t="b">
        <f>IF(Table1522[[#This Row],[Column11]],Table1522[[#This Row],[Column12]])</f>
        <v>0</v>
      </c>
      <c r="B19" s="20" t="b">
        <f>B2</f>
        <v>0</v>
      </c>
      <c r="C19" s="17"/>
      <c r="D19" s="17"/>
      <c r="E19" s="17"/>
      <c r="F19" s="17"/>
      <c r="G19" s="17"/>
      <c r="H19" s="20" t="b">
        <f>H2</f>
        <v>1</v>
      </c>
      <c r="I19" s="17"/>
      <c r="J19" t="b">
        <f>AND(Table1522[[#This Row],[Salicylic Acid]:[Spot Treatment]])</f>
        <v>0</v>
      </c>
      <c r="K19" s="29" t="s">
        <v>735</v>
      </c>
    </row>
    <row r="20" spans="1:11">
      <c r="A20" t="b">
        <f>IF(Table1522[[#This Row],[Column11]],Table1522[[#This Row],[Column12]])</f>
        <v>0</v>
      </c>
      <c r="B20" s="20" t="b">
        <f>B2</f>
        <v>0</v>
      </c>
      <c r="C20" s="17"/>
      <c r="D20" s="17"/>
      <c r="E20" s="17"/>
      <c r="F20" s="17"/>
      <c r="G20" s="17"/>
      <c r="H20" s="20" t="b">
        <f>H2</f>
        <v>1</v>
      </c>
      <c r="I20" s="17"/>
      <c r="J20" t="b">
        <f>AND(Table1522[[#This Row],[Salicylic Acid]:[Spot Treatment]])</f>
        <v>0</v>
      </c>
      <c r="K20" s="29" t="s">
        <v>736</v>
      </c>
    </row>
    <row r="21" spans="1:11">
      <c r="A21" t="b">
        <f>IF(Table1522[[#This Row],[Column11]],Table1522[[#This Row],[Column12]])</f>
        <v>0</v>
      </c>
      <c r="B21" s="20" t="b">
        <f>B2</f>
        <v>0</v>
      </c>
      <c r="C21" s="17"/>
      <c r="D21" s="17"/>
      <c r="E21" s="20" t="b">
        <f>E4</f>
        <v>0</v>
      </c>
      <c r="F21" s="17"/>
      <c r="G21" s="17"/>
      <c r="H21" s="20" t="b">
        <f>H2</f>
        <v>1</v>
      </c>
      <c r="I21" s="17"/>
      <c r="J21" t="b">
        <f>AND(Table1522[[#This Row],[Salicylic Acid]:[Spot Treatment]])</f>
        <v>0</v>
      </c>
      <c r="K21" s="29" t="s">
        <v>737</v>
      </c>
    </row>
    <row r="22" spans="1:11">
      <c r="A22" t="b">
        <f>IF(Table1522[[#This Row],[Column11]],Table1522[[#This Row],[Column12]])</f>
        <v>0</v>
      </c>
      <c r="B22" s="17"/>
      <c r="C22" s="20" t="b">
        <f>C4</f>
        <v>0</v>
      </c>
      <c r="D22" s="20" t="b">
        <f>D3</f>
        <v>0</v>
      </c>
      <c r="E22" s="17"/>
      <c r="F22" s="17"/>
      <c r="G22" s="17"/>
      <c r="H22" s="20" t="b">
        <f>H2</f>
        <v>1</v>
      </c>
      <c r="I22" s="17"/>
      <c r="J22" t="b">
        <f>AND(Table1522[[#This Row],[Salicylic Acid]:[Spot Treatment]])</f>
        <v>0</v>
      </c>
      <c r="K22" s="29" t="s">
        <v>738</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739</v>
      </c>
    </row>
    <row r="24" spans="1:11">
      <c r="A24" t="b">
        <f>IF(Table1522[[#This Row],[Column11]],Table1522[[#This Row],[Column12]])</f>
        <v>0</v>
      </c>
      <c r="B24" s="20" t="b">
        <f>B2</f>
        <v>0</v>
      </c>
      <c r="C24" s="17"/>
      <c r="D24" s="17"/>
      <c r="E24" s="17"/>
      <c r="F24" s="17"/>
      <c r="G24" s="17"/>
      <c r="H24" s="20" t="b">
        <f>H2</f>
        <v>1</v>
      </c>
      <c r="I24" s="17"/>
      <c r="J24" t="b">
        <f>AND(Table1522[[#This Row],[Salicylic Acid]:[Spot Treatment]])</f>
        <v>0</v>
      </c>
      <c r="K24" s="29" t="s">
        <v>740</v>
      </c>
    </row>
    <row r="25" spans="1:11">
      <c r="A25" t="b">
        <f>IF(Table1522[[#This Row],[Column11]],Table1522[[#This Row],[Column12]])</f>
        <v>0</v>
      </c>
      <c r="B25" s="20" t="b">
        <f>B2</f>
        <v>0</v>
      </c>
      <c r="C25" s="17"/>
      <c r="D25" s="17"/>
      <c r="E25" s="17"/>
      <c r="F25" s="17"/>
      <c r="G25" s="17"/>
      <c r="H25" s="20" t="b">
        <f>H2</f>
        <v>1</v>
      </c>
      <c r="I25" s="17"/>
      <c r="J25" t="b">
        <f>AND(Table1522[[#This Row],[Salicylic Acid]:[Spot Treatment]])</f>
        <v>0</v>
      </c>
      <c r="K25" s="29" t="s">
        <v>741</v>
      </c>
    </row>
    <row r="26" spans="1:11">
      <c r="A26" t="b">
        <f>IF(Table1522[[#This Row],[Column11]],Table1522[[#This Row],[Column12]])</f>
        <v>0</v>
      </c>
      <c r="B26" s="20" t="b">
        <f>B2</f>
        <v>0</v>
      </c>
      <c r="C26" s="17"/>
      <c r="D26" s="17"/>
      <c r="E26" s="17"/>
      <c r="F26" s="17"/>
      <c r="G26" s="20" t="b">
        <f>G6</f>
        <v>0</v>
      </c>
      <c r="H26" s="17"/>
      <c r="I26" s="20" t="b">
        <f>I6</f>
        <v>0</v>
      </c>
      <c r="J26" t="b">
        <f>AND(Table1522[[#This Row],[Salicylic Acid]:[Spot Treatment]])</f>
        <v>0</v>
      </c>
      <c r="K26" s="29" t="s">
        <v>742</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b">
        <f>IF(Table1522[[#This Row],[Column11]],Table1522[[#This Row],[Column12]])</f>
        <v>0</v>
      </c>
      <c r="B28" s="20" t="b">
        <f>B2</f>
        <v>0</v>
      </c>
      <c r="C28" s="17"/>
      <c r="D28" s="17"/>
      <c r="E28" s="17"/>
      <c r="F28" s="17"/>
      <c r="G28" s="17"/>
      <c r="H28" s="20" t="b">
        <f>H2</f>
        <v>1</v>
      </c>
      <c r="I28" s="17"/>
      <c r="J28" t="b">
        <f>AND(Table1522[[#This Row],[Salicylic Acid]:[Spot Treatment]])</f>
        <v>0</v>
      </c>
      <c r="K28" s="28" t="s">
        <v>743</v>
      </c>
    </row>
    <row r="29" spans="1:11">
      <c r="A29" t="b">
        <f>IF(Table1522[[#This Row],[Column11]],Table1522[[#This Row],[Column12]])</f>
        <v>0</v>
      </c>
      <c r="B29" s="20" t="b">
        <f>B2</f>
        <v>0</v>
      </c>
      <c r="C29" s="17"/>
      <c r="D29" s="17"/>
      <c r="E29" s="17"/>
      <c r="F29" s="17"/>
      <c r="G29" s="17"/>
      <c r="H29" s="20" t="b">
        <f>H2</f>
        <v>1</v>
      </c>
      <c r="I29" s="17"/>
      <c r="J29" t="b">
        <f>AND(Table1522[[#This Row],[Salicylic Acid]:[Spot Treatment]])</f>
        <v>0</v>
      </c>
      <c r="K29" s="28" t="s">
        <v>744</v>
      </c>
    </row>
    <row r="30" spans="1:11">
      <c r="A30" t="b">
        <f>IF(Table1522[[#This Row],[Column11]],Table1522[[#This Row],[Column12]])</f>
        <v>0</v>
      </c>
      <c r="B30" s="20" t="b">
        <f>B2</f>
        <v>0</v>
      </c>
      <c r="C30" s="17"/>
      <c r="D30" s="17"/>
      <c r="E30" s="17"/>
      <c r="F30" s="17"/>
      <c r="G30" s="17"/>
      <c r="H30" s="20" t="b">
        <f>H2</f>
        <v>1</v>
      </c>
      <c r="I30" s="17"/>
      <c r="J30" t="b">
        <f>AND(Table1522[[#This Row],[Salicylic Acid]:[Spot Treatment]])</f>
        <v>0</v>
      </c>
      <c r="K30" s="28" t="s">
        <v>745</v>
      </c>
    </row>
    <row r="31" spans="1:11">
      <c r="A31" t="b">
        <f>IF(Table1522[[#This Row],[Column11]],Table1522[[#This Row],[Column12]])</f>
        <v>0</v>
      </c>
      <c r="B31" s="20" t="b">
        <f>B2</f>
        <v>0</v>
      </c>
      <c r="C31" s="17"/>
      <c r="D31" s="17"/>
      <c r="E31" s="17"/>
      <c r="F31" s="20" t="b">
        <f>F14</f>
        <v>0</v>
      </c>
      <c r="G31" s="17"/>
      <c r="H31" s="20" t="b">
        <f>H2</f>
        <v>1</v>
      </c>
      <c r="I31" s="17"/>
      <c r="J31" t="b">
        <f>AND(Table1522[[#This Row],[Salicylic Acid]:[Spot Treatment]])</f>
        <v>0</v>
      </c>
      <c r="K31" s="28" t="s">
        <v>746</v>
      </c>
    </row>
    <row r="32" spans="1:11">
      <c r="A32" t="b">
        <f>IF(Table1522[[#This Row],[Column11]],Table1522[[#This Row],[Column12]])</f>
        <v>0</v>
      </c>
      <c r="B32" s="17"/>
      <c r="C32" s="20" t="b">
        <f>C4</f>
        <v>0</v>
      </c>
      <c r="D32" s="17"/>
      <c r="E32" s="17"/>
      <c r="F32" s="20" t="b">
        <f>F14</f>
        <v>0</v>
      </c>
      <c r="G32" s="17"/>
      <c r="H32" s="20" t="b">
        <f>H2</f>
        <v>1</v>
      </c>
      <c r="I32" s="17"/>
      <c r="J32" t="b">
        <f>AND(Table1522[[#This Row],[Salicylic Acid]:[Spot Treatment]])</f>
        <v>0</v>
      </c>
      <c r="K32" s="28" t="s">
        <v>747</v>
      </c>
    </row>
    <row r="33" spans="1:11">
      <c r="A33" t="b">
        <f>IF(Table1522[[#This Row],[Column11]],Table1522[[#This Row],[Column12]])</f>
        <v>0</v>
      </c>
      <c r="B33" s="17"/>
      <c r="C33" s="20" t="b">
        <f>C4</f>
        <v>0</v>
      </c>
      <c r="D33" s="17"/>
      <c r="E33" s="17"/>
      <c r="F33" s="17"/>
      <c r="G33" s="17"/>
      <c r="H33" s="20" t="b">
        <f>H2</f>
        <v>1</v>
      </c>
      <c r="I33" s="17"/>
      <c r="J33" t="b">
        <f>AND(Table1522[[#This Row],[Salicylic Acid]:[Spot Treatment]])</f>
        <v>0</v>
      </c>
      <c r="K33" s="28" t="s">
        <v>748</v>
      </c>
    </row>
    <row r="34" spans="1:11">
      <c r="A34" t="b">
        <f>IF(Table1522[[#This Row],[Column11]],Table1522[[#This Row],[Column12]])</f>
        <v>0</v>
      </c>
      <c r="B34" s="20" t="b">
        <f>B2</f>
        <v>0</v>
      </c>
      <c r="C34" s="17"/>
      <c r="D34" s="20" t="b">
        <f>D3</f>
        <v>0</v>
      </c>
      <c r="E34" s="17"/>
      <c r="F34" s="17"/>
      <c r="G34" s="17"/>
      <c r="H34" s="20" t="b">
        <f>H2</f>
        <v>1</v>
      </c>
      <c r="I34" s="17"/>
      <c r="J34" t="b">
        <f>AND(Table1522[[#This Row],[Salicylic Acid]:[Spot Treatment]])</f>
        <v>0</v>
      </c>
      <c r="K34" s="28" t="s">
        <v>749</v>
      </c>
    </row>
    <row r="35" spans="1:11">
      <c r="A35" t="b">
        <f>IF(Table1522[[#This Row],[Column11]],Table1522[[#This Row],[Column12]])</f>
        <v>0</v>
      </c>
      <c r="B35" s="20" t="b">
        <f>B2</f>
        <v>0</v>
      </c>
      <c r="C35" s="17"/>
      <c r="D35" s="17"/>
      <c r="E35" s="17"/>
      <c r="F35" s="17"/>
      <c r="G35" s="17"/>
      <c r="H35" s="20" t="b">
        <f>H2</f>
        <v>1</v>
      </c>
      <c r="I35" s="17"/>
      <c r="J35" t="b">
        <f>AND(Table1522[[#This Row],[Salicylic Acid]:[Spot Treatment]])</f>
        <v>0</v>
      </c>
      <c r="K35" s="28" t="s">
        <v>750</v>
      </c>
    </row>
    <row r="36" spans="1:11">
      <c r="A36" t="b">
        <f>IF(Table1522[[#This Row],[Column11]],Table1522[[#This Row],[Column12]])</f>
        <v>0</v>
      </c>
      <c r="B36" s="20" t="b">
        <f>B2</f>
        <v>0</v>
      </c>
      <c r="C36" s="17"/>
      <c r="D36" s="17"/>
      <c r="E36" s="17"/>
      <c r="F36" s="17"/>
      <c r="G36" s="17"/>
      <c r="H36" s="17"/>
      <c r="I36" s="20" t="b">
        <f>I6</f>
        <v>0</v>
      </c>
      <c r="J36" t="b">
        <f>AND(Table1522[[#This Row],[Salicylic Acid]:[Spot Treatment]])</f>
        <v>0</v>
      </c>
      <c r="K36" s="28" t="s">
        <v>751</v>
      </c>
    </row>
    <row r="37" spans="1:11">
      <c r="A37" t="b">
        <f>IF(Table1522[[#This Row],[Column11]],Table1522[[#This Row],[Column12]])</f>
        <v>0</v>
      </c>
      <c r="B37" s="20" t="b">
        <f>B2</f>
        <v>0</v>
      </c>
      <c r="C37" s="17"/>
      <c r="D37" s="17"/>
      <c r="E37" s="17"/>
      <c r="F37" s="17"/>
      <c r="G37" s="20" t="b">
        <f>G6</f>
        <v>0</v>
      </c>
      <c r="H37" s="20" t="b">
        <f>H2</f>
        <v>1</v>
      </c>
      <c r="I37" s="17"/>
      <c r="J37" t="b">
        <f>AND(Table1522[[#This Row],[Salicylic Acid]:[Spot Treatment]])</f>
        <v>0</v>
      </c>
      <c r="K37" s="28" t="s">
        <v>752</v>
      </c>
    </row>
    <row r="38" spans="1:11">
      <c r="A38" t="b">
        <f>IF(Table1522[[#This Row],[Column11]],Table1522[[#This Row],[Column12]])</f>
        <v>0</v>
      </c>
      <c r="B38" s="20" t="b">
        <f>B2</f>
        <v>0</v>
      </c>
      <c r="C38" s="17"/>
      <c r="D38" s="20" t="b">
        <f>D3</f>
        <v>0</v>
      </c>
      <c r="E38" s="17"/>
      <c r="F38" s="17"/>
      <c r="G38" s="17"/>
      <c r="H38" s="20" t="b">
        <f>H2</f>
        <v>1</v>
      </c>
      <c r="I38" s="17"/>
      <c r="J38" t="b">
        <f>AND(Table1522[[#This Row],[Salicylic Acid]:[Spot Treatment]])</f>
        <v>0</v>
      </c>
      <c r="K38" s="28" t="s">
        <v>753</v>
      </c>
    </row>
    <row r="39" spans="1:11">
      <c r="A39" t="b">
        <f>IF(Table1522[[#This Row],[Column11]],Table1522[[#This Row],[Column12]])</f>
        <v>0</v>
      </c>
      <c r="B39" s="20" t="b">
        <f>B2</f>
        <v>0</v>
      </c>
      <c r="C39" s="17"/>
      <c r="D39" s="17"/>
      <c r="E39" s="17"/>
      <c r="F39" s="17"/>
      <c r="G39" s="20" t="b">
        <f>G6</f>
        <v>0</v>
      </c>
      <c r="H39" s="20" t="b">
        <f>H2</f>
        <v>1</v>
      </c>
      <c r="I39" s="17"/>
      <c r="J39" t="b">
        <f>AND(Table1522[[#This Row],[Salicylic Acid]:[Spot Treatment]])</f>
        <v>0</v>
      </c>
      <c r="K39" s="28" t="s">
        <v>754</v>
      </c>
    </row>
    <row r="40" spans="1:11">
      <c r="A40" t="b">
        <f>IF(Table1522[[#This Row],[Column11]],Table1522[[#This Row],[Column12]])</f>
        <v>0</v>
      </c>
      <c r="B40" s="20" t="b">
        <f>B2</f>
        <v>0</v>
      </c>
      <c r="C40" s="17"/>
      <c r="D40" s="17"/>
      <c r="E40" s="17"/>
      <c r="F40" s="17"/>
      <c r="G40" s="20" t="b">
        <f>G6</f>
        <v>0</v>
      </c>
      <c r="H40" s="20" t="b">
        <f>H2</f>
        <v>1</v>
      </c>
      <c r="I40" s="17"/>
      <c r="J40" t="b">
        <f>AND(Table1522[[#This Row],[Salicylic Acid]:[Spot Treatment]])</f>
        <v>0</v>
      </c>
      <c r="K40" s="28" t="s">
        <v>755</v>
      </c>
    </row>
    <row r="41" spans="1:11">
      <c r="A41" t="b">
        <f>IF(Table1522[[#This Row],[Column11]],Table1522[[#This Row],[Column12]])</f>
        <v>0</v>
      </c>
      <c r="B41" s="20" t="b">
        <f>B2</f>
        <v>0</v>
      </c>
      <c r="C41" s="17"/>
      <c r="D41" s="17"/>
      <c r="E41" s="17"/>
      <c r="F41" s="17"/>
      <c r="G41" s="17"/>
      <c r="H41" s="20" t="b">
        <f>H2</f>
        <v>1</v>
      </c>
      <c r="I41" s="17"/>
      <c r="J41" t="b">
        <f>AND(Table1522[[#This Row],[Salicylic Acid]:[Spot Treatment]])</f>
        <v>0</v>
      </c>
      <c r="K41" s="28" t="s">
        <v>756</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D7" sqref="D7"/>
    </sheetView>
  </sheetViews>
  <sheetFormatPr defaultRowHeight="15"/>
  <cols>
    <col min="1" max="1" width="56.85546875" customWidth="1"/>
    <col min="3" max="4" width="9.140625" style="87"/>
    <col min="5" max="5" width="17.140625" customWidth="1"/>
  </cols>
  <sheetData>
    <row r="1" spans="1:5" ht="15.75" thickTop="1">
      <c r="A1" s="3" t="s">
        <v>15</v>
      </c>
      <c r="B1" s="7" t="s">
        <v>18</v>
      </c>
      <c r="E1" s="8" t="s">
        <v>19</v>
      </c>
    </row>
    <row r="2" spans="1:5" ht="15.75" thickBot="1">
      <c r="B2" s="4"/>
      <c r="E2" s="4"/>
    </row>
    <row r="3" spans="1:5" ht="15.75" thickBot="1">
      <c r="A3" s="158" t="s">
        <v>798</v>
      </c>
      <c r="B3" s="33" t="b">
        <v>0</v>
      </c>
      <c r="C3" s="87" t="b">
        <f>NOT(B3)</f>
        <v>1</v>
      </c>
      <c r="D3" s="87" t="b">
        <f>AND(B4,C9,OR(B7:C7))</f>
        <v>0</v>
      </c>
      <c r="E3" s="4" t="b">
        <f>IF(D3,random!O7)</f>
        <v>0</v>
      </c>
    </row>
    <row r="4" spans="1:5" ht="15.75" thickBot="1">
      <c r="A4" s="158" t="s">
        <v>791</v>
      </c>
      <c r="B4" s="33" t="b">
        <v>0</v>
      </c>
      <c r="C4" s="87" t="b">
        <f t="shared" ref="C4:C6" si="0">NOT(B4)</f>
        <v>1</v>
      </c>
      <c r="D4" s="87" t="b">
        <f>AND(B3,C8,OR(B7:C7))</f>
        <v>0</v>
      </c>
      <c r="E4" s="4" t="b">
        <f>IF(D4,random!O8)</f>
        <v>0</v>
      </c>
    </row>
    <row r="5" spans="1:5" ht="15.75" thickBot="1">
      <c r="A5" s="158" t="s">
        <v>792</v>
      </c>
      <c r="B5" s="33" t="b">
        <v>0</v>
      </c>
      <c r="C5" s="87" t="b">
        <f t="shared" si="0"/>
        <v>1</v>
      </c>
      <c r="D5" s="87" t="b">
        <f>AND(B5,B7)</f>
        <v>0</v>
      </c>
      <c r="E5" s="4" t="b">
        <f>IF(D5,random!O9)</f>
        <v>0</v>
      </c>
    </row>
    <row r="6" spans="1:5" ht="15.75" thickBot="1">
      <c r="A6" s="158" t="s">
        <v>1951</v>
      </c>
      <c r="B6" s="33" t="b">
        <v>0</v>
      </c>
      <c r="C6" s="87" t="b">
        <f t="shared" si="0"/>
        <v>1</v>
      </c>
      <c r="D6" s="87" t="b">
        <f>AND(B6)</f>
        <v>0</v>
      </c>
      <c r="E6" s="48" t="b">
        <f>IF(D6,random!O10)</f>
        <v>0</v>
      </c>
    </row>
    <row r="7" spans="1:5" ht="15.75" thickBot="1">
      <c r="A7" s="1" t="s">
        <v>793</v>
      </c>
      <c r="B7" s="33" t="b">
        <v>1</v>
      </c>
      <c r="C7" s="87" t="b">
        <f>NOT(B7)</f>
        <v>0</v>
      </c>
      <c r="E7" s="2"/>
    </row>
    <row r="8" spans="1:5" ht="15.75" thickBot="1">
      <c r="A8" s="161" t="s">
        <v>797</v>
      </c>
      <c r="B8" s="33" t="b">
        <v>0</v>
      </c>
      <c r="C8" s="87" t="b">
        <f>NOT(B8)</f>
        <v>1</v>
      </c>
      <c r="E8" s="2"/>
    </row>
    <row r="9" spans="1:5" ht="15.75" thickBot="1">
      <c r="A9" s="161" t="s">
        <v>796</v>
      </c>
      <c r="B9" s="33" t="b">
        <v>0</v>
      </c>
      <c r="C9" s="87" t="b">
        <f>NOT(B9)</f>
        <v>1</v>
      </c>
      <c r="E9" s="2"/>
    </row>
    <row r="10" spans="1:5" ht="15.75" thickBot="1">
      <c r="A10" s="161" t="s">
        <v>1948</v>
      </c>
      <c r="B10" s="33" t="b">
        <v>0</v>
      </c>
      <c r="C10" s="87"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D10" sqref="D10:D14"/>
    </sheetView>
  </sheetViews>
  <sheetFormatPr defaultRowHeight="15"/>
  <cols>
    <col min="1" max="1" width="27.5703125" customWidth="1"/>
    <col min="2" max="6" width="11" customWidth="1"/>
    <col min="7" max="7" width="12" customWidth="1"/>
    <col min="8" max="8" width="48.140625" customWidth="1"/>
  </cols>
  <sheetData>
    <row r="1" spans="1:8">
      <c r="A1" s="70" t="s">
        <v>1212</v>
      </c>
      <c r="B1" t="s">
        <v>673</v>
      </c>
      <c r="C1" t="s">
        <v>362</v>
      </c>
      <c r="D1" t="s">
        <v>1949</v>
      </c>
      <c r="E1" t="s">
        <v>1952</v>
      </c>
      <c r="F1" t="s">
        <v>780</v>
      </c>
      <c r="G1" t="s">
        <v>681</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c r="E2" s="17"/>
      <c r="F2" s="17"/>
      <c r="G2" t="b">
        <f>AND(Table16[[#This Row],[Antibiotic]:[Solvent]])</f>
        <v>0</v>
      </c>
      <c r="H2" s="28" t="s">
        <v>776</v>
      </c>
    </row>
    <row r="3" spans="1:8">
      <c r="A3" t="b">
        <f>IF(Table16[[#This Row],[Column11]],Table16[[#This Row],[Column12]])</f>
        <v>0</v>
      </c>
      <c r="B3" s="20" t="b">
        <f>B2</f>
        <v>0</v>
      </c>
      <c r="C3" s="17"/>
      <c r="D3" s="17"/>
      <c r="E3" s="17"/>
      <c r="F3" s="17"/>
      <c r="G3" t="b">
        <f>AND(Table16[[#This Row],[Antibiotic]:[Solvent]])</f>
        <v>0</v>
      </c>
      <c r="H3" s="28" t="s">
        <v>777</v>
      </c>
    </row>
    <row r="4" spans="1:8">
      <c r="A4" s="16" t="e">
        <f>IF(Table16[[#This Row],[Column11]],Table16[[#This Row],[Column12]])</f>
        <v>#VALUE!</v>
      </c>
      <c r="B4" s="16"/>
      <c r="C4" s="16"/>
      <c r="D4" s="16"/>
      <c r="E4" s="16"/>
      <c r="F4" s="16"/>
      <c r="G4" s="16" t="e">
        <f>AND(Table16[[#This Row],[Antibiotic]:[Solvent]])</f>
        <v>#VALUE!</v>
      </c>
      <c r="H4" s="16"/>
    </row>
    <row r="5" spans="1:8">
      <c r="A5" t="b">
        <f>IF(Table16[[#This Row],[Column11]],Table16[[#This Row],[Column12]])</f>
        <v>0</v>
      </c>
      <c r="B5" s="17"/>
      <c r="C5" s="20" t="b">
        <f>C2</f>
        <v>0</v>
      </c>
      <c r="D5" s="207"/>
      <c r="E5" s="207"/>
      <c r="F5" s="17"/>
      <c r="G5" t="b">
        <f>AND(Table16[[#This Row],[Antibiotic]:[Solvent]])</f>
        <v>0</v>
      </c>
      <c r="H5" s="11" t="s">
        <v>778</v>
      </c>
    </row>
    <row r="6" spans="1:8">
      <c r="A6" s="16" t="e">
        <f>IF(Table16[[#This Row],[Column11]],Table16[[#This Row],[Column12]])</f>
        <v>#VALUE!</v>
      </c>
      <c r="B6" s="16"/>
      <c r="C6" s="16"/>
      <c r="D6" s="16"/>
      <c r="E6" s="16"/>
      <c r="F6" s="16"/>
      <c r="G6" s="16" t="e">
        <f>AND(Table16[[#This Row],[Antibiotic]:[Solvent]])</f>
        <v>#VALUE!</v>
      </c>
      <c r="H6" s="16"/>
    </row>
    <row r="7" spans="1:8">
      <c r="A7" t="b">
        <f>IF(Table16[[#This Row],[Column11]],Table16[[#This Row],[Column12]])</f>
        <v>0</v>
      </c>
      <c r="B7" s="20" t="b">
        <f>B2</f>
        <v>0</v>
      </c>
      <c r="C7" s="17"/>
      <c r="D7" s="17"/>
      <c r="E7" s="17"/>
      <c r="F7" s="17"/>
      <c r="G7" t="b">
        <f>AND(Table16[[#This Row],[Antibiotic]:[Solvent]])</f>
        <v>0</v>
      </c>
      <c r="H7" s="29" t="s">
        <v>779</v>
      </c>
    </row>
    <row r="8" spans="1:8">
      <c r="A8" s="16" t="e">
        <f>IF(Table16[[#This Row],[Column11]],Table16[[#This Row],[Column12]])</f>
        <v>#VALUE!</v>
      </c>
      <c r="B8" s="16"/>
      <c r="C8" s="16"/>
      <c r="D8" s="16"/>
      <c r="E8" s="16"/>
      <c r="F8" s="16"/>
      <c r="G8" s="16" t="e">
        <f>AND(Table16[[#This Row],[Antibiotic]:[Solvent]])</f>
        <v>#VALUE!</v>
      </c>
      <c r="H8" s="16"/>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11" t="s">
        <v>781</v>
      </c>
    </row>
    <row r="10" spans="1:8">
      <c r="A10" s="16" t="e">
        <f>IF(Table16[[#This Row],[Column11]],Table16[[#This Row],[Column12]])</f>
        <v>#VALUE!</v>
      </c>
      <c r="B10" s="16"/>
      <c r="C10" s="16"/>
      <c r="D10" s="16"/>
      <c r="E10" s="16"/>
      <c r="F10" s="16"/>
      <c r="G10" s="16" t="e">
        <f>AND(Table16[[#This Row],[Antibiotic]:[Solvent]])</f>
        <v>#VALUE!</v>
      </c>
      <c r="H10" s="16"/>
    </row>
    <row r="11" spans="1:8">
      <c r="A11" t="b">
        <f>IF(Table16[[#This Row],[Column11]],Table16[[#This Row],[Column12]])</f>
        <v>0</v>
      </c>
      <c r="B11" s="17"/>
      <c r="C11" s="17"/>
      <c r="D11" s="17"/>
      <c r="E11" s="17"/>
      <c r="F11" s="20" t="b">
        <f>F9</f>
        <v>0</v>
      </c>
      <c r="G11" t="b">
        <f>AND(Table16[[#This Row],[Antibiotic]:[Solvent]])</f>
        <v>0</v>
      </c>
      <c r="H11" s="29" t="s">
        <v>782</v>
      </c>
    </row>
    <row r="12" spans="1:8">
      <c r="A12" s="16" t="e">
        <f>IF(Table16[[#This Row],[Column11]],Table16[[#This Row],[Column12]])</f>
        <v>#VALUE!</v>
      </c>
      <c r="B12" s="16"/>
      <c r="C12" s="16"/>
      <c r="D12" s="16"/>
      <c r="E12" s="16"/>
      <c r="F12" s="16"/>
      <c r="G12" s="16" t="e">
        <f>AND(Table16[[#This Row],[Antibiotic]:[Solvent]])</f>
        <v>#VALUE!</v>
      </c>
      <c r="H12" s="16"/>
    </row>
    <row r="13" spans="1:8">
      <c r="A13" s="21" t="b">
        <f>IF(Table16[[#This Row],[Column11]],Table16[[#This Row],[Column12]])</f>
        <v>0</v>
      </c>
      <c r="B13" s="17"/>
      <c r="C13" s="17"/>
      <c r="D13" s="17"/>
      <c r="E13" s="20" t="b">
        <f>AND('Ear Product Criteria'!B6,'Ear Product Criteria'!C4:C5,OR('Ear Product Criteria'!B7:C7))</f>
        <v>0</v>
      </c>
      <c r="F13" s="17"/>
      <c r="G13" s="21" t="b">
        <f>AND(Table16[[#This Row],[Antibiotic]:[Solvent]])</f>
        <v>0</v>
      </c>
      <c r="H13" s="29" t="s">
        <v>1950</v>
      </c>
    </row>
    <row r="14" spans="1:8">
      <c r="A14" s="16"/>
      <c r="B14" s="16"/>
      <c r="C14" s="16"/>
      <c r="D14" s="16"/>
      <c r="E14" s="16"/>
      <c r="F14" s="16"/>
      <c r="G14" s="16"/>
      <c r="H14" s="16"/>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B19" sqref="B19"/>
    </sheetView>
  </sheetViews>
  <sheetFormatPr defaultRowHeight="15"/>
  <cols>
    <col min="1" max="1" width="50.42578125" customWidth="1"/>
    <col min="3" max="3" width="9.140625" style="87"/>
  </cols>
  <sheetData>
    <row r="1" spans="1:3" ht="15.75" thickTop="1">
      <c r="A1" s="3" t="s">
        <v>15</v>
      </c>
      <c r="B1" s="7" t="s">
        <v>18</v>
      </c>
      <c r="C1" s="208"/>
    </row>
    <row r="2" spans="1:3" ht="15.75" thickBot="1">
      <c r="B2" s="4"/>
      <c r="C2" s="208"/>
    </row>
    <row r="3" spans="1:3" ht="15.75" thickBot="1">
      <c r="A3" s="161" t="s">
        <v>890</v>
      </c>
      <c r="B3" s="33" t="b">
        <v>0</v>
      </c>
      <c r="C3" s="208"/>
    </row>
    <row r="4" spans="1:3" ht="15.75" thickBot="1">
      <c r="A4" s="161" t="s">
        <v>891</v>
      </c>
      <c r="B4" s="33" t="b">
        <v>0</v>
      </c>
      <c r="C4" s="208"/>
    </row>
    <row r="5" spans="1:3" ht="15.75" thickBot="1">
      <c r="A5" s="161" t="s">
        <v>892</v>
      </c>
      <c r="B5" s="33" t="b">
        <v>0</v>
      </c>
      <c r="C5" s="208"/>
    </row>
    <row r="6" spans="1:3" ht="15.75" thickBot="1">
      <c r="A6" s="158" t="s">
        <v>895</v>
      </c>
      <c r="B6" s="33" t="b">
        <v>0</v>
      </c>
      <c r="C6" s="208" t="b">
        <f>NOT(B6)</f>
        <v>1</v>
      </c>
    </row>
    <row r="7" spans="1:3" ht="15.75" thickBot="1">
      <c r="A7" s="158" t="s">
        <v>893</v>
      </c>
      <c r="B7" s="33" t="b">
        <v>0</v>
      </c>
      <c r="C7" s="208" t="b">
        <f t="shared" ref="C7:C8" si="0">NOT(B7)</f>
        <v>1</v>
      </c>
    </row>
    <row r="8" spans="1:3" ht="15.75" thickBot="1">
      <c r="A8" s="158" t="s">
        <v>894</v>
      </c>
      <c r="B8" s="33" t="b">
        <v>0</v>
      </c>
      <c r="C8" s="208" t="b">
        <f t="shared" si="0"/>
        <v>1</v>
      </c>
    </row>
    <row r="9" spans="1:3" ht="15.75" thickBot="1">
      <c r="A9" s="1" t="s">
        <v>901</v>
      </c>
      <c r="B9" s="33" t="b">
        <v>0</v>
      </c>
      <c r="C9" s="208" t="b">
        <f>NOT(B9)</f>
        <v>1</v>
      </c>
    </row>
    <row r="10" spans="1:3" ht="15.75" thickBot="1">
      <c r="A10" s="170" t="s">
        <v>896</v>
      </c>
      <c r="B10" s="33" t="b">
        <v>0</v>
      </c>
      <c r="C10" s="208" t="b">
        <f>NOT(B10)</f>
        <v>1</v>
      </c>
    </row>
    <row r="11" spans="1:3" ht="15.75" thickBot="1">
      <c r="A11" s="1" t="s">
        <v>900</v>
      </c>
      <c r="B11" s="33" t="b">
        <v>0</v>
      </c>
      <c r="C11" s="208" t="b">
        <f>NOT(B11)</f>
        <v>1</v>
      </c>
    </row>
    <row r="12" spans="1:3" ht="15.75" thickBot="1">
      <c r="A12" s="1" t="s">
        <v>897</v>
      </c>
      <c r="B12" s="33" t="b">
        <v>0</v>
      </c>
      <c r="C12" s="208" t="b">
        <f>NOT(B12)</f>
        <v>1</v>
      </c>
    </row>
    <row r="13" spans="1:3" ht="15.75" thickBot="1">
      <c r="A13" s="177" t="s">
        <v>898</v>
      </c>
      <c r="B13" s="33" t="b">
        <v>0</v>
      </c>
      <c r="C13" s="208"/>
    </row>
    <row r="14" spans="1:3" ht="15.75" thickBot="1">
      <c r="A14" s="177" t="s">
        <v>899</v>
      </c>
      <c r="B14" s="33" t="b">
        <v>0</v>
      </c>
      <c r="C14" s="208"/>
    </row>
    <row r="15" spans="1:3" ht="15.75" thickBot="1">
      <c r="A15" s="1" t="s">
        <v>902</v>
      </c>
      <c r="B15" s="33" t="b">
        <v>0</v>
      </c>
      <c r="C15" s="208" t="b">
        <f>NOT(B15)</f>
        <v>1</v>
      </c>
    </row>
    <row r="16" spans="1:3" ht="15.75" thickBot="1">
      <c r="A16" s="1" t="s">
        <v>903</v>
      </c>
      <c r="B16" s="33" t="b">
        <v>0</v>
      </c>
      <c r="C16" s="208" t="b">
        <f>NOT(B16)</f>
        <v>1</v>
      </c>
    </row>
    <row r="17" spans="1:3" ht="15.75" thickBot="1">
      <c r="A17" s="1" t="s">
        <v>904</v>
      </c>
      <c r="B17" s="33" t="b">
        <v>0</v>
      </c>
      <c r="C17" s="208" t="b">
        <f>NOT(B17)</f>
        <v>1</v>
      </c>
    </row>
    <row r="18" spans="1:3" ht="15.75" thickBot="1">
      <c r="A18" s="1" t="s">
        <v>1227</v>
      </c>
      <c r="B18" s="33" t="b">
        <v>0</v>
      </c>
      <c r="C18" s="208" t="b">
        <f>NOT(B18)</f>
        <v>1</v>
      </c>
    </row>
    <row r="19" spans="1:3" ht="15.75" thickBot="1">
      <c r="A19" s="1" t="s">
        <v>907</v>
      </c>
      <c r="B19" s="33" t="b">
        <v>0</v>
      </c>
      <c r="C19" s="208"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workbookViewId="0">
      <selection activeCell="R2" sqref="R2"/>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70" t="s">
        <v>1212</v>
      </c>
      <c r="B1" s="204" t="s">
        <v>1894</v>
      </c>
      <c r="C1" s="204" t="s">
        <v>1895</v>
      </c>
      <c r="D1" s="204" t="s">
        <v>1896</v>
      </c>
      <c r="E1" t="s">
        <v>878</v>
      </c>
      <c r="F1" t="s">
        <v>807</v>
      </c>
      <c r="G1" t="s">
        <v>803</v>
      </c>
      <c r="H1" t="s">
        <v>800</v>
      </c>
      <c r="I1" s="204" t="s">
        <v>906</v>
      </c>
      <c r="J1" t="s">
        <v>905</v>
      </c>
      <c r="K1" t="s">
        <v>805</v>
      </c>
      <c r="L1" t="s">
        <v>1897</v>
      </c>
      <c r="M1" t="s">
        <v>802</v>
      </c>
      <c r="N1" t="s">
        <v>1001</v>
      </c>
      <c r="O1" t="s">
        <v>816</v>
      </c>
      <c r="P1" t="s">
        <v>817</v>
      </c>
      <c r="Q1" t="s">
        <v>818</v>
      </c>
      <c r="R1" t="s">
        <v>1310</v>
      </c>
      <c r="S1" t="s">
        <v>139</v>
      </c>
      <c r="T1"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c r="K2" s="20" t="b">
        <f>AND('Sun Screen Criteria'!C10)</f>
        <v>1</v>
      </c>
      <c r="L2" s="20" t="b">
        <f>AND('Sun Screen Criteria'!B13)</f>
        <v>0</v>
      </c>
      <c r="M2" s="20" t="b">
        <f>AND('Sun Screen Criteria'!B14)</f>
        <v>0</v>
      </c>
      <c r="N2" s="20"/>
      <c r="O2" s="17" t="b">
        <f>AND('Sun Screen Criteria'!C15)</f>
        <v>1</v>
      </c>
      <c r="P2" s="20"/>
      <c r="Q2" s="20"/>
      <c r="R2" s="17" t="b">
        <f>AND('Sun Screen Criteria'!C11)</f>
        <v>1</v>
      </c>
      <c r="S2" t="b">
        <f>AND(Table19[[#This Row],[Non-comedogenic]:[Mineral]],Table19[[#This Row],[Spray/Whip/Oil]:[Oxy/Avobenzone]],OR(Table19[[#This Row],[Low SPF]:[High SPF]]),OR(Table19[[#This Row],[Face/Lips]:[Body]]))</f>
        <v>0</v>
      </c>
      <c r="T2" s="28" t="s">
        <v>801</v>
      </c>
    </row>
    <row r="3" spans="1:20">
      <c r="A3" t="b">
        <f>IF(Table19[[#This Row],[Column2]],Table19[[#This Row],[Column13]])</f>
        <v>0</v>
      </c>
      <c r="B3" s="17"/>
      <c r="C3" s="17"/>
      <c r="D3" s="20" t="b">
        <f>D2</f>
        <v>0</v>
      </c>
      <c r="E3" s="17"/>
      <c r="F3" s="17"/>
      <c r="G3" s="20" t="b">
        <f t="shared" ref="G3:L3" si="0">G2</f>
        <v>0</v>
      </c>
      <c r="H3" s="20" t="b">
        <f t="shared" si="0"/>
        <v>0</v>
      </c>
      <c r="I3" s="17" t="b">
        <f t="shared" si="0"/>
        <v>1</v>
      </c>
      <c r="J3" s="20"/>
      <c r="K3" s="20" t="b">
        <f t="shared" si="0"/>
        <v>1</v>
      </c>
      <c r="L3" s="20" t="b">
        <f t="shared" si="0"/>
        <v>0</v>
      </c>
      <c r="M3" s="17"/>
      <c r="N3" s="20"/>
      <c r="O3" s="17" t="b">
        <f>O2</f>
        <v>1</v>
      </c>
      <c r="P3" s="17" t="b">
        <f>AND('Sun Screen Criteria'!C16)</f>
        <v>1</v>
      </c>
      <c r="Q3" s="20"/>
      <c r="R3" s="17" t="b">
        <f>R2</f>
        <v>1</v>
      </c>
      <c r="S3" t="b">
        <f>AND(Table19[[#This Row],[Non-comedogenic]:[Mineral]],Table19[[#This Row],[Spray/Whip/Oil]:[Oxy/Avobenzone]],OR(Table19[[#This Row],[Low SPF]:[High SPF]]),OR(Table19[[#This Row],[Face/Lips]:[Body]]))</f>
        <v>0</v>
      </c>
      <c r="T3" s="28" t="s">
        <v>804</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c r="K4" s="20" t="b">
        <f t="shared" si="1"/>
        <v>1</v>
      </c>
      <c r="L4" s="20" t="b">
        <f t="shared" si="1"/>
        <v>0</v>
      </c>
      <c r="M4" s="20" t="b">
        <f t="shared" si="1"/>
        <v>0</v>
      </c>
      <c r="N4" s="20"/>
      <c r="O4" s="17" t="b">
        <f t="shared" si="1"/>
        <v>1</v>
      </c>
      <c r="P4" s="17" t="b">
        <f>P3</f>
        <v>1</v>
      </c>
      <c r="Q4" s="20"/>
      <c r="R4" s="17" t="b">
        <f>R2</f>
        <v>1</v>
      </c>
      <c r="S4" t="b">
        <f>AND(Table19[[#This Row],[Non-comedogenic]:[Mineral]],Table19[[#This Row],[Spray/Whip/Oil]:[Oxy/Avobenzone]],OR(Table19[[#This Row],[Low SPF]:[High SPF]]),OR(Table19[[#This Row],[Face/Lips]:[Body]]))</f>
        <v>0</v>
      </c>
      <c r="T4" s="28" t="s">
        <v>806</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c r="K5" s="20" t="b">
        <f t="shared" si="2"/>
        <v>1</v>
      </c>
      <c r="L5" s="20" t="b">
        <f t="shared" si="2"/>
        <v>0</v>
      </c>
      <c r="M5" s="17"/>
      <c r="N5" s="20"/>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8" t="s">
        <v>808</v>
      </c>
    </row>
    <row r="6" spans="1:20">
      <c r="A6" t="b">
        <f>IF(Table19[[#This Row],[Column2]],Table19[[#This Row],[Column13]])</f>
        <v>0</v>
      </c>
      <c r="B6" s="17"/>
      <c r="C6" s="20" t="b">
        <f>C2</f>
        <v>0</v>
      </c>
      <c r="D6" s="17"/>
      <c r="E6" s="17"/>
      <c r="F6" s="17"/>
      <c r="G6" s="20" t="b">
        <f>G2</f>
        <v>0</v>
      </c>
      <c r="H6" s="20" t="b">
        <f>H2</f>
        <v>0</v>
      </c>
      <c r="I6" s="17" t="b">
        <f>I2</f>
        <v>1</v>
      </c>
      <c r="J6" s="20"/>
      <c r="K6" s="20" t="b">
        <f>K2</f>
        <v>1</v>
      </c>
      <c r="L6" s="17"/>
      <c r="M6" s="20" t="b">
        <f>M2</f>
        <v>0</v>
      </c>
      <c r="N6" s="20"/>
      <c r="O6" s="17" t="b">
        <f>O2</f>
        <v>1</v>
      </c>
      <c r="P6" s="17" t="b">
        <f>P3</f>
        <v>1</v>
      </c>
      <c r="Q6" s="20"/>
      <c r="R6" s="17" t="b">
        <f>R2</f>
        <v>1</v>
      </c>
      <c r="S6" t="b">
        <f>AND(Table19[[#This Row],[Non-comedogenic]:[Mineral]],Table19[[#This Row],[Spray/Whip/Oil]:[Oxy/Avobenzone]],OR(Table19[[#This Row],[Low SPF]:[High SPF]]),OR(Table19[[#This Row],[Face/Lips]:[Body]]))</f>
        <v>0</v>
      </c>
      <c r="T6" s="28" t="s">
        <v>809</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c r="K7" s="20" t="b">
        <f>K2</f>
        <v>1</v>
      </c>
      <c r="L7" s="17"/>
      <c r="M7" s="20" t="b">
        <f>M2</f>
        <v>0</v>
      </c>
      <c r="N7" s="17" t="b">
        <f>AND('Sun Screen Criteria'!C12)</f>
        <v>1</v>
      </c>
      <c r="O7" s="17" t="b">
        <f>O2</f>
        <v>1</v>
      </c>
      <c r="P7" s="17" t="b">
        <f>P3</f>
        <v>1</v>
      </c>
      <c r="Q7" s="20"/>
      <c r="R7" s="17" t="b">
        <f>R2</f>
        <v>1</v>
      </c>
      <c r="S7" t="b">
        <f>AND(Table19[[#This Row],[Non-comedogenic]:[Mineral]],Table19[[#This Row],[Spray/Whip/Oil]:[Oxy/Avobenzone]],OR(Table19[[#This Row],[Low SPF]:[High SPF]]),OR(Table19[[#This Row],[Face/Lips]:[Body]]))</f>
        <v>0</v>
      </c>
      <c r="T7" s="28" t="s">
        <v>810</v>
      </c>
    </row>
    <row r="8" spans="1:20">
      <c r="A8" t="b">
        <f>IF(Table19[[#This Row],[Column2]],Table19[[#This Row],[Column13]])</f>
        <v>0</v>
      </c>
      <c r="B8" s="17"/>
      <c r="C8" s="20" t="b">
        <f>C2</f>
        <v>0</v>
      </c>
      <c r="D8" s="17"/>
      <c r="E8" s="17"/>
      <c r="F8" s="17"/>
      <c r="G8" s="20" t="b">
        <f>G2</f>
        <v>0</v>
      </c>
      <c r="H8" s="20" t="b">
        <f>H2</f>
        <v>0</v>
      </c>
      <c r="I8" s="17" t="b">
        <f>I2</f>
        <v>1</v>
      </c>
      <c r="J8" s="20"/>
      <c r="K8" s="20" t="b">
        <f>K2</f>
        <v>1</v>
      </c>
      <c r="L8" s="17"/>
      <c r="M8" s="20" t="b">
        <f>M2</f>
        <v>0</v>
      </c>
      <c r="N8" s="17" t="b">
        <f>N7</f>
        <v>1</v>
      </c>
      <c r="O8" s="17" t="b">
        <f>O2</f>
        <v>1</v>
      </c>
      <c r="P8" s="17" t="b">
        <f>P3</f>
        <v>1</v>
      </c>
      <c r="Q8" s="20"/>
      <c r="R8" s="17" t="b">
        <f>R2</f>
        <v>1</v>
      </c>
      <c r="S8" t="b">
        <f>AND(Table19[[#This Row],[Non-comedogenic]:[Mineral]],Table19[[#This Row],[Spray/Whip/Oil]:[Oxy/Avobenzone]],OR(Table19[[#This Row],[Low SPF]:[High SPF]]),OR(Table19[[#This Row],[Face/Lips]:[Body]]))</f>
        <v>0</v>
      </c>
      <c r="T8" s="28" t="s">
        <v>811</v>
      </c>
    </row>
    <row r="9" spans="1:20">
      <c r="A9" t="b">
        <f>IF(Table19[[#This Row],[Column2]],Table19[[#This Row],[Column13]])</f>
        <v>0</v>
      </c>
      <c r="B9" s="17"/>
      <c r="C9" s="20" t="b">
        <f>C2</f>
        <v>0</v>
      </c>
      <c r="D9" s="20" t="b">
        <f>D2</f>
        <v>0</v>
      </c>
      <c r="E9" s="20" t="b">
        <f>E7</f>
        <v>0</v>
      </c>
      <c r="F9" s="17"/>
      <c r="G9" s="17"/>
      <c r="H9" s="20" t="b">
        <f>H2</f>
        <v>0</v>
      </c>
      <c r="I9" s="17" t="b">
        <f>I2</f>
        <v>1</v>
      </c>
      <c r="J9" s="20"/>
      <c r="K9" s="20" t="b">
        <f>K2</f>
        <v>1</v>
      </c>
      <c r="L9" s="17"/>
      <c r="M9" s="20" t="b">
        <f>M2</f>
        <v>0</v>
      </c>
      <c r="N9" s="20"/>
      <c r="O9" s="17" t="b">
        <f>O2</f>
        <v>1</v>
      </c>
      <c r="P9" s="17" t="b">
        <f>P3</f>
        <v>1</v>
      </c>
      <c r="Q9" s="20"/>
      <c r="R9" s="17" t="b">
        <f>R2</f>
        <v>1</v>
      </c>
      <c r="S9" t="b">
        <f>AND(Table19[[#This Row],[Non-comedogenic]:[Mineral]],Table19[[#This Row],[Spray/Whip/Oil]:[Oxy/Avobenzone]],OR(Table19[[#This Row],[Low SPF]:[High SPF]]),OR(Table19[[#This Row],[Face/Lips]:[Body]]))</f>
        <v>0</v>
      </c>
      <c r="T9" s="28" t="s">
        <v>812</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c r="O10" s="17" t="b">
        <f>O2</f>
        <v>1</v>
      </c>
      <c r="P10" s="17" t="b">
        <f>P3</f>
        <v>1</v>
      </c>
      <c r="Q10" s="17" t="b">
        <f>Q5</f>
        <v>1</v>
      </c>
      <c r="R10" s="17" t="b">
        <f>R2</f>
        <v>1</v>
      </c>
      <c r="S10" t="b">
        <f>AND(Table19[[#This Row],[Non-comedogenic]:[Mineral]],Table19[[#This Row],[Spray/Whip/Oil]:[Oxy/Avobenzone]],OR(Table19[[#This Row],[Low SPF]:[High SPF]]),OR(Table19[[#This Row],[Face/Lips]:[Body]]))</f>
        <v>0</v>
      </c>
      <c r="T10" s="28" t="s">
        <v>813</v>
      </c>
    </row>
    <row r="11" spans="1:20">
      <c r="A11" t="b">
        <f>IF(Table19[[#This Row],[Column2]],Table19[[#This Row],[Column13]])</f>
        <v>0</v>
      </c>
      <c r="B11" s="17"/>
      <c r="C11" s="20" t="b">
        <f>C2</f>
        <v>0</v>
      </c>
      <c r="D11" s="17"/>
      <c r="E11" s="17"/>
      <c r="F11" s="17"/>
      <c r="G11" s="20" t="b">
        <f>G2</f>
        <v>0</v>
      </c>
      <c r="H11" s="20" t="b">
        <f>H2</f>
        <v>0</v>
      </c>
      <c r="I11" s="17" t="b">
        <f>I2</f>
        <v>1</v>
      </c>
      <c r="J11" s="20"/>
      <c r="K11" s="17"/>
      <c r="L11" s="17"/>
      <c r="M11" s="20" t="b">
        <f>M2</f>
        <v>0</v>
      </c>
      <c r="N11" s="20"/>
      <c r="O11" s="20"/>
      <c r="P11" s="20"/>
      <c r="Q11" s="20"/>
      <c r="R11" s="17" t="b">
        <f>R2</f>
        <v>1</v>
      </c>
      <c r="S11" t="b">
        <f>AND(Table19[[#This Row],[Non-comedogenic]:[Mineral]],Table19[[#This Row],[Spray/Whip/Oil]:[Oxy/Avobenzone]],OR(Table19[[#This Row],[Low SPF]:[High SPF]]),OR(Table19[[#This Row],[Face/Lips]:[Body]]))</f>
        <v>0</v>
      </c>
      <c r="T11" s="28" t="s">
        <v>814</v>
      </c>
    </row>
    <row r="12" spans="1:20">
      <c r="A12" t="b">
        <f>IF(Table19[[#This Row],[Column2]],Table19[[#This Row],[Column13]])</f>
        <v>0</v>
      </c>
      <c r="B12" s="17"/>
      <c r="C12" s="20" t="b">
        <f>C2</f>
        <v>0</v>
      </c>
      <c r="D12" s="17"/>
      <c r="E12" s="17"/>
      <c r="F12" s="17"/>
      <c r="G12" s="20" t="b">
        <f>G2</f>
        <v>0</v>
      </c>
      <c r="H12" s="20" t="b">
        <f>H2</f>
        <v>0</v>
      </c>
      <c r="I12" s="17" t="b">
        <f>I2</f>
        <v>1</v>
      </c>
      <c r="J12" s="20"/>
      <c r="K12" s="17"/>
      <c r="L12" s="20" t="b">
        <f>L2</f>
        <v>0</v>
      </c>
      <c r="M12" s="17"/>
      <c r="N12" s="20"/>
      <c r="O12" s="20"/>
      <c r="P12" s="20"/>
      <c r="Q12" s="20"/>
      <c r="R12" s="17" t="b">
        <f>R2</f>
        <v>1</v>
      </c>
      <c r="S12" t="b">
        <f>AND(Table19[[#This Row],[Non-comedogenic]:[Mineral]],Table19[[#This Row],[Spray/Whip/Oil]:[Oxy/Avobenzone]],OR(Table19[[#This Row],[Low SPF]:[High SPF]]),OR(Table19[[#This Row],[Face/Lips]:[Body]]))</f>
        <v>0</v>
      </c>
      <c r="T12" s="28" t="s">
        <v>815</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c r="K13" s="20" t="b">
        <f t="shared" si="3"/>
        <v>1</v>
      </c>
      <c r="L13" s="20" t="b">
        <f t="shared" si="3"/>
        <v>0</v>
      </c>
      <c r="M13" s="20" t="b">
        <f t="shared" si="3"/>
        <v>0</v>
      </c>
      <c r="N13" s="17" t="b">
        <f>N7</f>
        <v>1</v>
      </c>
      <c r="O13" s="17" t="b">
        <f>O2</f>
        <v>1</v>
      </c>
      <c r="P13" s="17" t="b">
        <f>P3</f>
        <v>1</v>
      </c>
      <c r="Q13" s="20"/>
      <c r="R13" s="17" t="b">
        <f>R2</f>
        <v>1</v>
      </c>
      <c r="S13" t="b">
        <f>AND(Table19[[#This Row],[Non-comedogenic]:[Mineral]],Table19[[#This Row],[Spray/Whip/Oil]:[Oxy/Avobenzone]],OR(Table19[[#This Row],[Low SPF]:[High SPF]]),OR(Table19[[#This Row],[Face/Lips]:[Body]]))</f>
        <v>0</v>
      </c>
      <c r="T13" s="28" t="s">
        <v>819</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c r="K14" s="20" t="b">
        <f t="shared" si="4"/>
        <v>1</v>
      </c>
      <c r="L14" s="20" t="b">
        <f t="shared" si="4"/>
        <v>0</v>
      </c>
      <c r="M14" s="20" t="b">
        <f t="shared" si="4"/>
        <v>0</v>
      </c>
      <c r="N14" s="17" t="b">
        <f>N7</f>
        <v>1</v>
      </c>
      <c r="O14" s="17" t="b">
        <f>O2</f>
        <v>1</v>
      </c>
      <c r="P14" s="17" t="b">
        <f>P3</f>
        <v>1</v>
      </c>
      <c r="Q14" s="20"/>
      <c r="R14" s="17" t="b">
        <f>R2</f>
        <v>1</v>
      </c>
      <c r="S14" t="b">
        <f>AND(Table19[[#This Row],[Non-comedogenic]:[Mineral]],Table19[[#This Row],[Spray/Whip/Oil]:[Oxy/Avobenzone]],OR(Table19[[#This Row],[Low SPF]:[High SPF]]),OR(Table19[[#This Row],[Face/Lips]:[Body]]))</f>
        <v>0</v>
      </c>
      <c r="T14" s="28" t="s">
        <v>820</v>
      </c>
    </row>
    <row r="15" spans="1:20">
      <c r="A15" t="b">
        <f>IF(Table19[[#This Row],[Column2]],Table19[[#This Row],[Column13]])</f>
        <v>0</v>
      </c>
      <c r="B15" s="17"/>
      <c r="C15" s="17"/>
      <c r="D15" s="20" t="b">
        <f>D2</f>
        <v>0</v>
      </c>
      <c r="E15" s="20" t="b">
        <f>E7</f>
        <v>0</v>
      </c>
      <c r="F15" s="17"/>
      <c r="G15" s="17"/>
      <c r="H15" s="20" t="b">
        <f>H2</f>
        <v>0</v>
      </c>
      <c r="I15" s="20"/>
      <c r="J15" s="20"/>
      <c r="K15" s="20" t="b">
        <f>K2</f>
        <v>1</v>
      </c>
      <c r="L15" s="20" t="b">
        <f>L2</f>
        <v>0</v>
      </c>
      <c r="M15" s="20" t="b">
        <f>M2</f>
        <v>0</v>
      </c>
      <c r="N15" s="17" t="b">
        <f>N7</f>
        <v>1</v>
      </c>
      <c r="O15" s="20"/>
      <c r="P15" s="17" t="b">
        <f>P3</f>
        <v>1</v>
      </c>
      <c r="Q15" s="20"/>
      <c r="R15" s="17" t="b">
        <f>R2</f>
        <v>1</v>
      </c>
      <c r="S15" t="b">
        <f>AND(Table19[[#This Row],[Non-comedogenic]:[Mineral]],Table19[[#This Row],[Spray/Whip/Oil]:[Oxy/Avobenzone]],OR(Table19[[#This Row],[Low SPF]:[High SPF]]),OR(Table19[[#This Row],[Face/Lips]:[Body]]))</f>
        <v>0</v>
      </c>
      <c r="T15" s="28" t="s">
        <v>821</v>
      </c>
    </row>
    <row r="16" spans="1:20">
      <c r="A16" t="b">
        <f>IF(Table19[[#This Row],[Column2]],Table19[[#This Row],[Column13]])</f>
        <v>0</v>
      </c>
      <c r="B16" s="17"/>
      <c r="C16" s="20" t="b">
        <f>C2</f>
        <v>0</v>
      </c>
      <c r="D16" s="20" t="b">
        <f>D2</f>
        <v>0</v>
      </c>
      <c r="E16" s="20" t="b">
        <f>E7</f>
        <v>0</v>
      </c>
      <c r="F16" s="17"/>
      <c r="G16" s="17"/>
      <c r="H16" s="20" t="b">
        <f>H2</f>
        <v>0</v>
      </c>
      <c r="I16" s="20"/>
      <c r="J16" s="20"/>
      <c r="K16" s="20" t="b">
        <f>K2</f>
        <v>1</v>
      </c>
      <c r="L16" s="20" t="b">
        <f>L2</f>
        <v>0</v>
      </c>
      <c r="M16" s="20" t="b">
        <f>M2</f>
        <v>0</v>
      </c>
      <c r="N16" s="17" t="b">
        <f>N7</f>
        <v>1</v>
      </c>
      <c r="O16" s="17" t="b">
        <f>O2</f>
        <v>1</v>
      </c>
      <c r="P16" s="17" t="b">
        <f>P3</f>
        <v>1</v>
      </c>
      <c r="Q16" s="20"/>
      <c r="R16" s="17" t="b">
        <f>R2</f>
        <v>1</v>
      </c>
      <c r="S16" t="b">
        <f>AND(Table19[[#This Row],[Non-comedogenic]:[Mineral]],Table19[[#This Row],[Spray/Whip/Oil]:[Oxy/Avobenzone]],OR(Table19[[#This Row],[Low SPF]:[High SPF]]),OR(Table19[[#This Row],[Face/Lips]:[Body]]))</f>
        <v>0</v>
      </c>
      <c r="T16" s="28" t="s">
        <v>822</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16"/>
    </row>
    <row r="18" spans="1:20">
      <c r="A18" t="b">
        <f>IF(Table19[[#This Row],[Column2]],Table19[[#This Row],[Column13]])</f>
        <v>0</v>
      </c>
      <c r="B18" s="17"/>
      <c r="C18" s="20" t="b">
        <f>C2</f>
        <v>0</v>
      </c>
      <c r="D18" s="17"/>
      <c r="E18" s="20" t="b">
        <f>E7</f>
        <v>0</v>
      </c>
      <c r="F18" s="17"/>
      <c r="G18" s="17"/>
      <c r="H18" s="20" t="b">
        <f>H2</f>
        <v>0</v>
      </c>
      <c r="I18" s="17" t="b">
        <f>I2</f>
        <v>1</v>
      </c>
      <c r="J18" s="20"/>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9" t="s">
        <v>823</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c r="K19" s="20" t="b">
        <f t="shared" si="5"/>
        <v>1</v>
      </c>
      <c r="L19" s="20" t="b">
        <f t="shared" si="5"/>
        <v>0</v>
      </c>
      <c r="M19" s="20" t="b">
        <f t="shared" si="5"/>
        <v>0</v>
      </c>
      <c r="N19" s="17" t="b">
        <f>N7</f>
        <v>1</v>
      </c>
      <c r="O19" s="20"/>
      <c r="P19" s="17" t="b">
        <f>P3</f>
        <v>1</v>
      </c>
      <c r="Q19" s="17" t="b">
        <f>Q5</f>
        <v>1</v>
      </c>
      <c r="R19" s="17" t="b">
        <f>R2</f>
        <v>1</v>
      </c>
      <c r="S19" t="b">
        <f>AND(Table19[[#This Row],[Non-comedogenic]:[Mineral]],Table19[[#This Row],[Spray/Whip/Oil]:[Oxy/Avobenzone]],OR(Table19[[#This Row],[Low SPF]:[High SPF]]),OR(Table19[[#This Row],[Face/Lips]:[Body]]))</f>
        <v>0</v>
      </c>
      <c r="T19" s="29" t="s">
        <v>824</v>
      </c>
    </row>
    <row r="20" spans="1:20">
      <c r="A20" t="b">
        <f>IF(Table19[[#This Row],[Column2]],Table19[[#This Row],[Column13]])</f>
        <v>0</v>
      </c>
      <c r="B20" s="17"/>
      <c r="C20" s="20" t="b">
        <f>C2</f>
        <v>0</v>
      </c>
      <c r="D20" s="17"/>
      <c r="E20" s="17"/>
      <c r="F20" s="17"/>
      <c r="G20" s="20" t="b">
        <f>G2</f>
        <v>0</v>
      </c>
      <c r="H20" s="20" t="b">
        <f>H2</f>
        <v>0</v>
      </c>
      <c r="I20" s="17" t="b">
        <f>I2</f>
        <v>1</v>
      </c>
      <c r="J20" s="20"/>
      <c r="K20" s="17"/>
      <c r="L20" s="20" t="b">
        <f>L2</f>
        <v>0</v>
      </c>
      <c r="M20" s="17"/>
      <c r="N20" s="20"/>
      <c r="O20" s="17" t="b">
        <f>O2</f>
        <v>1</v>
      </c>
      <c r="P20" s="17" t="b">
        <f>P3</f>
        <v>1</v>
      </c>
      <c r="Q20" s="20"/>
      <c r="R20" s="17" t="b">
        <f>R2</f>
        <v>1</v>
      </c>
      <c r="S20" t="b">
        <f>AND(Table19[[#This Row],[Non-comedogenic]:[Mineral]],Table19[[#This Row],[Spray/Whip/Oil]:[Oxy/Avobenzone]],OR(Table19[[#This Row],[Low SPF]:[High SPF]]),OR(Table19[[#This Row],[Face/Lips]:[Body]]))</f>
        <v>0</v>
      </c>
      <c r="T20" s="29" t="s">
        <v>825</v>
      </c>
    </row>
    <row r="21" spans="1:20">
      <c r="A21" t="b">
        <f>IF(Table19[[#This Row],[Column2]],Table19[[#This Row],[Column13]])</f>
        <v>0</v>
      </c>
      <c r="B21" s="17"/>
      <c r="C21" s="20" t="b">
        <f>C2</f>
        <v>0</v>
      </c>
      <c r="D21" s="17"/>
      <c r="E21" s="17"/>
      <c r="F21" s="17"/>
      <c r="G21" s="20" t="b">
        <f>G2</f>
        <v>0</v>
      </c>
      <c r="H21" s="20" t="b">
        <f>H2</f>
        <v>0</v>
      </c>
      <c r="I21" s="17" t="b">
        <f>I2</f>
        <v>1</v>
      </c>
      <c r="J21" s="20"/>
      <c r="K21" s="20" t="b">
        <f>K2</f>
        <v>1</v>
      </c>
      <c r="L21" s="17"/>
      <c r="M21" s="20" t="b">
        <f>M2</f>
        <v>0</v>
      </c>
      <c r="N21" s="20"/>
      <c r="O21" s="17" t="b">
        <f>O2</f>
        <v>1</v>
      </c>
      <c r="P21" s="17" t="b">
        <f>P3</f>
        <v>1</v>
      </c>
      <c r="Q21" s="17" t="b">
        <f>Q5</f>
        <v>1</v>
      </c>
      <c r="R21" s="17" t="b">
        <f>R2</f>
        <v>1</v>
      </c>
      <c r="S21" t="b">
        <f>AND(Table19[[#This Row],[Non-comedogenic]:[Mineral]],Table19[[#This Row],[Spray/Whip/Oil]:[Oxy/Avobenzone]],OR(Table19[[#This Row],[Low SPF]:[High SPF]]),OR(Table19[[#This Row],[Face/Lips]:[Body]]))</f>
        <v>0</v>
      </c>
      <c r="T21" s="29" t="s">
        <v>826</v>
      </c>
    </row>
    <row r="22" spans="1:20">
      <c r="A22" t="b">
        <f>IF(Table19[[#This Row],[Column2]],Table19[[#This Row],[Column13]])</f>
        <v>0</v>
      </c>
      <c r="B22" s="17"/>
      <c r="C22" s="20" t="b">
        <f>C2</f>
        <v>0</v>
      </c>
      <c r="D22" s="17"/>
      <c r="E22" s="17"/>
      <c r="F22" s="17"/>
      <c r="G22" s="20" t="b">
        <f>G2</f>
        <v>0</v>
      </c>
      <c r="H22" s="20" t="b">
        <f>H2</f>
        <v>0</v>
      </c>
      <c r="I22" s="17" t="b">
        <f>I2</f>
        <v>1</v>
      </c>
      <c r="J22" s="20"/>
      <c r="K22" s="17"/>
      <c r="L22" s="20" t="b">
        <f>L2</f>
        <v>0</v>
      </c>
      <c r="M22" s="17"/>
      <c r="N22" s="17" t="b">
        <f>N7</f>
        <v>1</v>
      </c>
      <c r="O22" s="20"/>
      <c r="P22" s="17" t="b">
        <f>P3</f>
        <v>1</v>
      </c>
      <c r="Q22" s="17" t="b">
        <f>Q5</f>
        <v>1</v>
      </c>
      <c r="R22" s="20"/>
      <c r="S22" t="b">
        <f>AND(Table19[[#This Row],[Non-comedogenic]:[Mineral]],Table19[[#This Row],[Spray/Whip/Oil]:[Oxy/Avobenzone]],OR(Table19[[#This Row],[Low SPF]:[High SPF]]),OR(Table19[[#This Row],[Face/Lips]:[Body]]))</f>
        <v>0</v>
      </c>
      <c r="T22" s="29" t="s">
        <v>827</v>
      </c>
    </row>
    <row r="23" spans="1:20">
      <c r="A23" t="b">
        <f>IF(Table19[[#This Row],[Column2]],Table19[[#This Row],[Column13]])</f>
        <v>0</v>
      </c>
      <c r="B23" s="17"/>
      <c r="C23" s="20" t="b">
        <f>C2</f>
        <v>0</v>
      </c>
      <c r="D23" s="17"/>
      <c r="E23" s="17"/>
      <c r="F23" s="17"/>
      <c r="G23" s="20" t="b">
        <f>G2</f>
        <v>0</v>
      </c>
      <c r="H23" s="20" t="b">
        <f>H2</f>
        <v>0</v>
      </c>
      <c r="I23" s="17" t="b">
        <f>I2</f>
        <v>1</v>
      </c>
      <c r="J23" s="20"/>
      <c r="K23" s="17"/>
      <c r="L23" s="17"/>
      <c r="M23" s="20" t="b">
        <f>M2</f>
        <v>0</v>
      </c>
      <c r="N23" s="17" t="b">
        <f>N7</f>
        <v>1</v>
      </c>
      <c r="O23" s="20"/>
      <c r="P23" s="17" t="b">
        <f>P3</f>
        <v>1</v>
      </c>
      <c r="Q23" s="17" t="b">
        <f>Q5</f>
        <v>1</v>
      </c>
      <c r="R23" s="20"/>
      <c r="S23" t="b">
        <f>AND(Table19[[#This Row],[Non-comedogenic]:[Mineral]],Table19[[#This Row],[Spray/Whip/Oil]:[Oxy/Avobenzone]],OR(Table19[[#This Row],[Low SPF]:[High SPF]]),OR(Table19[[#This Row],[Face/Lips]:[Body]]))</f>
        <v>0</v>
      </c>
      <c r="T23" s="29" t="s">
        <v>828</v>
      </c>
    </row>
    <row r="24" spans="1:20">
      <c r="A24" t="b">
        <f>IF(Table19[[#This Row],[Column2]],Table19[[#This Row],[Column13]])</f>
        <v>0</v>
      </c>
      <c r="B24" s="17"/>
      <c r="C24" s="20" t="b">
        <f>C2</f>
        <v>0</v>
      </c>
      <c r="D24" s="17"/>
      <c r="E24" s="20" t="b">
        <f>E7</f>
        <v>0</v>
      </c>
      <c r="F24" s="17"/>
      <c r="G24" s="17"/>
      <c r="H24" s="20" t="b">
        <f>H2</f>
        <v>0</v>
      </c>
      <c r="I24" s="17" t="b">
        <f>I2</f>
        <v>1</v>
      </c>
      <c r="J24" s="20"/>
      <c r="K24" s="17"/>
      <c r="L24" s="20" t="b">
        <f>L2</f>
        <v>0</v>
      </c>
      <c r="M24" s="20" t="b">
        <f>M2</f>
        <v>0</v>
      </c>
      <c r="N24" s="20"/>
      <c r="O24" s="17" t="b">
        <f>O2</f>
        <v>1</v>
      </c>
      <c r="P24" s="17" t="b">
        <f>P3</f>
        <v>1</v>
      </c>
      <c r="Q24" s="17" t="b">
        <f>Q5</f>
        <v>1</v>
      </c>
      <c r="R24" s="17" t="b">
        <f>R2</f>
        <v>1</v>
      </c>
      <c r="S24" t="b">
        <f>AND(Table19[[#This Row],[Non-comedogenic]:[Mineral]],Table19[[#This Row],[Spray/Whip/Oil]:[Oxy/Avobenzone]],OR(Table19[[#This Row],[Low SPF]:[High SPF]]),OR(Table19[[#This Row],[Face/Lips]:[Body]]))</f>
        <v>0</v>
      </c>
      <c r="T24" s="29" t="s">
        <v>829</v>
      </c>
    </row>
    <row r="25" spans="1:20">
      <c r="A25" t="b">
        <f>IF(Table19[[#This Row],[Column2]],Table19[[#This Row],[Column13]])</f>
        <v>0</v>
      </c>
      <c r="B25" s="20" t="b">
        <f>AND('Sun Screen Criteria'!B3)</f>
        <v>0</v>
      </c>
      <c r="C25" s="17"/>
      <c r="D25" s="17"/>
      <c r="E25" s="17"/>
      <c r="F25" s="17"/>
      <c r="G25" s="20" t="b">
        <f>G2</f>
        <v>0</v>
      </c>
      <c r="H25" s="20" t="b">
        <f>H2</f>
        <v>0</v>
      </c>
      <c r="I25" s="17" t="b">
        <f>I2</f>
        <v>1</v>
      </c>
      <c r="J25" s="20"/>
      <c r="K25" s="17"/>
      <c r="L25" s="20" t="b">
        <f>L2</f>
        <v>0</v>
      </c>
      <c r="M25" s="20" t="b">
        <f>M2</f>
        <v>0</v>
      </c>
      <c r="N25" s="20"/>
      <c r="O25" s="20"/>
      <c r="P25" s="17" t="b">
        <f>P3</f>
        <v>1</v>
      </c>
      <c r="Q25" s="17" t="b">
        <f>Q5</f>
        <v>1</v>
      </c>
      <c r="R25" s="17" t="b">
        <f>R2</f>
        <v>1</v>
      </c>
      <c r="S25" t="b">
        <f>AND(Table19[[#This Row],[Non-comedogenic]:[Mineral]],Table19[[#This Row],[Spray/Whip/Oil]:[Oxy/Avobenzone]],OR(Table19[[#This Row],[Low SPF]:[High SPF]]),OR(Table19[[#This Row],[Face/Lips]:[Body]]))</f>
        <v>0</v>
      </c>
      <c r="T25" s="29" t="s">
        <v>830</v>
      </c>
    </row>
    <row r="26" spans="1:20">
      <c r="A26" t="b">
        <f>IF(Table19[[#This Row],[Column2]],Table19[[#This Row],[Column13]])</f>
        <v>0</v>
      </c>
      <c r="B26" s="17"/>
      <c r="C26" s="20" t="b">
        <f>C2</f>
        <v>0</v>
      </c>
      <c r="D26" s="17"/>
      <c r="E26" s="20" t="b">
        <f>E7</f>
        <v>0</v>
      </c>
      <c r="F26" s="17"/>
      <c r="G26" s="17"/>
      <c r="H26" s="20" t="b">
        <f>H2</f>
        <v>0</v>
      </c>
      <c r="I26" s="20"/>
      <c r="J26" s="20"/>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9" t="s">
        <v>831</v>
      </c>
    </row>
    <row r="27" spans="1:20">
      <c r="A27" t="b">
        <f>IF(Table19[[#This Row],[Column2]],Table19[[#This Row],[Column13]])</f>
        <v>0</v>
      </c>
      <c r="B27" s="17"/>
      <c r="C27" s="17"/>
      <c r="D27" s="20" t="b">
        <f>D2</f>
        <v>0</v>
      </c>
      <c r="E27" s="17"/>
      <c r="F27" s="17"/>
      <c r="G27" s="20" t="b">
        <f>G2</f>
        <v>0</v>
      </c>
      <c r="H27" s="20" t="b">
        <f>H2</f>
        <v>0</v>
      </c>
      <c r="I27" s="20"/>
      <c r="J27" s="20"/>
      <c r="K27" s="17"/>
      <c r="L27" s="20" t="b">
        <f>L2</f>
        <v>0</v>
      </c>
      <c r="M27" s="20" t="b">
        <f>M2</f>
        <v>0</v>
      </c>
      <c r="N27" s="17" t="b">
        <f>N7</f>
        <v>1</v>
      </c>
      <c r="O27" s="20"/>
      <c r="P27" s="17" t="b">
        <f>P3</f>
        <v>1</v>
      </c>
      <c r="Q27" s="17" t="b">
        <f>Q5</f>
        <v>1</v>
      </c>
      <c r="R27" s="17" t="b">
        <f>R2</f>
        <v>1</v>
      </c>
      <c r="S27" t="b">
        <f>AND(Table19[[#This Row],[Non-comedogenic]:[Mineral]],Table19[[#This Row],[Spray/Whip/Oil]:[Oxy/Avobenzone]],OR(Table19[[#This Row],[Low SPF]:[High SPF]]),OR(Table19[[#This Row],[Face/Lips]:[Body]]))</f>
        <v>0</v>
      </c>
      <c r="T27" s="29" t="s">
        <v>832</v>
      </c>
    </row>
    <row r="28" spans="1:20">
      <c r="A28" t="b">
        <f>IF(Table19[[#This Row],[Column2]],Table19[[#This Row],[Column13]])</f>
        <v>0</v>
      </c>
      <c r="B28" s="17"/>
      <c r="C28" s="20" t="b">
        <f>C2</f>
        <v>0</v>
      </c>
      <c r="D28" s="17"/>
      <c r="E28" s="17"/>
      <c r="F28" s="17"/>
      <c r="G28" s="20" t="b">
        <f>G2</f>
        <v>0</v>
      </c>
      <c r="H28" s="20" t="b">
        <f>H2</f>
        <v>0</v>
      </c>
      <c r="I28" s="20"/>
      <c r="J28" s="20"/>
      <c r="K28" s="17"/>
      <c r="L28" s="20" t="b">
        <f>L2</f>
        <v>0</v>
      </c>
      <c r="M28" s="20" t="b">
        <f>M2</f>
        <v>0</v>
      </c>
      <c r="N28" s="17" t="b">
        <f>N7</f>
        <v>1</v>
      </c>
      <c r="O28" s="20"/>
      <c r="P28" s="17" t="b">
        <f>P3</f>
        <v>1</v>
      </c>
      <c r="Q28" s="17" t="b">
        <f>Q5</f>
        <v>1</v>
      </c>
      <c r="R28" s="20"/>
      <c r="S28" t="b">
        <f>AND(Table19[[#This Row],[Non-comedogenic]:[Mineral]],Table19[[#This Row],[Spray/Whip/Oil]:[Oxy/Avobenzone]],OR(Table19[[#This Row],[Low SPF]:[High SPF]]),OR(Table19[[#This Row],[Face/Lips]:[Body]]))</f>
        <v>0</v>
      </c>
      <c r="T28" s="29" t="s">
        <v>833</v>
      </c>
    </row>
    <row r="29" spans="1:20">
      <c r="A29" t="b">
        <f>IF(Table19[[#This Row],[Column2]],Table19[[#This Row],[Column13]])</f>
        <v>0</v>
      </c>
      <c r="B29" s="17"/>
      <c r="C29" s="20" t="b">
        <f>C2</f>
        <v>0</v>
      </c>
      <c r="D29" s="17"/>
      <c r="E29" s="17"/>
      <c r="F29" s="17"/>
      <c r="G29" s="20" t="b">
        <f>G2</f>
        <v>0</v>
      </c>
      <c r="H29" s="20" t="b">
        <f>H2</f>
        <v>0</v>
      </c>
      <c r="I29" s="20"/>
      <c r="J29" s="20"/>
      <c r="K29" s="17"/>
      <c r="L29" s="20" t="b">
        <f>L2</f>
        <v>0</v>
      </c>
      <c r="M29" s="20" t="b">
        <f>M2</f>
        <v>0</v>
      </c>
      <c r="N29" s="17" t="b">
        <f>N7</f>
        <v>1</v>
      </c>
      <c r="O29" s="20"/>
      <c r="P29" s="17" t="b">
        <f>P3</f>
        <v>1</v>
      </c>
      <c r="Q29" s="17" t="b">
        <f>Q5</f>
        <v>1</v>
      </c>
      <c r="R29" s="17" t="b">
        <f>R2</f>
        <v>1</v>
      </c>
      <c r="S29" t="b">
        <f>AND(Table19[[#This Row],[Non-comedogenic]:[Mineral]],Table19[[#This Row],[Spray/Whip/Oil]:[Oxy/Avobenzone]],OR(Table19[[#This Row],[Low SPF]:[High SPF]]),OR(Table19[[#This Row],[Face/Lips]:[Body]]))</f>
        <v>0</v>
      </c>
      <c r="T29" s="29" t="s">
        <v>834</v>
      </c>
    </row>
    <row r="30" spans="1:20">
      <c r="A30" t="b">
        <f>IF(Table19[[#This Row],[Column2]],Table19[[#This Row],[Column13]])</f>
        <v>0</v>
      </c>
      <c r="B30" s="17"/>
      <c r="C30" s="20" t="b">
        <f>C2</f>
        <v>0</v>
      </c>
      <c r="D30" s="17"/>
      <c r="E30" s="17"/>
      <c r="F30" s="17"/>
      <c r="G30" s="20" t="b">
        <f>G2</f>
        <v>0</v>
      </c>
      <c r="H30" s="20" t="b">
        <f>H2</f>
        <v>0</v>
      </c>
      <c r="I30" s="20"/>
      <c r="J30" s="20"/>
      <c r="K30" s="17"/>
      <c r="L30" s="20" t="b">
        <f>L2</f>
        <v>0</v>
      </c>
      <c r="M30" s="20" t="b">
        <f>M2</f>
        <v>0</v>
      </c>
      <c r="N30" s="17" t="b">
        <f>N7</f>
        <v>1</v>
      </c>
      <c r="O30" s="20"/>
      <c r="P30" s="17" t="b">
        <f>P3</f>
        <v>1</v>
      </c>
      <c r="Q30" s="17" t="b">
        <f>Q5</f>
        <v>1</v>
      </c>
      <c r="R30" s="20"/>
      <c r="S30" t="b">
        <f>AND(Table19[[#This Row],[Non-comedogenic]:[Mineral]],Table19[[#This Row],[Spray/Whip/Oil]:[Oxy/Avobenzone]],OR(Table19[[#This Row],[Low SPF]:[High SPF]]),OR(Table19[[#This Row],[Face/Lips]:[Body]]))</f>
        <v>0</v>
      </c>
      <c r="T30" s="29" t="s">
        <v>835</v>
      </c>
    </row>
    <row r="31" spans="1:20">
      <c r="A31" t="b">
        <f>IF(Table19[[#This Row],[Column2]],Table19[[#This Row],[Column13]])</f>
        <v>0</v>
      </c>
      <c r="B31" s="20" t="b">
        <f>B25</f>
        <v>0</v>
      </c>
      <c r="C31" s="20" t="b">
        <f>C2</f>
        <v>0</v>
      </c>
      <c r="D31" s="17"/>
      <c r="E31" s="17"/>
      <c r="F31" s="17"/>
      <c r="G31" s="20" t="b">
        <f>G2</f>
        <v>0</v>
      </c>
      <c r="H31" s="20" t="b">
        <f>H2</f>
        <v>0</v>
      </c>
      <c r="I31" s="17" t="b">
        <f>I2</f>
        <v>1</v>
      </c>
      <c r="J31" s="20"/>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9" t="s">
        <v>836</v>
      </c>
    </row>
    <row r="32" spans="1:20">
      <c r="A32" t="b">
        <f>IF(Table19[[#This Row],[Column2]],Table19[[#This Row],[Column13]])</f>
        <v>0</v>
      </c>
      <c r="B32" s="17"/>
      <c r="C32" s="20" t="b">
        <f>C2</f>
        <v>0</v>
      </c>
      <c r="D32" s="17"/>
      <c r="E32" s="20" t="b">
        <f>E7</f>
        <v>0</v>
      </c>
      <c r="F32" s="17"/>
      <c r="G32" s="17"/>
      <c r="H32" s="20" t="b">
        <f>H2</f>
        <v>0</v>
      </c>
      <c r="I32" s="20"/>
      <c r="J32" s="20"/>
      <c r="K32" s="17"/>
      <c r="L32" s="20" t="b">
        <f>L2</f>
        <v>0</v>
      </c>
      <c r="M32" s="20" t="b">
        <f>M2</f>
        <v>0</v>
      </c>
      <c r="N32" s="17" t="b">
        <f>N7</f>
        <v>1</v>
      </c>
      <c r="O32" s="20"/>
      <c r="P32" s="17" t="b">
        <f>P3</f>
        <v>1</v>
      </c>
      <c r="Q32" s="17" t="b">
        <f>Q5</f>
        <v>1</v>
      </c>
      <c r="R32" s="17" t="b">
        <f>R2</f>
        <v>1</v>
      </c>
      <c r="S32" t="b">
        <f>AND(Table19[[#This Row],[Non-comedogenic]:[Mineral]],Table19[[#This Row],[Spray/Whip/Oil]:[Oxy/Avobenzone]],OR(Table19[[#This Row],[Low SPF]:[High SPF]]),OR(Table19[[#This Row],[Face/Lips]:[Body]]))</f>
        <v>0</v>
      </c>
      <c r="T32" s="29" t="s">
        <v>837</v>
      </c>
    </row>
    <row r="33" spans="1:20">
      <c r="A33" t="b">
        <f>IF(Table19[[#This Row],[Column2]],Table19[[#This Row],[Column13]])</f>
        <v>0</v>
      </c>
      <c r="B33" s="17"/>
      <c r="C33" s="20" t="b">
        <f>C2</f>
        <v>0</v>
      </c>
      <c r="D33" s="17"/>
      <c r="E33" s="20" t="b">
        <f>E7</f>
        <v>0</v>
      </c>
      <c r="F33" s="17"/>
      <c r="G33" s="17"/>
      <c r="H33" s="20" t="b">
        <f>H2</f>
        <v>0</v>
      </c>
      <c r="I33" s="17" t="b">
        <f>I2</f>
        <v>1</v>
      </c>
      <c r="J33" s="20"/>
      <c r="K33" s="17"/>
      <c r="L33" s="20" t="b">
        <f>L2</f>
        <v>0</v>
      </c>
      <c r="M33" s="20" t="b">
        <f>M2</f>
        <v>0</v>
      </c>
      <c r="N33" s="17" t="b">
        <f>N7</f>
        <v>1</v>
      </c>
      <c r="O33" s="20"/>
      <c r="P33" s="17" t="b">
        <f>P3</f>
        <v>1</v>
      </c>
      <c r="Q33" s="20"/>
      <c r="R33" s="17" t="b">
        <f>R2</f>
        <v>1</v>
      </c>
      <c r="S33" t="b">
        <f>AND(Table19[[#This Row],[Non-comedogenic]:[Mineral]],Table19[[#This Row],[Spray/Whip/Oil]:[Oxy/Avobenzone]],OR(Table19[[#This Row],[Low SPF]:[High SPF]]),OR(Table19[[#This Row],[Face/Lips]:[Body]]))</f>
        <v>0</v>
      </c>
      <c r="T33" s="29" t="s">
        <v>838</v>
      </c>
    </row>
    <row r="34" spans="1:20">
      <c r="A34" t="b">
        <f>IF(Table19[[#This Row],[Column2]],Table19[[#This Row],[Column13]])</f>
        <v>0</v>
      </c>
      <c r="B34" s="17"/>
      <c r="C34" s="20" t="b">
        <f>C2</f>
        <v>0</v>
      </c>
      <c r="D34" s="17"/>
      <c r="E34" s="17"/>
      <c r="F34" s="20" t="b">
        <f>F4</f>
        <v>0</v>
      </c>
      <c r="G34" s="17"/>
      <c r="H34" s="20" t="b">
        <f>H2</f>
        <v>0</v>
      </c>
      <c r="I34" s="20"/>
      <c r="J34" s="20"/>
      <c r="K34" s="17"/>
      <c r="L34" s="20" t="b">
        <f>L2</f>
        <v>0</v>
      </c>
      <c r="M34" s="20" t="b">
        <f>M2</f>
        <v>0</v>
      </c>
      <c r="N34" s="17" t="b">
        <f>N7</f>
        <v>1</v>
      </c>
      <c r="O34" s="17" t="b">
        <f>O2</f>
        <v>1</v>
      </c>
      <c r="P34" s="17" t="b">
        <f>P3</f>
        <v>1</v>
      </c>
      <c r="Q34" s="17" t="b">
        <f>Q5</f>
        <v>1</v>
      </c>
      <c r="R34" s="20"/>
      <c r="S34" t="b">
        <f>AND(Table19[[#This Row],[Non-comedogenic]:[Mineral]],Table19[[#This Row],[Spray/Whip/Oil]:[Oxy/Avobenzone]],OR(Table19[[#This Row],[Low SPF]:[High SPF]]),OR(Table19[[#This Row],[Face/Lips]:[Body]]))</f>
        <v>0</v>
      </c>
      <c r="T34" s="29" t="s">
        <v>839</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16"/>
    </row>
    <row r="36" spans="1:20">
      <c r="A36" t="b">
        <f>IF(Table19[[#This Row],[Column2]],Table19[[#This Row],[Column13]])</f>
        <v>0</v>
      </c>
      <c r="B36" s="17"/>
      <c r="C36" s="20" t="b">
        <f>C2</f>
        <v>0</v>
      </c>
      <c r="D36" s="17"/>
      <c r="E36" s="17"/>
      <c r="F36" s="17"/>
      <c r="G36" s="20" t="b">
        <f>G2</f>
        <v>0</v>
      </c>
      <c r="H36" s="20" t="b">
        <f>H2</f>
        <v>0</v>
      </c>
      <c r="I36" s="17" t="b">
        <f>I2</f>
        <v>1</v>
      </c>
      <c r="J36" s="20"/>
      <c r="K36" s="17"/>
      <c r="L36" s="20" t="b">
        <f>L2</f>
        <v>0</v>
      </c>
      <c r="M36" s="20" t="b">
        <f>M2</f>
        <v>0</v>
      </c>
      <c r="N36" s="20"/>
      <c r="O36" s="17" t="b">
        <f>O2</f>
        <v>1</v>
      </c>
      <c r="P36" s="17" t="b">
        <f>P3</f>
        <v>1</v>
      </c>
      <c r="Q36" s="17" t="b">
        <f>Q5</f>
        <v>1</v>
      </c>
      <c r="R36" s="17" t="b">
        <f>R2</f>
        <v>1</v>
      </c>
      <c r="S36" t="b">
        <f>AND(Table19[[#This Row],[Non-comedogenic]:[Mineral]],Table19[[#This Row],[Spray/Whip/Oil]:[Oxy/Avobenzone]],OR(Table19[[#This Row],[Low SPF]:[High SPF]]),OR(Table19[[#This Row],[Face/Lips]:[Body]]))</f>
        <v>0</v>
      </c>
      <c r="T36" s="11" t="s">
        <v>840</v>
      </c>
    </row>
    <row r="37" spans="1:20">
      <c r="A37" t="b">
        <f>IF(Table19[[#This Row],[Column2]],Table19[[#This Row],[Column13]])</f>
        <v>0</v>
      </c>
      <c r="B37" s="17"/>
      <c r="C37" s="20" t="b">
        <f>C2</f>
        <v>0</v>
      </c>
      <c r="D37" s="17"/>
      <c r="E37" s="20" t="b">
        <f>E7</f>
        <v>0</v>
      </c>
      <c r="F37" s="17"/>
      <c r="G37" s="17"/>
      <c r="H37" s="20" t="b">
        <f>H2</f>
        <v>0</v>
      </c>
      <c r="I37" s="17" t="b">
        <f>I2</f>
        <v>1</v>
      </c>
      <c r="J37" s="20"/>
      <c r="K37" s="17"/>
      <c r="L37" s="20" t="b">
        <f>L2</f>
        <v>0</v>
      </c>
      <c r="M37" s="20" t="b">
        <f>M2</f>
        <v>0</v>
      </c>
      <c r="N37" s="20"/>
      <c r="O37" s="17" t="b">
        <f>O2</f>
        <v>1</v>
      </c>
      <c r="P37" s="17" t="b">
        <f>P3</f>
        <v>1</v>
      </c>
      <c r="Q37" s="17" t="b">
        <f>Q5</f>
        <v>1</v>
      </c>
      <c r="R37" s="17" t="b">
        <f>R2</f>
        <v>1</v>
      </c>
      <c r="S37" t="b">
        <f>AND(Table19[[#This Row],[Non-comedogenic]:[Mineral]],Table19[[#This Row],[Spray/Whip/Oil]:[Oxy/Avobenzone]],OR(Table19[[#This Row],[Low SPF]:[High SPF]]),OR(Table19[[#This Row],[Face/Lips]:[Body]]))</f>
        <v>0</v>
      </c>
      <c r="T37" s="29" t="s">
        <v>841</v>
      </c>
    </row>
    <row r="38" spans="1:20">
      <c r="A38" t="b">
        <f>IF(Table19[[#This Row],[Column2]],Table19[[#This Row],[Column13]])</f>
        <v>0</v>
      </c>
      <c r="B38" s="17"/>
      <c r="C38" s="20" t="b">
        <f>C2</f>
        <v>0</v>
      </c>
      <c r="D38" s="17"/>
      <c r="E38" s="20" t="b">
        <f>E7</f>
        <v>0</v>
      </c>
      <c r="F38" s="17"/>
      <c r="G38" s="17"/>
      <c r="H38" s="20" t="b">
        <f>H2</f>
        <v>0</v>
      </c>
      <c r="I38" s="17" t="b">
        <f>I2</f>
        <v>1</v>
      </c>
      <c r="J38" s="20"/>
      <c r="K38" s="17"/>
      <c r="L38" s="20" t="b">
        <f>L2</f>
        <v>0</v>
      </c>
      <c r="M38" s="20" t="b">
        <f>M2</f>
        <v>0</v>
      </c>
      <c r="N38" s="17" t="b">
        <f>N7</f>
        <v>1</v>
      </c>
      <c r="O38" s="17" t="b">
        <f>O2</f>
        <v>1</v>
      </c>
      <c r="P38" s="17" t="b">
        <f>P3</f>
        <v>1</v>
      </c>
      <c r="Q38" s="20"/>
      <c r="R38" s="17" t="b">
        <f>R2</f>
        <v>1</v>
      </c>
      <c r="S38" t="b">
        <f>AND(Table19[[#This Row],[Non-comedogenic]:[Mineral]],Table19[[#This Row],[Spray/Whip/Oil]:[Oxy/Avobenzone]],OR(Table19[[#This Row],[Low SPF]:[High SPF]]),OR(Table19[[#This Row],[Face/Lips]:[Body]]))</f>
        <v>0</v>
      </c>
      <c r="T38" s="29" t="s">
        <v>842</v>
      </c>
    </row>
    <row r="39" spans="1:20">
      <c r="A39" t="b">
        <f>IF(Table19[[#This Row],[Column2]],Table19[[#This Row],[Column13]])</f>
        <v>0</v>
      </c>
      <c r="B39" s="17"/>
      <c r="C39" s="20" t="b">
        <f>C2</f>
        <v>0</v>
      </c>
      <c r="D39" s="17"/>
      <c r="E39" s="17"/>
      <c r="F39" s="17"/>
      <c r="G39" s="20" t="b">
        <f>G2</f>
        <v>0</v>
      </c>
      <c r="H39" s="20" t="b">
        <f>H2</f>
        <v>0</v>
      </c>
      <c r="I39" s="17" t="b">
        <f>I2</f>
        <v>1</v>
      </c>
      <c r="J39" s="20"/>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9" t="s">
        <v>843</v>
      </c>
    </row>
    <row r="40" spans="1:20">
      <c r="A40" t="b">
        <f>IF(Table19[[#This Row],[Column2]],Table19[[#This Row],[Column13]])</f>
        <v>0</v>
      </c>
      <c r="B40" s="17"/>
      <c r="C40" s="20" t="b">
        <f>C2</f>
        <v>0</v>
      </c>
      <c r="D40" s="17"/>
      <c r="E40" s="17"/>
      <c r="F40" s="17"/>
      <c r="G40" s="20" t="b">
        <f>G2</f>
        <v>0</v>
      </c>
      <c r="H40" s="20" t="b">
        <f>H2</f>
        <v>0</v>
      </c>
      <c r="I40" s="17" t="b">
        <f>I2</f>
        <v>1</v>
      </c>
      <c r="J40" s="20"/>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9" t="s">
        <v>844</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c r="O41" s="17" t="b">
        <f>O2</f>
        <v>1</v>
      </c>
      <c r="P41" s="17" t="b">
        <f>P3</f>
        <v>1</v>
      </c>
      <c r="Q41" s="20"/>
      <c r="R41" s="17" t="b">
        <f>R2</f>
        <v>1</v>
      </c>
      <c r="S41" t="b">
        <f>AND(Table19[[#This Row],[Non-comedogenic]:[Mineral]],Table19[[#This Row],[Spray/Whip/Oil]:[Oxy/Avobenzone]],OR(Table19[[#This Row],[Low SPF]:[High SPF]]),OR(Table19[[#This Row],[Face/Lips]:[Body]]))</f>
        <v>0</v>
      </c>
      <c r="T41" s="29" t="s">
        <v>845</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9" t="s">
        <v>846</v>
      </c>
    </row>
    <row r="43" spans="1:20">
      <c r="A43" t="b">
        <f>IF(Table19[[#This Row],[Column2]],Table19[[#This Row],[Column13]])</f>
        <v>0</v>
      </c>
      <c r="B43" s="20" t="b">
        <f>B25</f>
        <v>0</v>
      </c>
      <c r="C43" s="20" t="b">
        <f>C2</f>
        <v>0</v>
      </c>
      <c r="D43" s="17"/>
      <c r="E43" s="17"/>
      <c r="F43" s="17"/>
      <c r="G43" s="20" t="b">
        <f>G2</f>
        <v>0</v>
      </c>
      <c r="H43" s="20" t="b">
        <f>H2</f>
        <v>0</v>
      </c>
      <c r="I43" s="17" t="b">
        <f>I2</f>
        <v>1</v>
      </c>
      <c r="J43" s="20"/>
      <c r="K43" s="17"/>
      <c r="L43" s="20" t="b">
        <f>L2</f>
        <v>0</v>
      </c>
      <c r="M43" s="20" t="b">
        <f>M2</f>
        <v>0</v>
      </c>
      <c r="N43" s="17" t="b">
        <f>N7</f>
        <v>1</v>
      </c>
      <c r="O43" s="17" t="b">
        <f>O2</f>
        <v>1</v>
      </c>
      <c r="P43" s="17" t="b">
        <f>P3</f>
        <v>1</v>
      </c>
      <c r="Q43" s="20"/>
      <c r="R43" s="17" t="b">
        <f>R2</f>
        <v>1</v>
      </c>
      <c r="S43" t="b">
        <f>AND(Table19[[#This Row],[Non-comedogenic]:[Mineral]],Table19[[#This Row],[Spray/Whip/Oil]:[Oxy/Avobenzone]],OR(Table19[[#This Row],[Low SPF]:[High SPF]]),OR(Table19[[#This Row],[Face/Lips]:[Body]]))</f>
        <v>0</v>
      </c>
      <c r="T43" s="29" t="s">
        <v>847</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9" t="s">
        <v>848</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9" t="s">
        <v>849</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9" t="s">
        <v>850</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16"/>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c r="O48" s="17" t="b">
        <f>O2</f>
        <v>1</v>
      </c>
      <c r="P48" s="17" t="b">
        <f>P3</f>
        <v>1</v>
      </c>
      <c r="Q48" s="20"/>
      <c r="R48" s="20"/>
      <c r="S48" t="b">
        <f>AND(Table19[[#This Row],[Non-comedogenic]:[Mineral]],Table19[[#This Row],[Spray/Whip/Oil]:[Oxy/Avobenzone]],OR(Table19[[#This Row],[Low SPF]:[High SPF]]),OR(Table19[[#This Row],[Face/Lips]:[Body]]))</f>
        <v>0</v>
      </c>
      <c r="T48" s="28" t="s">
        <v>851</v>
      </c>
    </row>
    <row r="49" spans="1:20">
      <c r="A49" t="b">
        <f>IF(Table19[[#This Row],[Column2]],Table19[[#This Row],[Column13]])</f>
        <v>0</v>
      </c>
      <c r="B49" s="17"/>
      <c r="C49" s="20" t="b">
        <f>C2</f>
        <v>0</v>
      </c>
      <c r="D49" s="17"/>
      <c r="E49" s="17"/>
      <c r="F49" s="17"/>
      <c r="G49" s="20" t="b">
        <f>G2</f>
        <v>0</v>
      </c>
      <c r="H49" s="20" t="b">
        <f>H2</f>
        <v>0</v>
      </c>
      <c r="I49" s="17" t="b">
        <f>I2</f>
        <v>1</v>
      </c>
      <c r="J49" s="20"/>
      <c r="K49" s="17"/>
      <c r="L49" s="20" t="b">
        <f>L2</f>
        <v>0</v>
      </c>
      <c r="M49" s="17"/>
      <c r="N49" s="17" t="b">
        <f>N7</f>
        <v>1</v>
      </c>
      <c r="O49" s="17" t="b">
        <f>O2</f>
        <v>1</v>
      </c>
      <c r="P49" s="17" t="b">
        <f>P3</f>
        <v>1</v>
      </c>
      <c r="Q49" s="20"/>
      <c r="R49" s="20"/>
      <c r="S49" t="b">
        <f>AND(Table19[[#This Row],[Non-comedogenic]:[Mineral]],Table19[[#This Row],[Spray/Whip/Oil]:[Oxy/Avobenzone]],OR(Table19[[#This Row],[Low SPF]:[High SPF]]),OR(Table19[[#This Row],[Face/Lips]:[Body]]))</f>
        <v>0</v>
      </c>
      <c r="T49" s="28" t="s">
        <v>852</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c r="K50" s="20" t="b">
        <f t="shared" si="6"/>
        <v>1</v>
      </c>
      <c r="L50" s="20" t="b">
        <f t="shared" si="6"/>
        <v>0</v>
      </c>
      <c r="M50" s="20" t="b">
        <f t="shared" si="6"/>
        <v>0</v>
      </c>
      <c r="N50" s="20"/>
      <c r="O50" s="17" t="b">
        <f t="shared" si="6"/>
        <v>1</v>
      </c>
      <c r="P50" s="17" t="b">
        <f>P3</f>
        <v>1</v>
      </c>
      <c r="Q50" s="20"/>
      <c r="R50" s="17" t="b">
        <f>R2</f>
        <v>1</v>
      </c>
      <c r="S50" t="b">
        <f>AND(Table19[[#This Row],[Non-comedogenic]:[Mineral]],Table19[[#This Row],[Spray/Whip/Oil]:[Oxy/Avobenzone]],OR(Table19[[#This Row],[Low SPF]:[High SPF]]),OR(Table19[[#This Row],[Face/Lips]:[Body]]))</f>
        <v>0</v>
      </c>
      <c r="T50" s="28" t="s">
        <v>853</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c r="O51" s="17" t="b">
        <f>O2</f>
        <v>1</v>
      </c>
      <c r="P51" s="17" t="b">
        <f>P3</f>
        <v>1</v>
      </c>
      <c r="Q51" s="20"/>
      <c r="R51" s="17" t="b">
        <f>R2</f>
        <v>1</v>
      </c>
      <c r="S51" t="b">
        <f>AND(Table19[[#This Row],[Non-comedogenic]:[Mineral]],Table19[[#This Row],[Spray/Whip/Oil]:[Oxy/Avobenzone]],OR(Table19[[#This Row],[Low SPF]:[High SPF]]),OR(Table19[[#This Row],[Face/Lips]:[Body]]))</f>
        <v>0</v>
      </c>
      <c r="T51" s="28" t="s">
        <v>854</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c r="O52" s="17" t="b">
        <f>O2</f>
        <v>1</v>
      </c>
      <c r="P52" s="17" t="b">
        <f>P3</f>
        <v>1</v>
      </c>
      <c r="Q52" s="20"/>
      <c r="R52" s="17" t="b">
        <f>R2</f>
        <v>1</v>
      </c>
      <c r="S52" t="b">
        <f>AND(Table19[[#This Row],[Non-comedogenic]:[Mineral]],Table19[[#This Row],[Spray/Whip/Oil]:[Oxy/Avobenzone]],OR(Table19[[#This Row],[Low SPF]:[High SPF]]),OR(Table19[[#This Row],[Face/Lips]:[Body]]))</f>
        <v>0</v>
      </c>
      <c r="T52" s="28" t="s">
        <v>855</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c r="O53" s="17" t="b">
        <f>O2</f>
        <v>1</v>
      </c>
      <c r="P53" s="17" t="b">
        <f>P3</f>
        <v>1</v>
      </c>
      <c r="Q53" s="20"/>
      <c r="R53" s="17" t="b">
        <f>R2</f>
        <v>1</v>
      </c>
      <c r="S53" t="b">
        <f>AND(Table19[[#This Row],[Non-comedogenic]:[Mineral]],Table19[[#This Row],[Spray/Whip/Oil]:[Oxy/Avobenzone]],OR(Table19[[#This Row],[Low SPF]:[High SPF]]),OR(Table19[[#This Row],[Face/Lips]:[Body]]))</f>
        <v>0</v>
      </c>
      <c r="T53" s="28" t="s">
        <v>855</v>
      </c>
    </row>
    <row r="54" spans="1:20">
      <c r="A54" t="b">
        <f>IF(Table19[[#This Row],[Column2]],Table19[[#This Row],[Column13]])</f>
        <v>0</v>
      </c>
      <c r="B54" s="17"/>
      <c r="C54" s="20" t="b">
        <f>C2</f>
        <v>0</v>
      </c>
      <c r="D54" s="17"/>
      <c r="E54" s="17"/>
      <c r="F54" s="17"/>
      <c r="G54" s="20" t="b">
        <f>G2</f>
        <v>0</v>
      </c>
      <c r="H54" s="17" t="b">
        <f>H45</f>
        <v>1</v>
      </c>
      <c r="I54" s="20"/>
      <c r="J54" s="17" t="b">
        <f>J10</f>
        <v>1</v>
      </c>
      <c r="K54" s="17"/>
      <c r="L54" s="20" t="b">
        <f>L2</f>
        <v>0</v>
      </c>
      <c r="M54" s="20" t="b">
        <f>M2</f>
        <v>0</v>
      </c>
      <c r="N54" s="17" t="b">
        <f>N7</f>
        <v>1</v>
      </c>
      <c r="O54" s="17" t="b">
        <f>O2</f>
        <v>1</v>
      </c>
      <c r="P54" s="17" t="b">
        <f>P3</f>
        <v>1</v>
      </c>
      <c r="Q54" s="17" t="b">
        <f>Q5</f>
        <v>1</v>
      </c>
      <c r="R54" s="20"/>
      <c r="S54" t="b">
        <f>AND(Table19[[#This Row],[Non-comedogenic]:[Mineral]],Table19[[#This Row],[Spray/Whip/Oil]:[Oxy/Avobenzone]],OR(Table19[[#This Row],[Low SPF]:[High SPF]]),OR(Table19[[#This Row],[Face/Lips]:[Body]]))</f>
        <v>0</v>
      </c>
      <c r="T54" s="28" t="s">
        <v>856</v>
      </c>
    </row>
    <row r="55" spans="1:20">
      <c r="A55" t="b">
        <f>IF(Table19[[#This Row],[Column2]],Table19[[#This Row],[Column13]])</f>
        <v>0</v>
      </c>
      <c r="B55" s="17"/>
      <c r="C55" s="20" t="b">
        <f>C2</f>
        <v>0</v>
      </c>
      <c r="D55" s="17"/>
      <c r="E55" s="17"/>
      <c r="F55" s="20" t="b">
        <f>F4</f>
        <v>0</v>
      </c>
      <c r="G55" s="17"/>
      <c r="H55" s="17" t="b">
        <f>H45</f>
        <v>1</v>
      </c>
      <c r="I55" s="20"/>
      <c r="J55" s="17" t="b">
        <f>J10</f>
        <v>1</v>
      </c>
      <c r="K55" s="17"/>
      <c r="L55" s="20" t="b">
        <f>L2</f>
        <v>0</v>
      </c>
      <c r="M55" s="17"/>
      <c r="N55" s="17" t="b">
        <f>N7</f>
        <v>1</v>
      </c>
      <c r="O55" s="17" t="b">
        <f>O2</f>
        <v>1</v>
      </c>
      <c r="P55" s="17" t="b">
        <f>P3</f>
        <v>1</v>
      </c>
      <c r="Q55" s="17" t="b">
        <f>Q5</f>
        <v>1</v>
      </c>
      <c r="R55" s="20"/>
      <c r="S55" t="b">
        <f>AND(Table19[[#This Row],[Non-comedogenic]:[Mineral]],Table19[[#This Row],[Spray/Whip/Oil]:[Oxy/Avobenzone]],OR(Table19[[#This Row],[Low SPF]:[High SPF]]),OR(Table19[[#This Row],[Face/Lips]:[Body]]))</f>
        <v>0</v>
      </c>
      <c r="T55" s="28" t="s">
        <v>857</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16"/>
    </row>
    <row r="57" spans="1:20">
      <c r="A57" t="b">
        <f>IF(Table19[[#This Row],[Column2]],Table19[[#This Row],[Column13]])</f>
        <v>0</v>
      </c>
      <c r="B57" s="17"/>
      <c r="C57" s="20" t="b">
        <f>C2</f>
        <v>0</v>
      </c>
      <c r="D57" s="17"/>
      <c r="E57" s="17"/>
      <c r="F57" s="20" t="b">
        <f>F4</f>
        <v>0</v>
      </c>
      <c r="G57" s="17"/>
      <c r="H57" s="20" t="b">
        <f>H2</f>
        <v>0</v>
      </c>
      <c r="I57" s="20"/>
      <c r="J57" s="20"/>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9" t="s">
        <v>858</v>
      </c>
    </row>
    <row r="58" spans="1:20">
      <c r="A58" t="b">
        <f>IF(Table19[[#This Row],[Column2]],Table19[[#This Row],[Column13]])</f>
        <v>0</v>
      </c>
      <c r="B58" s="17"/>
      <c r="C58" s="20" t="b">
        <f>C2</f>
        <v>0</v>
      </c>
      <c r="D58" s="17"/>
      <c r="E58" s="17"/>
      <c r="F58" s="17"/>
      <c r="G58" s="20" t="b">
        <f>G2</f>
        <v>0</v>
      </c>
      <c r="H58" s="20" t="b">
        <f>H2</f>
        <v>0</v>
      </c>
      <c r="I58" s="20"/>
      <c r="J58" s="20"/>
      <c r="K58" s="17"/>
      <c r="L58" s="20" t="b">
        <f>L2</f>
        <v>0</v>
      </c>
      <c r="M58" s="20" t="b">
        <f>M2</f>
        <v>0</v>
      </c>
      <c r="N58" s="17" t="b">
        <f>N7</f>
        <v>1</v>
      </c>
      <c r="O58" s="17" t="b">
        <f>O2</f>
        <v>1</v>
      </c>
      <c r="P58" s="20"/>
      <c r="Q58" s="20"/>
      <c r="R58" s="17" t="b">
        <f>R2</f>
        <v>1</v>
      </c>
      <c r="S58" t="b">
        <f>AND(Table19[[#This Row],[Non-comedogenic]:[Mineral]],Table19[[#This Row],[Spray/Whip/Oil]:[Oxy/Avobenzone]],OR(Table19[[#This Row],[Low SPF]:[High SPF]]),OR(Table19[[#This Row],[Face/Lips]:[Body]]))</f>
        <v>0</v>
      </c>
      <c r="T58" s="29" t="s">
        <v>859</v>
      </c>
    </row>
    <row r="59" spans="1:20">
      <c r="A59" t="b">
        <f>IF(Table19[[#This Row],[Column2]],Table19[[#This Row],[Column13]])</f>
        <v>0</v>
      </c>
      <c r="B59" s="17"/>
      <c r="C59" s="20" t="b">
        <f>C2</f>
        <v>0</v>
      </c>
      <c r="D59" s="17"/>
      <c r="E59" s="20" t="b">
        <f>E7</f>
        <v>0</v>
      </c>
      <c r="F59" s="17"/>
      <c r="G59" s="17"/>
      <c r="H59" s="20" t="b">
        <f>H2</f>
        <v>0</v>
      </c>
      <c r="I59" s="20"/>
      <c r="J59" s="20"/>
      <c r="K59" s="17"/>
      <c r="L59" s="20" t="b">
        <f>L2</f>
        <v>0</v>
      </c>
      <c r="M59" s="20" t="b">
        <f>M2</f>
        <v>0</v>
      </c>
      <c r="N59" s="17" t="b">
        <f>N7</f>
        <v>1</v>
      </c>
      <c r="O59" s="17" t="b">
        <f>O2</f>
        <v>1</v>
      </c>
      <c r="P59" s="20"/>
      <c r="Q59" s="20"/>
      <c r="R59" s="17" t="b">
        <f>R2</f>
        <v>1</v>
      </c>
      <c r="S59" t="b">
        <f>AND(Table19[[#This Row],[Non-comedogenic]:[Mineral]],Table19[[#This Row],[Spray/Whip/Oil]:[Oxy/Avobenzone]],OR(Table19[[#This Row],[Low SPF]:[High SPF]]),OR(Table19[[#This Row],[Face/Lips]:[Body]]))</f>
        <v>0</v>
      </c>
      <c r="T59" s="29" t="s">
        <v>860</v>
      </c>
    </row>
    <row r="60" spans="1:20">
      <c r="A60" t="b">
        <f>IF(Table19[[#This Row],[Column2]],Table19[[#This Row],[Column13]])</f>
        <v>0</v>
      </c>
      <c r="B60" s="17"/>
      <c r="C60" s="20" t="b">
        <f>C2</f>
        <v>0</v>
      </c>
      <c r="D60" s="17"/>
      <c r="E60" s="17"/>
      <c r="F60" s="17"/>
      <c r="G60" s="20" t="b">
        <f>G2</f>
        <v>0</v>
      </c>
      <c r="H60" s="20" t="b">
        <f>H2</f>
        <v>0</v>
      </c>
      <c r="I60" s="20"/>
      <c r="J60" s="20"/>
      <c r="K60" s="17"/>
      <c r="L60" s="20" t="b">
        <f>L2</f>
        <v>0</v>
      </c>
      <c r="M60" s="20" t="b">
        <f>M2</f>
        <v>0</v>
      </c>
      <c r="N60" s="17" t="b">
        <f>N7</f>
        <v>1</v>
      </c>
      <c r="O60" s="17" t="b">
        <f>O2</f>
        <v>1</v>
      </c>
      <c r="P60" s="20"/>
      <c r="Q60" s="20"/>
      <c r="R60" s="17" t="b">
        <f>R2</f>
        <v>1</v>
      </c>
      <c r="S60" t="b">
        <f>AND(Table19[[#This Row],[Non-comedogenic]:[Mineral]],Table19[[#This Row],[Spray/Whip/Oil]:[Oxy/Avobenzone]],OR(Table19[[#This Row],[Low SPF]:[High SPF]]),OR(Table19[[#This Row],[Face/Lips]:[Body]]))</f>
        <v>0</v>
      </c>
      <c r="T60" s="29" t="s">
        <v>861</v>
      </c>
    </row>
    <row r="61" spans="1:20">
      <c r="A61" t="b">
        <f>IF(Table19[[#This Row],[Column2]],Table19[[#This Row],[Column13]])</f>
        <v>0</v>
      </c>
      <c r="B61" s="17"/>
      <c r="C61" s="17"/>
      <c r="D61" s="20" t="b">
        <f>D2</f>
        <v>0</v>
      </c>
      <c r="E61" s="17"/>
      <c r="F61" s="17"/>
      <c r="G61" s="20" t="b">
        <f>G2</f>
        <v>0</v>
      </c>
      <c r="H61" s="20" t="b">
        <f>H2</f>
        <v>0</v>
      </c>
      <c r="I61" s="20"/>
      <c r="J61" s="20"/>
      <c r="K61" s="17"/>
      <c r="L61" s="20" t="b">
        <f>L2</f>
        <v>0</v>
      </c>
      <c r="M61" s="20" t="b">
        <f>M2</f>
        <v>0</v>
      </c>
      <c r="N61" s="17" t="b">
        <f>N7</f>
        <v>1</v>
      </c>
      <c r="O61" s="17" t="b">
        <f>O2</f>
        <v>1</v>
      </c>
      <c r="P61" s="20"/>
      <c r="Q61" s="17" t="b">
        <f>Q5</f>
        <v>1</v>
      </c>
      <c r="R61" s="17" t="b">
        <f>R2</f>
        <v>1</v>
      </c>
      <c r="S61" t="b">
        <f>AND(Table19[[#This Row],[Non-comedogenic]:[Mineral]],Table19[[#This Row],[Spray/Whip/Oil]:[Oxy/Avobenzone]],OR(Table19[[#This Row],[Low SPF]:[High SPF]]),OR(Table19[[#This Row],[Face/Lips]:[Body]]))</f>
        <v>0</v>
      </c>
      <c r="T61" s="29" t="s">
        <v>862</v>
      </c>
    </row>
    <row r="62" spans="1:20">
      <c r="A62" t="b">
        <f>IF(Table19[[#This Row],[Column2]],Table19[[#This Row],[Column13]])</f>
        <v>0</v>
      </c>
      <c r="B62" s="17"/>
      <c r="C62" s="20" t="b">
        <f>C2</f>
        <v>0</v>
      </c>
      <c r="D62" s="17"/>
      <c r="E62" s="20" t="b">
        <f>E7</f>
        <v>0</v>
      </c>
      <c r="F62" s="17"/>
      <c r="G62" s="17"/>
      <c r="H62" s="20" t="b">
        <f>H2</f>
        <v>0</v>
      </c>
      <c r="I62" s="20"/>
      <c r="J62" s="20"/>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9" t="s">
        <v>863</v>
      </c>
    </row>
    <row r="63" spans="1:20">
      <c r="A63" t="b">
        <f>IF(Table19[[#This Row],[Column2]],Table19[[#This Row],[Column13]])</f>
        <v>0</v>
      </c>
      <c r="B63" s="17"/>
      <c r="C63" s="20" t="b">
        <f>C2</f>
        <v>0</v>
      </c>
      <c r="D63" s="17"/>
      <c r="E63" s="20" t="b">
        <f>E7</f>
        <v>0</v>
      </c>
      <c r="F63" s="17"/>
      <c r="G63" s="17"/>
      <c r="H63" s="20" t="b">
        <f>H2</f>
        <v>0</v>
      </c>
      <c r="I63" s="20"/>
      <c r="J63" s="20"/>
      <c r="K63" s="17"/>
      <c r="L63" s="20" t="b">
        <f>L2</f>
        <v>0</v>
      </c>
      <c r="M63" s="20" t="b">
        <f>M2</f>
        <v>0</v>
      </c>
      <c r="N63" s="17" t="b">
        <f>N7</f>
        <v>1</v>
      </c>
      <c r="O63" s="20"/>
      <c r="P63" s="17" t="b">
        <f>P3</f>
        <v>1</v>
      </c>
      <c r="Q63" s="17" t="b">
        <f>Q5</f>
        <v>1</v>
      </c>
      <c r="R63" s="17" t="b">
        <f>R2</f>
        <v>1</v>
      </c>
      <c r="S63" t="b">
        <f>AND(Table19[[#This Row],[Non-comedogenic]:[Mineral]],Table19[[#This Row],[Spray/Whip/Oil]:[Oxy/Avobenzone]],OR(Table19[[#This Row],[Low SPF]:[High SPF]]),OR(Table19[[#This Row],[Face/Lips]:[Body]]))</f>
        <v>0</v>
      </c>
      <c r="T63" s="29" t="s">
        <v>864</v>
      </c>
    </row>
    <row r="64" spans="1:20">
      <c r="A64" t="b">
        <f>IF(Table19[[#This Row],[Column2]],Table19[[#This Row],[Column13]])</f>
        <v>0</v>
      </c>
      <c r="B64" s="17"/>
      <c r="C64" s="20" t="b">
        <f>C2</f>
        <v>0</v>
      </c>
      <c r="D64" s="17"/>
      <c r="E64" s="17"/>
      <c r="F64" s="20" t="b">
        <f>F4</f>
        <v>0</v>
      </c>
      <c r="G64" s="17"/>
      <c r="H64" s="20" t="b">
        <f>H2</f>
        <v>0</v>
      </c>
      <c r="I64" s="17" t="b">
        <f>I2</f>
        <v>1</v>
      </c>
      <c r="J64" s="20"/>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9" t="s">
        <v>865</v>
      </c>
    </row>
    <row r="65" spans="1:20">
      <c r="A65" t="b">
        <f>IF(Table19[[#This Row],[Column2]],Table19[[#This Row],[Column13]])</f>
        <v>0</v>
      </c>
      <c r="B65" s="17"/>
      <c r="C65" s="20" t="b">
        <f>C2</f>
        <v>0</v>
      </c>
      <c r="D65" s="17"/>
      <c r="E65" s="17"/>
      <c r="F65" s="17"/>
      <c r="G65" s="20" t="b">
        <f>G2</f>
        <v>0</v>
      </c>
      <c r="H65" s="20" t="b">
        <f>H2</f>
        <v>0</v>
      </c>
      <c r="I65" s="17" t="b">
        <f>I2</f>
        <v>1</v>
      </c>
      <c r="J65" s="20"/>
      <c r="K65" s="17"/>
      <c r="L65" s="20" t="b">
        <f>L2</f>
        <v>0</v>
      </c>
      <c r="M65" s="20" t="b">
        <f>M2</f>
        <v>0</v>
      </c>
      <c r="N65" s="17" t="b">
        <f>N7</f>
        <v>1</v>
      </c>
      <c r="O65" s="17" t="b">
        <f>O2</f>
        <v>1</v>
      </c>
      <c r="P65" s="20"/>
      <c r="Q65" s="20"/>
      <c r="R65" s="17" t="b">
        <f>R2</f>
        <v>1</v>
      </c>
      <c r="S65" t="b">
        <f>AND(Table19[[#This Row],[Non-comedogenic]:[Mineral]],Table19[[#This Row],[Spray/Whip/Oil]:[Oxy/Avobenzone]],OR(Table19[[#This Row],[Low SPF]:[High SPF]]),OR(Table19[[#This Row],[Face/Lips]:[Body]]))</f>
        <v>0</v>
      </c>
      <c r="T65" s="29" t="s">
        <v>866</v>
      </c>
    </row>
    <row r="66" spans="1:20">
      <c r="A66" t="b">
        <f>IF(Table19[[#This Row],[Column2]],Table19[[#This Row],[Column13]])</f>
        <v>0</v>
      </c>
      <c r="B66" s="17"/>
      <c r="C66" s="20" t="b">
        <f>C2</f>
        <v>0</v>
      </c>
      <c r="D66" s="17"/>
      <c r="E66" s="20" t="b">
        <f>E7</f>
        <v>0</v>
      </c>
      <c r="F66" s="17"/>
      <c r="G66" s="17"/>
      <c r="H66" s="20" t="b">
        <f>H2</f>
        <v>0</v>
      </c>
      <c r="I66" s="17" t="b">
        <f>I2</f>
        <v>1</v>
      </c>
      <c r="J66" s="20"/>
      <c r="K66" s="17"/>
      <c r="L66" s="20" t="b">
        <f>L2</f>
        <v>0</v>
      </c>
      <c r="M66" s="20" t="b">
        <f>M2</f>
        <v>0</v>
      </c>
      <c r="N66" s="17" t="b">
        <f>N7</f>
        <v>1</v>
      </c>
      <c r="O66" s="17" t="b">
        <f>O2</f>
        <v>1</v>
      </c>
      <c r="P66" s="20"/>
      <c r="Q66" s="20"/>
      <c r="R66" s="17" t="b">
        <f>R2</f>
        <v>1</v>
      </c>
      <c r="S66" t="b">
        <f>AND(Table19[[#This Row],[Non-comedogenic]:[Mineral]],Table19[[#This Row],[Spray/Whip/Oil]:[Oxy/Avobenzone]],OR(Table19[[#This Row],[Low SPF]:[High SPF]]),OR(Table19[[#This Row],[Face/Lips]:[Body]]))</f>
        <v>0</v>
      </c>
      <c r="T66" s="29" t="s">
        <v>867</v>
      </c>
    </row>
    <row r="67" spans="1:20">
      <c r="A67" t="b">
        <f>IF(Table19[[#This Row],[Column2]],Table19[[#This Row],[Column13]])</f>
        <v>0</v>
      </c>
      <c r="B67" s="17"/>
      <c r="C67" s="20" t="b">
        <f>C2</f>
        <v>0</v>
      </c>
      <c r="D67" s="20" t="b">
        <f>D2</f>
        <v>0</v>
      </c>
      <c r="E67" s="17"/>
      <c r="F67" s="17"/>
      <c r="G67" s="20" t="b">
        <f>G2</f>
        <v>0</v>
      </c>
      <c r="H67" s="20" t="b">
        <f>H2</f>
        <v>0</v>
      </c>
      <c r="I67" s="17" t="b">
        <f>I2</f>
        <v>1</v>
      </c>
      <c r="J67" s="20"/>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9" t="s">
        <v>868</v>
      </c>
    </row>
    <row r="68" spans="1:20">
      <c r="A68" t="b">
        <f>IF(Table19[[#This Row],[Column2]],Table19[[#This Row],[Column13]])</f>
        <v>0</v>
      </c>
      <c r="B68" s="17"/>
      <c r="C68" s="20" t="b">
        <f>C2</f>
        <v>0</v>
      </c>
      <c r="D68" s="17"/>
      <c r="E68" s="20" t="b">
        <f>E7</f>
        <v>0</v>
      </c>
      <c r="F68" s="17"/>
      <c r="G68" s="17"/>
      <c r="H68" s="20" t="b">
        <f>H2</f>
        <v>0</v>
      </c>
      <c r="I68" s="17" t="b">
        <f>I2</f>
        <v>1</v>
      </c>
      <c r="J68" s="20"/>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9" t="s">
        <v>869</v>
      </c>
    </row>
    <row r="69" spans="1:20">
      <c r="A69" t="b">
        <f>IF(Table19[[#This Row],[Column2]],Table19[[#This Row],[Column13]])</f>
        <v>0</v>
      </c>
      <c r="B69" s="17"/>
      <c r="C69" s="20" t="b">
        <f>C2</f>
        <v>0</v>
      </c>
      <c r="D69" s="17"/>
      <c r="E69" s="20" t="b">
        <f>E7</f>
        <v>0</v>
      </c>
      <c r="F69" s="17"/>
      <c r="G69" s="17"/>
      <c r="H69" s="20" t="b">
        <f>H2</f>
        <v>0</v>
      </c>
      <c r="I69" s="17" t="b">
        <f>I2</f>
        <v>1</v>
      </c>
      <c r="J69" s="20"/>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9" t="s">
        <v>870</v>
      </c>
    </row>
    <row r="70" spans="1:20">
      <c r="A70" t="b">
        <f>IF(Table19[[#This Row],[Column2]],Table19[[#This Row],[Column13]])</f>
        <v>0</v>
      </c>
      <c r="B70" s="17"/>
      <c r="C70" s="20" t="b">
        <f>C2</f>
        <v>0</v>
      </c>
      <c r="D70" s="17"/>
      <c r="E70" s="17"/>
      <c r="F70" s="17"/>
      <c r="G70" s="20" t="b">
        <f>G2</f>
        <v>0</v>
      </c>
      <c r="H70" s="20" t="b">
        <f>H2</f>
        <v>0</v>
      </c>
      <c r="I70" s="17" t="b">
        <f>I2</f>
        <v>1</v>
      </c>
      <c r="J70" s="20"/>
      <c r="K70" s="17"/>
      <c r="L70" s="20" t="b">
        <f>L2</f>
        <v>0</v>
      </c>
      <c r="M70" s="20" t="b">
        <f>M2</f>
        <v>0</v>
      </c>
      <c r="N70" s="17" t="b">
        <f>N7</f>
        <v>1</v>
      </c>
      <c r="O70" s="20"/>
      <c r="P70" s="20"/>
      <c r="Q70" s="20"/>
      <c r="R70" s="20"/>
      <c r="S70" t="b">
        <f>AND(Table19[[#This Row],[Non-comedogenic]:[Mineral]],Table19[[#This Row],[Spray/Whip/Oil]:[Oxy/Avobenzone]],OR(Table19[[#This Row],[Low SPF]:[High SPF]]),OR(Table19[[#This Row],[Face/Lips]:[Body]]))</f>
        <v>0</v>
      </c>
      <c r="T70" s="29" t="s">
        <v>871</v>
      </c>
    </row>
    <row r="71" spans="1:20">
      <c r="A71" t="b">
        <f>IF(Table19[[#This Row],[Column2]],Table19[[#This Row],[Column13]])</f>
        <v>0</v>
      </c>
      <c r="B71" s="17"/>
      <c r="C71" s="20" t="b">
        <f>C2</f>
        <v>0</v>
      </c>
      <c r="D71" s="17"/>
      <c r="E71" s="17"/>
      <c r="F71" s="17"/>
      <c r="G71" s="20" t="b">
        <f>G2</f>
        <v>0</v>
      </c>
      <c r="H71" s="20" t="b">
        <f>H2</f>
        <v>0</v>
      </c>
      <c r="I71" s="17" t="b">
        <f>I2</f>
        <v>1</v>
      </c>
      <c r="J71" s="20"/>
      <c r="K71" s="17"/>
      <c r="L71" s="20" t="b">
        <f>L2</f>
        <v>0</v>
      </c>
      <c r="M71" s="17"/>
      <c r="N71" s="17" t="b">
        <f>N7</f>
        <v>1</v>
      </c>
      <c r="O71" s="20"/>
      <c r="P71" s="20"/>
      <c r="Q71" s="20"/>
      <c r="R71" s="20"/>
      <c r="S71" t="b">
        <f>AND(Table19[[#This Row],[Non-comedogenic]:[Mineral]],Table19[[#This Row],[Spray/Whip/Oil]:[Oxy/Avobenzone]],OR(Table19[[#This Row],[Low SPF]:[High SPF]]),OR(Table19[[#This Row],[Face/Lips]:[Body]]))</f>
        <v>0</v>
      </c>
      <c r="T71" s="29" t="s">
        <v>872</v>
      </c>
    </row>
    <row r="72" spans="1:20">
      <c r="A72" t="b">
        <f>IF(Table19[[#This Row],[Column2]],Table19[[#This Row],[Column13]])</f>
        <v>0</v>
      </c>
      <c r="B72" s="17"/>
      <c r="C72" s="20" t="b">
        <f>C2</f>
        <v>0</v>
      </c>
      <c r="D72" s="17"/>
      <c r="E72" s="17"/>
      <c r="F72" s="17"/>
      <c r="G72" s="20" t="b">
        <f>G2</f>
        <v>0</v>
      </c>
      <c r="H72" s="20" t="b">
        <f>H2</f>
        <v>0</v>
      </c>
      <c r="I72" s="17" t="b">
        <f>I2</f>
        <v>1</v>
      </c>
      <c r="J72" s="20"/>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9" t="s">
        <v>873</v>
      </c>
    </row>
    <row r="73" spans="1:20">
      <c r="A73" t="b">
        <f>IF(Table19[[#This Row],[Column2]],Table19[[#This Row],[Column13]])</f>
        <v>0</v>
      </c>
      <c r="B73" s="17"/>
      <c r="C73" s="20" t="b">
        <f>C2</f>
        <v>0</v>
      </c>
      <c r="D73" s="17"/>
      <c r="E73" s="20" t="b">
        <f>E7</f>
        <v>0</v>
      </c>
      <c r="F73" s="17"/>
      <c r="G73" s="17"/>
      <c r="H73" s="20" t="b">
        <f>H2</f>
        <v>0</v>
      </c>
      <c r="I73" s="17" t="b">
        <f>I2</f>
        <v>1</v>
      </c>
      <c r="J73" s="20"/>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9" t="s">
        <v>874</v>
      </c>
    </row>
    <row r="74" spans="1:20">
      <c r="A74" t="b">
        <f>IF(Table19[[#This Row],[Column2]],Table19[[#This Row],[Column13]])</f>
        <v>0</v>
      </c>
      <c r="B74" s="17"/>
      <c r="C74" s="20" t="b">
        <f>C2</f>
        <v>0</v>
      </c>
      <c r="D74" s="17"/>
      <c r="E74" s="20" t="b">
        <f>E7</f>
        <v>0</v>
      </c>
      <c r="F74" s="17"/>
      <c r="G74" s="17"/>
      <c r="H74" s="20" t="b">
        <f>H2</f>
        <v>0</v>
      </c>
      <c r="I74" s="17" t="b">
        <f>I2</f>
        <v>1</v>
      </c>
      <c r="J74" s="20"/>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9" t="s">
        <v>875</v>
      </c>
    </row>
    <row r="75" spans="1:20">
      <c r="A75" t="b">
        <f>IF(Table19[[#This Row],[Column2]],Table19[[#This Row],[Column13]])</f>
        <v>0</v>
      </c>
      <c r="B75" s="17"/>
      <c r="C75" s="20" t="b">
        <f>C2</f>
        <v>0</v>
      </c>
      <c r="D75" s="17"/>
      <c r="E75" s="17"/>
      <c r="F75" s="20" t="b">
        <f>F4</f>
        <v>0</v>
      </c>
      <c r="G75" s="17"/>
      <c r="H75" s="20" t="b">
        <f>H2</f>
        <v>0</v>
      </c>
      <c r="I75" s="17" t="b">
        <f>I2</f>
        <v>1</v>
      </c>
      <c r="J75" s="20"/>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9" t="s">
        <v>876</v>
      </c>
    </row>
    <row r="76" spans="1:20">
      <c r="A76" t="b">
        <f>IF(Table19[[#This Row],[Column2]],Table19[[#This Row],[Column13]])</f>
        <v>0</v>
      </c>
      <c r="B76" s="20" t="b">
        <f>B25</f>
        <v>0</v>
      </c>
      <c r="C76" s="17"/>
      <c r="D76" s="17"/>
      <c r="E76" s="20" t="b">
        <f>E7</f>
        <v>0</v>
      </c>
      <c r="F76" s="17"/>
      <c r="G76" s="17"/>
      <c r="H76" s="17" t="b">
        <f>H45</f>
        <v>1</v>
      </c>
      <c r="I76" s="17" t="b">
        <f>I2</f>
        <v>1</v>
      </c>
      <c r="J76" s="20"/>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9" t="s">
        <v>877</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16"/>
    </row>
    <row r="78" spans="1:20">
      <c r="A78" t="b">
        <f>IF(Table19[[#This Row],[Column2]],Table19[[#This Row],[Column13]])</f>
        <v>0</v>
      </c>
      <c r="B78" s="17"/>
      <c r="C78" s="17"/>
      <c r="D78" s="20" t="b">
        <f>D2</f>
        <v>0</v>
      </c>
      <c r="E78" s="17"/>
      <c r="F78" s="17"/>
      <c r="G78" s="20" t="b">
        <f>G2</f>
        <v>0</v>
      </c>
      <c r="H78" s="20" t="b">
        <f>H2</f>
        <v>0</v>
      </c>
      <c r="I78" s="17" t="b">
        <f>I2</f>
        <v>1</v>
      </c>
      <c r="J78" s="20"/>
      <c r="K78" s="17"/>
      <c r="L78" s="20" t="b">
        <f>L2</f>
        <v>0</v>
      </c>
      <c r="M78" s="20" t="b">
        <f>M2</f>
        <v>0</v>
      </c>
      <c r="N78" s="17" t="b">
        <f>N7</f>
        <v>1</v>
      </c>
      <c r="O78" s="20"/>
      <c r="P78" s="20"/>
      <c r="Q78" s="17" t="b">
        <f>Q5</f>
        <v>1</v>
      </c>
      <c r="R78" s="17" t="b">
        <f>R2</f>
        <v>1</v>
      </c>
      <c r="S78" t="b">
        <f>AND(Table19[[#This Row],[Non-comedogenic]:[Mineral]],Table19[[#This Row],[Spray/Whip/Oil]:[Oxy/Avobenzone]],OR(Table19[[#This Row],[Low SPF]:[High SPF]]),OR(Table19[[#This Row],[Face/Lips]:[Body]]))</f>
        <v>0</v>
      </c>
      <c r="T78" s="29" t="s">
        <v>879</v>
      </c>
    </row>
    <row r="79" spans="1:20">
      <c r="A79" t="b">
        <f>IF(Table19[[#This Row],[Column2]],Table19[[#This Row],[Column13]])</f>
        <v>0</v>
      </c>
      <c r="B79" s="17"/>
      <c r="C79" s="20" t="b">
        <f>C2</f>
        <v>0</v>
      </c>
      <c r="D79" s="17"/>
      <c r="E79" s="17"/>
      <c r="F79" s="20" t="b">
        <f>F4</f>
        <v>0</v>
      </c>
      <c r="G79" s="17"/>
      <c r="H79" s="20" t="b">
        <f>H2</f>
        <v>0</v>
      </c>
      <c r="I79" s="17" t="b">
        <f>I2</f>
        <v>1</v>
      </c>
      <c r="J79" s="20"/>
      <c r="K79" s="20" t="b">
        <f>K2</f>
        <v>1</v>
      </c>
      <c r="L79" s="20" t="b">
        <f>L2</f>
        <v>0</v>
      </c>
      <c r="M79" s="17"/>
      <c r="N79" s="20"/>
      <c r="O79" s="20"/>
      <c r="P79" s="20"/>
      <c r="Q79" s="17" t="b">
        <f>Q5</f>
        <v>1</v>
      </c>
      <c r="R79" s="20"/>
      <c r="S79" t="b">
        <f>AND(Table19[[#This Row],[Non-comedogenic]:[Mineral]],Table19[[#This Row],[Spray/Whip/Oil]:[Oxy/Avobenzone]],OR(Table19[[#This Row],[Low SPF]:[High SPF]]),OR(Table19[[#This Row],[Face/Lips]:[Body]]))</f>
        <v>0</v>
      </c>
      <c r="T79" s="29" t="s">
        <v>880</v>
      </c>
    </row>
    <row r="80" spans="1:20">
      <c r="A80" t="b">
        <f>IF(Table19[[#This Row],[Column2]],Table19[[#This Row],[Column13]])</f>
        <v>0</v>
      </c>
      <c r="B80" s="17"/>
      <c r="C80" s="20" t="b">
        <f>C2</f>
        <v>0</v>
      </c>
      <c r="D80" s="17"/>
      <c r="E80" s="20" t="b">
        <f>E7</f>
        <v>0</v>
      </c>
      <c r="F80" s="17"/>
      <c r="G80" s="17"/>
      <c r="H80" s="20" t="b">
        <f t="shared" ref="H80:M80" si="7">H2</f>
        <v>0</v>
      </c>
      <c r="I80" s="17" t="b">
        <f t="shared" si="7"/>
        <v>1</v>
      </c>
      <c r="J80" s="20"/>
      <c r="K80" s="20" t="b">
        <f t="shared" si="7"/>
        <v>1</v>
      </c>
      <c r="L80" s="20" t="b">
        <f t="shared" si="7"/>
        <v>0</v>
      </c>
      <c r="M80" s="20" t="b">
        <f t="shared" si="7"/>
        <v>0</v>
      </c>
      <c r="N80" s="17" t="b">
        <f>N7</f>
        <v>1</v>
      </c>
      <c r="O80" s="20"/>
      <c r="P80" s="20"/>
      <c r="Q80" s="17" t="b">
        <f>Q5</f>
        <v>1</v>
      </c>
      <c r="R80" s="17" t="b">
        <f>R2</f>
        <v>1</v>
      </c>
      <c r="S80" t="b">
        <f>AND(Table19[[#This Row],[Non-comedogenic]:[Mineral]],Table19[[#This Row],[Spray/Whip/Oil]:[Oxy/Avobenzone]],OR(Table19[[#This Row],[Low SPF]:[High SPF]]),OR(Table19[[#This Row],[Face/Lips]:[Body]]))</f>
        <v>0</v>
      </c>
      <c r="T80" s="29" t="s">
        <v>881</v>
      </c>
    </row>
    <row r="81" spans="1:20">
      <c r="A81" t="b">
        <f>IF(Table19[[#This Row],[Column2]],Table19[[#This Row],[Column13]])</f>
        <v>0</v>
      </c>
      <c r="B81" s="17"/>
      <c r="C81" s="17"/>
      <c r="D81" s="20" t="b">
        <f>D2</f>
        <v>0</v>
      </c>
      <c r="E81" s="17"/>
      <c r="F81" s="17"/>
      <c r="G81" s="20" t="b">
        <f>G2</f>
        <v>0</v>
      </c>
      <c r="H81" s="20" t="b">
        <f>H2</f>
        <v>0</v>
      </c>
      <c r="I81" s="20"/>
      <c r="J81" s="20"/>
      <c r="K81" s="17"/>
      <c r="L81" s="20" t="b">
        <f>L2</f>
        <v>0</v>
      </c>
      <c r="M81" s="20" t="b">
        <f>M2</f>
        <v>0</v>
      </c>
      <c r="N81" s="17" t="b">
        <f>N7</f>
        <v>1</v>
      </c>
      <c r="O81" s="20"/>
      <c r="P81" s="20"/>
      <c r="Q81" s="17" t="b">
        <f>Q5</f>
        <v>1</v>
      </c>
      <c r="R81" s="17" t="b">
        <f>R2</f>
        <v>1</v>
      </c>
      <c r="S81" t="b">
        <f>AND(Table19[[#This Row],[Non-comedogenic]:[Mineral]],Table19[[#This Row],[Spray/Whip/Oil]:[Oxy/Avobenzone]],OR(Table19[[#This Row],[Low SPF]:[High SPF]]),OR(Table19[[#This Row],[Face/Lips]:[Body]]))</f>
        <v>0</v>
      </c>
      <c r="T81" s="29" t="s">
        <v>882</v>
      </c>
    </row>
    <row r="82" spans="1:20">
      <c r="A82" t="b">
        <f>IF(Table19[[#This Row],[Column2]],Table19[[#This Row],[Column13]])</f>
        <v>0</v>
      </c>
      <c r="B82" s="17"/>
      <c r="C82" s="20" t="b">
        <f>C2</f>
        <v>0</v>
      </c>
      <c r="D82" s="17"/>
      <c r="E82" s="20" t="b">
        <f>E7</f>
        <v>0</v>
      </c>
      <c r="F82" s="17"/>
      <c r="G82" s="17"/>
      <c r="H82" s="20" t="b">
        <f>H2</f>
        <v>0</v>
      </c>
      <c r="I82" s="17" t="b">
        <f>I2</f>
        <v>1</v>
      </c>
      <c r="J82" s="20"/>
      <c r="K82" s="17"/>
      <c r="L82" s="20" t="b">
        <f>L2</f>
        <v>0</v>
      </c>
      <c r="M82" s="20" t="b">
        <f>M2</f>
        <v>0</v>
      </c>
      <c r="N82" s="17" t="b">
        <f>N7</f>
        <v>1</v>
      </c>
      <c r="O82" s="20"/>
      <c r="P82" s="17" t="b">
        <f>P3</f>
        <v>1</v>
      </c>
      <c r="Q82" s="17" t="b">
        <f>Q5</f>
        <v>1</v>
      </c>
      <c r="R82" s="17" t="b">
        <f>R2</f>
        <v>1</v>
      </c>
      <c r="S82" t="b">
        <f>AND(Table19[[#This Row],[Non-comedogenic]:[Mineral]],Table19[[#This Row],[Spray/Whip/Oil]:[Oxy/Avobenzone]],OR(Table19[[#This Row],[Low SPF]:[High SPF]]),OR(Table19[[#This Row],[Face/Lips]:[Body]]))</f>
        <v>0</v>
      </c>
      <c r="T82" s="29" t="s">
        <v>883</v>
      </c>
    </row>
    <row r="83" spans="1:20">
      <c r="A83" t="b">
        <f>IF(Table19[[#This Row],[Column2]],Table19[[#This Row],[Column13]])</f>
        <v>0</v>
      </c>
      <c r="B83" s="17"/>
      <c r="C83" s="20" t="b">
        <f>C2</f>
        <v>0</v>
      </c>
      <c r="D83" s="17"/>
      <c r="E83" s="17"/>
      <c r="F83" s="17"/>
      <c r="G83" s="20" t="b">
        <f>G2</f>
        <v>0</v>
      </c>
      <c r="H83" s="20" t="b">
        <f>H2</f>
        <v>0</v>
      </c>
      <c r="I83" s="17" t="b">
        <f>I2</f>
        <v>1</v>
      </c>
      <c r="J83" s="20"/>
      <c r="K83" s="17"/>
      <c r="L83" s="20" t="b">
        <f>L2</f>
        <v>0</v>
      </c>
      <c r="M83" s="20" t="b">
        <f>M2</f>
        <v>0</v>
      </c>
      <c r="N83" s="17" t="b">
        <f>N7</f>
        <v>1</v>
      </c>
      <c r="O83" s="20"/>
      <c r="P83" s="20"/>
      <c r="Q83" s="20"/>
      <c r="R83" s="17" t="b">
        <f>R2</f>
        <v>1</v>
      </c>
      <c r="S83" t="b">
        <f>AND(Table19[[#This Row],[Non-comedogenic]:[Mineral]],Table19[[#This Row],[Spray/Whip/Oil]:[Oxy/Avobenzone]],OR(Table19[[#This Row],[Low SPF]:[High SPF]]),OR(Table19[[#This Row],[Face/Lips]:[Body]]))</f>
        <v>0</v>
      </c>
      <c r="T83" s="29" t="s">
        <v>884</v>
      </c>
    </row>
    <row r="84" spans="1:20">
      <c r="A84" t="b">
        <f>IF(Table19[[#This Row],[Column2]],Table19[[#This Row],[Column13]])</f>
        <v>0</v>
      </c>
      <c r="B84" s="17"/>
      <c r="C84" s="20" t="b">
        <f>C2</f>
        <v>0</v>
      </c>
      <c r="D84" s="17"/>
      <c r="E84" s="20" t="b">
        <f>E7</f>
        <v>0</v>
      </c>
      <c r="F84" s="17"/>
      <c r="G84" s="17"/>
      <c r="H84" s="20" t="b">
        <f t="shared" ref="H84:M84" si="8">H2</f>
        <v>0</v>
      </c>
      <c r="I84" s="17" t="b">
        <f t="shared" si="8"/>
        <v>1</v>
      </c>
      <c r="J84" s="20"/>
      <c r="K84" s="20" t="b">
        <f t="shared" si="8"/>
        <v>1</v>
      </c>
      <c r="L84" s="20" t="b">
        <f t="shared" si="8"/>
        <v>0</v>
      </c>
      <c r="M84" s="20" t="b">
        <f t="shared" si="8"/>
        <v>0</v>
      </c>
      <c r="N84" s="17" t="b">
        <f>N7</f>
        <v>1</v>
      </c>
      <c r="O84" s="20"/>
      <c r="P84" s="20"/>
      <c r="Q84" s="17" t="b">
        <f>Q5</f>
        <v>1</v>
      </c>
      <c r="R84" s="17" t="b">
        <f>R2</f>
        <v>1</v>
      </c>
      <c r="S84" t="b">
        <f>AND(Table19[[#This Row],[Non-comedogenic]:[Mineral]],Table19[[#This Row],[Spray/Whip/Oil]:[Oxy/Avobenzone]],OR(Table19[[#This Row],[Low SPF]:[High SPF]]),OR(Table19[[#This Row],[Face/Lips]:[Body]]))</f>
        <v>0</v>
      </c>
      <c r="T84" s="29" t="s">
        <v>885</v>
      </c>
    </row>
    <row r="85" spans="1:20">
      <c r="A85" t="b">
        <f>IF(Table19[[#This Row],[Column2]],Table19[[#This Row],[Column13]])</f>
        <v>0</v>
      </c>
      <c r="B85" s="17"/>
      <c r="C85" s="17"/>
      <c r="D85" s="20" t="b">
        <f>D2</f>
        <v>0</v>
      </c>
      <c r="E85" s="17"/>
      <c r="F85" s="17"/>
      <c r="G85" s="20" t="b">
        <f>G2</f>
        <v>0</v>
      </c>
      <c r="H85" s="20" t="b">
        <f>H2</f>
        <v>0</v>
      </c>
      <c r="I85" s="17" t="b">
        <f>I2</f>
        <v>1</v>
      </c>
      <c r="J85" s="20"/>
      <c r="K85" s="17"/>
      <c r="L85" s="20" t="b">
        <f>L2</f>
        <v>0</v>
      </c>
      <c r="M85" s="20" t="b">
        <f>M2</f>
        <v>0</v>
      </c>
      <c r="N85" s="17" t="b">
        <f>N7</f>
        <v>1</v>
      </c>
      <c r="O85" s="20"/>
      <c r="P85" s="20"/>
      <c r="Q85" s="17" t="b">
        <f>Q5</f>
        <v>1</v>
      </c>
      <c r="R85" s="17" t="b">
        <f>R2</f>
        <v>1</v>
      </c>
      <c r="S85" t="b">
        <f>AND(Table19[[#This Row],[Non-comedogenic]:[Mineral]],Table19[[#This Row],[Spray/Whip/Oil]:[Oxy/Avobenzone]],OR(Table19[[#This Row],[Low SPF]:[High SPF]]),OR(Table19[[#This Row],[Face/Lips]:[Body]]))</f>
        <v>0</v>
      </c>
      <c r="T85" s="29" t="s">
        <v>886</v>
      </c>
    </row>
    <row r="86" spans="1:20">
      <c r="A86" t="b">
        <f>IF(Table19[[#This Row],[Column2]],Table19[[#This Row],[Column13]])</f>
        <v>0</v>
      </c>
      <c r="B86" s="17"/>
      <c r="C86" s="20" t="b">
        <f>C2</f>
        <v>0</v>
      </c>
      <c r="D86" s="17"/>
      <c r="E86" s="17"/>
      <c r="F86" s="17"/>
      <c r="G86" s="20" t="b">
        <f>G2</f>
        <v>0</v>
      </c>
      <c r="H86" s="20" t="b">
        <f>H2</f>
        <v>0</v>
      </c>
      <c r="I86" s="20"/>
      <c r="J86" s="20"/>
      <c r="K86" s="17"/>
      <c r="L86" s="20" t="b">
        <f>L2</f>
        <v>0</v>
      </c>
      <c r="M86" s="20" t="b">
        <f>M2</f>
        <v>0</v>
      </c>
      <c r="N86" s="17" t="b">
        <f>N7</f>
        <v>1</v>
      </c>
      <c r="O86" s="20"/>
      <c r="P86" s="20"/>
      <c r="Q86" s="17" t="b">
        <f>Q5</f>
        <v>1</v>
      </c>
      <c r="R86" s="17" t="b">
        <f>R2</f>
        <v>1</v>
      </c>
      <c r="S86" t="b">
        <f>AND(Table19[[#This Row],[Non-comedogenic]:[Mineral]],Table19[[#This Row],[Spray/Whip/Oil]:[Oxy/Avobenzone]],OR(Table19[[#This Row],[Low SPF]:[High SPF]]),OR(Table19[[#This Row],[Face/Lips]:[Body]]))</f>
        <v>0</v>
      </c>
      <c r="T86" s="29" t="s">
        <v>887</v>
      </c>
    </row>
    <row r="87" spans="1:20">
      <c r="A87" t="b">
        <f>IF(Table19[[#This Row],[Column2]],Table19[[#This Row],[Column13]])</f>
        <v>0</v>
      </c>
      <c r="B87" s="17"/>
      <c r="C87" s="20" t="b">
        <f>C2</f>
        <v>0</v>
      </c>
      <c r="D87" s="17"/>
      <c r="E87" s="17"/>
      <c r="F87" s="17"/>
      <c r="G87" s="20" t="b">
        <f>G2</f>
        <v>0</v>
      </c>
      <c r="H87" s="20" t="b">
        <f>H2</f>
        <v>0</v>
      </c>
      <c r="I87" s="20"/>
      <c r="J87" s="20"/>
      <c r="K87" s="17"/>
      <c r="L87" s="20" t="b">
        <f>L2</f>
        <v>0</v>
      </c>
      <c r="M87" s="20" t="b">
        <f>M2</f>
        <v>0</v>
      </c>
      <c r="N87" s="17" t="b">
        <f>N7</f>
        <v>1</v>
      </c>
      <c r="O87" s="20"/>
      <c r="P87" s="20"/>
      <c r="Q87" s="17" t="b">
        <f>Q5</f>
        <v>1</v>
      </c>
      <c r="R87" s="17" t="b">
        <f>R2</f>
        <v>1</v>
      </c>
      <c r="S87" t="b">
        <f>AND(Table19[[#This Row],[Non-comedogenic]:[Mineral]],Table19[[#This Row],[Spray/Whip/Oil]:[Oxy/Avobenzone]],OR(Table19[[#This Row],[Low SPF]:[High SPF]]),OR(Table19[[#This Row],[Face/Lips]:[Body]]))</f>
        <v>0</v>
      </c>
      <c r="T87" s="29" t="s">
        <v>888</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c r="O88" s="17" t="b">
        <f>O2</f>
        <v>1</v>
      </c>
      <c r="P88" s="20"/>
      <c r="Q88" s="17" t="b">
        <f>Q5</f>
        <v>1</v>
      </c>
      <c r="R88" s="17" t="b">
        <f>R2</f>
        <v>1</v>
      </c>
      <c r="S88" t="b">
        <f>AND(Table19[[#This Row],[Non-comedogenic]:[Mineral]],Table19[[#This Row],[Spray/Whip/Oil]:[Oxy/Avobenzone]],OR(Table19[[#This Row],[Low SPF]:[High SPF]]),OR(Table19[[#This Row],[Face/Lips]:[Body]]))</f>
        <v>0</v>
      </c>
      <c r="T88" s="29" t="s">
        <v>889</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16"/>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A18" sqref="A18"/>
    </sheetView>
  </sheetViews>
  <sheetFormatPr defaultRowHeight="15"/>
  <cols>
    <col min="1" max="1" width="70.5703125" customWidth="1"/>
  </cols>
  <sheetData>
    <row r="1" spans="1:3" ht="15.75" thickTop="1">
      <c r="A1" s="3" t="s">
        <v>15</v>
      </c>
      <c r="B1" s="7" t="s">
        <v>18</v>
      </c>
      <c r="C1" s="209"/>
    </row>
    <row r="2" spans="1:3" ht="15.75" thickBot="1">
      <c r="B2" s="4"/>
      <c r="C2" s="209"/>
    </row>
    <row r="3" spans="1:3" ht="15.75" thickBot="1">
      <c r="A3" s="176" t="s">
        <v>1099</v>
      </c>
      <c r="B3" s="33" t="b">
        <v>0</v>
      </c>
      <c r="C3" s="209" t="b">
        <f t="shared" ref="C3:C10" si="0">NOT(B3)</f>
        <v>1</v>
      </c>
    </row>
    <row r="4" spans="1:3" ht="15.75" thickBot="1">
      <c r="A4" s="161" t="s">
        <v>1101</v>
      </c>
      <c r="B4" s="33" t="b">
        <v>0</v>
      </c>
      <c r="C4" s="209" t="b">
        <f t="shared" si="0"/>
        <v>1</v>
      </c>
    </row>
    <row r="5" spans="1:3" ht="15.75" thickBot="1">
      <c r="A5" s="161" t="s">
        <v>1102</v>
      </c>
      <c r="B5" s="33" t="b">
        <v>0</v>
      </c>
      <c r="C5" s="209" t="b">
        <f t="shared" si="0"/>
        <v>1</v>
      </c>
    </row>
    <row r="6" spans="1:3" ht="15.75" thickBot="1">
      <c r="A6" s="1" t="s">
        <v>1103</v>
      </c>
      <c r="B6" s="33" t="b">
        <v>0</v>
      </c>
      <c r="C6" s="209" t="b">
        <f t="shared" si="0"/>
        <v>1</v>
      </c>
    </row>
    <row r="7" spans="1:3" ht="15.75" thickBot="1">
      <c r="A7" s="1" t="s">
        <v>1107</v>
      </c>
      <c r="B7" s="33" t="b">
        <v>0</v>
      </c>
      <c r="C7" s="209" t="b">
        <f t="shared" si="0"/>
        <v>1</v>
      </c>
    </row>
    <row r="8" spans="1:3" ht="15.75" thickBot="1">
      <c r="A8" s="1" t="s">
        <v>1106</v>
      </c>
      <c r="B8" s="33" t="b">
        <v>0</v>
      </c>
      <c r="C8" s="209" t="b">
        <f t="shared" si="0"/>
        <v>1</v>
      </c>
    </row>
    <row r="9" spans="1:3" ht="15.75" thickBot="1">
      <c r="A9" s="170" t="s">
        <v>1108</v>
      </c>
      <c r="B9" s="33" t="b">
        <v>0</v>
      </c>
      <c r="C9" s="209" t="b">
        <f t="shared" si="0"/>
        <v>1</v>
      </c>
    </row>
    <row r="10" spans="1:3" ht="15.75" thickBot="1">
      <c r="A10" s="161" t="s">
        <v>1110</v>
      </c>
      <c r="B10" s="33" t="b">
        <v>0</v>
      </c>
      <c r="C10" s="209" t="b">
        <f t="shared" si="0"/>
        <v>1</v>
      </c>
    </row>
    <row r="11" spans="1:3" ht="15.75" thickBot="1">
      <c r="C11" s="209"/>
    </row>
    <row r="12" spans="1:3" ht="15.75" thickTop="1">
      <c r="A12" s="3" t="s">
        <v>14</v>
      </c>
      <c r="B12" s="7" t="s">
        <v>18</v>
      </c>
      <c r="C12" s="209"/>
    </row>
    <row r="13" spans="1:3" ht="15.75" thickBot="1">
      <c r="B13" s="4"/>
      <c r="C13" s="209"/>
    </row>
    <row r="14" spans="1:3" ht="15.75" thickBot="1">
      <c r="A14" s="176" t="s">
        <v>1100</v>
      </c>
      <c r="B14" s="33" t="b">
        <v>0</v>
      </c>
      <c r="C14" s="209" t="b">
        <f>NOT(B14)</f>
        <v>1</v>
      </c>
    </row>
    <row r="15" spans="1:3" ht="15.75" thickBot="1">
      <c r="A15" s="162" t="s">
        <v>1104</v>
      </c>
      <c r="B15" s="33" t="b">
        <v>0</v>
      </c>
      <c r="C15" s="209" t="b">
        <f>NOT(B15)</f>
        <v>1</v>
      </c>
    </row>
    <row r="16" spans="1:3" ht="15.75" thickBot="1">
      <c r="A16" s="162" t="s">
        <v>1105</v>
      </c>
      <c r="B16" s="33" t="b">
        <v>0</v>
      </c>
      <c r="C16" s="209" t="b">
        <f>NOT(B16)</f>
        <v>1</v>
      </c>
    </row>
    <row r="17" spans="1:3" ht="15.75" thickBot="1">
      <c r="A17" s="170" t="s">
        <v>1109</v>
      </c>
      <c r="B17" s="33" t="b">
        <v>0</v>
      </c>
      <c r="C17" s="209" t="b">
        <f>NOT(B17)</f>
        <v>1</v>
      </c>
    </row>
    <row r="18" spans="1:3" ht="15.75" thickBot="1">
      <c r="A18" s="176" t="s">
        <v>1111</v>
      </c>
      <c r="B18" s="33" t="b">
        <v>0</v>
      </c>
      <c r="C18" s="209"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3"/>
  <sheetViews>
    <sheetView workbookViewId="0">
      <selection activeCell="L26" sqref="L26"/>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5.5703125" customWidth="1"/>
  </cols>
  <sheetData>
    <row r="1" spans="1:18">
      <c r="A1" s="70" t="s">
        <v>1212</v>
      </c>
      <c r="B1" t="s">
        <v>1079</v>
      </c>
      <c r="C1" t="s">
        <v>1080</v>
      </c>
      <c r="D1" t="s">
        <v>1899</v>
      </c>
      <c r="E1" t="s">
        <v>1087</v>
      </c>
      <c r="F1" t="s">
        <v>1086</v>
      </c>
      <c r="G1" t="s">
        <v>1898</v>
      </c>
      <c r="H1" t="s">
        <v>1076</v>
      </c>
      <c r="I1" t="s">
        <v>1098</v>
      </c>
      <c r="J1" t="s">
        <v>1900</v>
      </c>
      <c r="K1" t="s">
        <v>1078</v>
      </c>
      <c r="L1" t="s">
        <v>1117</v>
      </c>
      <c r="M1" t="s">
        <v>1084</v>
      </c>
      <c r="N1" t="s">
        <v>1075</v>
      </c>
      <c r="O1" t="s">
        <v>590</v>
      </c>
    </row>
    <row r="2" spans="1:18">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c r="L2" s="20"/>
      <c r="M2" s="17" t="b">
        <f>AND('Family Planning Criteria'!C8)</f>
        <v>1</v>
      </c>
      <c r="N2" t="b">
        <f>AND(Table20[[#This Row],[Pregnancy]:[Fastest]])</f>
        <v>0</v>
      </c>
      <c r="O2" s="11" t="s">
        <v>1077</v>
      </c>
      <c r="P2" s="104"/>
    </row>
    <row r="3" spans="1:18">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c r="M3" s="17" t="b">
        <f>M2</f>
        <v>1</v>
      </c>
      <c r="N3" t="b">
        <f>AND(Table20[[#This Row],[Pregnancy]:[Fastest]])</f>
        <v>0</v>
      </c>
      <c r="O3" s="11" t="s">
        <v>1081</v>
      </c>
      <c r="P3" s="104"/>
    </row>
    <row r="4" spans="1:18">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c r="N4" t="b">
        <f>AND(Table20[[#This Row],[Pregnancy]:[Fastest]])</f>
        <v>0</v>
      </c>
      <c r="O4" s="11" t="s">
        <v>1082</v>
      </c>
      <c r="P4" s="104"/>
    </row>
    <row r="5" spans="1:18">
      <c r="A5" t="b">
        <f>IF(Table20[[#This Row],[Column7]],Table20[[#This Row],[Column8]])</f>
        <v>0</v>
      </c>
      <c r="B5" s="20" t="b">
        <f>B2</f>
        <v>0</v>
      </c>
      <c r="C5" s="17"/>
      <c r="D5" s="17"/>
      <c r="E5" s="20" t="b">
        <f>E2</f>
        <v>1</v>
      </c>
      <c r="F5" s="17"/>
      <c r="G5" s="17"/>
      <c r="H5" s="17"/>
      <c r="I5" s="17"/>
      <c r="J5" s="20" t="b">
        <f>AND('Family Planning Criteria'!B10,'Family Planning Criteria'!C4:C5)</f>
        <v>0</v>
      </c>
      <c r="K5" s="20"/>
      <c r="L5" s="20"/>
      <c r="M5" s="20"/>
      <c r="N5" t="b">
        <f>AND(Table20[[#This Row],[Pregnancy]:[Fastest]])</f>
        <v>0</v>
      </c>
      <c r="O5" s="11" t="s">
        <v>1083</v>
      </c>
    </row>
    <row r="6" spans="1:18">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1085</v>
      </c>
      <c r="R6" s="104"/>
    </row>
    <row r="7" spans="1:18">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1088</v>
      </c>
      <c r="P7" s="21"/>
      <c r="Q7" s="21"/>
      <c r="R7" s="105"/>
    </row>
    <row r="8" spans="1:18">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18">
      <c r="A9" t="b">
        <f>IF(Table20[[#This Row],[Column7]],Table20[[#This Row],[Column8]])</f>
        <v>0</v>
      </c>
      <c r="B9" s="20" t="b">
        <f>B2</f>
        <v>0</v>
      </c>
      <c r="C9" s="17"/>
      <c r="D9" s="17"/>
      <c r="E9" s="20" t="b">
        <f>E2</f>
        <v>1</v>
      </c>
      <c r="F9" s="17"/>
      <c r="G9" s="17"/>
      <c r="H9" s="17"/>
      <c r="I9" s="20" t="b">
        <f>I3</f>
        <v>0</v>
      </c>
      <c r="J9" s="17"/>
      <c r="K9" s="17" t="b">
        <f>K3</f>
        <v>1</v>
      </c>
      <c r="L9" s="20"/>
      <c r="M9" s="17" t="b">
        <f>M2</f>
        <v>1</v>
      </c>
      <c r="N9" t="b">
        <f>AND(Table20[[#This Row],[Pregnancy]:[Fastest]])</f>
        <v>0</v>
      </c>
      <c r="O9" s="28" t="s">
        <v>1090</v>
      </c>
      <c r="P9" s="104"/>
    </row>
    <row r="10" spans="1:18">
      <c r="A10" t="b">
        <f>IF(Table20[[#This Row],[Column7]],Table20[[#This Row],[Column8]])</f>
        <v>0</v>
      </c>
      <c r="B10" s="20" t="b">
        <f>B2</f>
        <v>0</v>
      </c>
      <c r="C10" s="17"/>
      <c r="D10" s="17"/>
      <c r="E10" s="20" t="b">
        <f>E2</f>
        <v>1</v>
      </c>
      <c r="F10" s="17"/>
      <c r="G10" s="17"/>
      <c r="H10" s="17"/>
      <c r="I10" s="17"/>
      <c r="J10" s="20" t="b">
        <f>J5</f>
        <v>0</v>
      </c>
      <c r="K10" s="17" t="b">
        <f>K3</f>
        <v>1</v>
      </c>
      <c r="L10" s="20"/>
      <c r="M10" s="20"/>
      <c r="N10" t="b">
        <f>AND(Table20[[#This Row],[Pregnancy]:[Fastest]])</f>
        <v>0</v>
      </c>
      <c r="O10" s="11" t="s">
        <v>1091</v>
      </c>
      <c r="P10" s="104"/>
    </row>
    <row r="11" spans="1:18">
      <c r="A11" t="b">
        <f>IF(Table20[[#This Row],[Column7]],Table20[[#This Row],[Column8]])</f>
        <v>0</v>
      </c>
      <c r="B11" s="20" t="b">
        <f>B2</f>
        <v>0</v>
      </c>
      <c r="C11" s="17"/>
      <c r="D11" s="17"/>
      <c r="E11" s="20" t="b">
        <f>E2</f>
        <v>1</v>
      </c>
      <c r="F11" s="17"/>
      <c r="G11" s="17"/>
      <c r="H11" s="17"/>
      <c r="I11" s="20" t="b">
        <f>I3</f>
        <v>0</v>
      </c>
      <c r="J11" s="17"/>
      <c r="K11" s="17" t="b">
        <f>K3</f>
        <v>1</v>
      </c>
      <c r="L11" s="17" t="b">
        <f>L4</f>
        <v>1</v>
      </c>
      <c r="M11" s="20"/>
      <c r="N11" t="b">
        <f>AND(Table20[[#This Row],[Pregnancy]:[Fastest]])</f>
        <v>0</v>
      </c>
      <c r="O11" s="11" t="s">
        <v>1092</v>
      </c>
      <c r="P11" s="104"/>
    </row>
    <row r="12" spans="1:18">
      <c r="A12" t="b">
        <f>IF(Table20[[#This Row],[Column7]],Table20[[#This Row],[Column8]])</f>
        <v>0</v>
      </c>
      <c r="B12" s="20" t="b">
        <f>B2</f>
        <v>0</v>
      </c>
      <c r="C12" s="17"/>
      <c r="D12" s="17"/>
      <c r="E12" s="20" t="b">
        <f>E2</f>
        <v>1</v>
      </c>
      <c r="F12" s="17"/>
      <c r="G12" s="17"/>
      <c r="H12" s="17"/>
      <c r="I12" s="17"/>
      <c r="J12" s="20" t="b">
        <f>J5</f>
        <v>0</v>
      </c>
      <c r="K12" s="17" t="b">
        <f>K3</f>
        <v>1</v>
      </c>
      <c r="L12" s="20"/>
      <c r="M12" s="17" t="b">
        <f>M2</f>
        <v>1</v>
      </c>
      <c r="N12" t="b">
        <f>AND(Table20[[#This Row],[Pregnancy]:[Fastest]])</f>
        <v>0</v>
      </c>
      <c r="O12" s="11" t="s">
        <v>1093</v>
      </c>
      <c r="P12" s="104"/>
    </row>
    <row r="13" spans="1:18">
      <c r="A13" t="b">
        <f>IF(Table20[[#This Row],[Column7]],Table20[[#This Row],[Column8]])</f>
        <v>0</v>
      </c>
      <c r="B13" s="20" t="b">
        <f>B2</f>
        <v>0</v>
      </c>
      <c r="C13" s="17"/>
      <c r="D13" s="17"/>
      <c r="E13" s="20" t="b">
        <f>E2</f>
        <v>1</v>
      </c>
      <c r="F13" s="17"/>
      <c r="G13" s="17"/>
      <c r="H13" s="20" t="b">
        <f>H2</f>
        <v>0</v>
      </c>
      <c r="I13" s="17"/>
      <c r="J13" s="17"/>
      <c r="K13" s="17" t="b">
        <f>K3</f>
        <v>1</v>
      </c>
      <c r="L13" s="20"/>
      <c r="M13" s="17" t="b">
        <f>M2</f>
        <v>1</v>
      </c>
      <c r="N13" t="b">
        <f>AND(Table20[[#This Row],[Pregnancy]:[Fastest]])</f>
        <v>0</v>
      </c>
      <c r="O13" s="11" t="s">
        <v>1094</v>
      </c>
      <c r="P13" s="104"/>
    </row>
    <row r="14" spans="1:18">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c r="M14" s="17" t="b">
        <f>M2</f>
        <v>1</v>
      </c>
      <c r="N14" t="b">
        <f>AND(Table20[[#This Row],[Pregnancy]:[Fastest]])</f>
        <v>0</v>
      </c>
      <c r="O14" s="11" t="s">
        <v>1095</v>
      </c>
      <c r="P14" s="104"/>
    </row>
    <row r="15" spans="1:18">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11" t="s">
        <v>1112</v>
      </c>
      <c r="P15" s="21"/>
      <c r="Q15" s="21"/>
      <c r="R15" s="105"/>
    </row>
    <row r="16" spans="1:18">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11" t="s">
        <v>1113</v>
      </c>
      <c r="P16" s="21"/>
      <c r="Q16" s="21"/>
      <c r="R16" s="105"/>
    </row>
    <row r="17" spans="1:16">
      <c r="A17" s="16" t="e">
        <f>IF(Table20[[#This Row],[Column7]],Table20[[#This Row],[Column8]])</f>
        <v>#VALUE!</v>
      </c>
      <c r="B17" s="16"/>
      <c r="C17" s="16"/>
      <c r="D17" s="16"/>
      <c r="E17" s="16"/>
      <c r="F17" s="16"/>
      <c r="G17" s="16"/>
      <c r="H17" s="16"/>
      <c r="I17" s="16"/>
      <c r="J17" s="16"/>
      <c r="K17" s="16"/>
      <c r="L17" s="16"/>
      <c r="M17" s="16"/>
      <c r="N17" s="16" t="e">
        <f>AND(Table20[[#This Row],[Pregnancy]:[Fastest]])</f>
        <v>#VALUE!</v>
      </c>
      <c r="O17" s="16" t="s">
        <v>1089</v>
      </c>
    </row>
    <row r="18" spans="1:16">
      <c r="A18" t="b">
        <f>IF(Table20[[#This Row],[Column7]],Table20[[#This Row],[Column8]])</f>
        <v>0</v>
      </c>
      <c r="B18" s="20" t="b">
        <f>B2</f>
        <v>0</v>
      </c>
      <c r="C18" s="17"/>
      <c r="D18" s="17"/>
      <c r="E18" s="20" t="b">
        <f>E2</f>
        <v>1</v>
      </c>
      <c r="F18" s="17"/>
      <c r="G18" s="17"/>
      <c r="H18" s="17"/>
      <c r="I18" s="20" t="b">
        <f>I3</f>
        <v>0</v>
      </c>
      <c r="J18" s="17"/>
      <c r="K18" s="17" t="b">
        <f>K3</f>
        <v>1</v>
      </c>
      <c r="L18" s="20"/>
      <c r="M18" s="17" t="b">
        <f>M2</f>
        <v>1</v>
      </c>
      <c r="N18" t="b">
        <f>AND(Table20[[#This Row],[Pregnancy]:[Fastest]])</f>
        <v>0</v>
      </c>
      <c r="O18" s="11" t="s">
        <v>1096</v>
      </c>
      <c r="P18" s="104"/>
    </row>
    <row r="19" spans="1:16">
      <c r="A19" t="b">
        <f>IF(Table20[[#This Row],[Column7]],Table20[[#This Row],[Column8]])</f>
        <v>0</v>
      </c>
      <c r="B19" s="20" t="b">
        <f>B2</f>
        <v>0</v>
      </c>
      <c r="C19" s="17"/>
      <c r="D19" s="17"/>
      <c r="E19" s="20" t="b">
        <f>E2</f>
        <v>1</v>
      </c>
      <c r="F19" s="17"/>
      <c r="G19" s="17"/>
      <c r="H19" s="17"/>
      <c r="I19" s="20" t="b">
        <f>I3</f>
        <v>0</v>
      </c>
      <c r="J19" s="17"/>
      <c r="K19" s="17" t="b">
        <f>K3</f>
        <v>1</v>
      </c>
      <c r="L19" s="20"/>
      <c r="M19" s="17" t="b">
        <f>M2</f>
        <v>1</v>
      </c>
      <c r="N19" t="b">
        <f>AND(Table20[[#This Row],[Pregnancy]:[Fastest]])</f>
        <v>0</v>
      </c>
      <c r="O19" s="11" t="s">
        <v>1097</v>
      </c>
      <c r="P19" s="104"/>
    </row>
    <row r="20" spans="1:16">
      <c r="A20" s="16" t="e">
        <f>IF(Table20[[#This Row],[Column7]],Table20[[#This Row],[Column8]])</f>
        <v>#VALUE!</v>
      </c>
      <c r="B20" s="16"/>
      <c r="C20" s="16"/>
      <c r="D20" s="16"/>
      <c r="E20" s="16"/>
      <c r="F20" s="16"/>
      <c r="G20" s="16"/>
      <c r="H20" s="16"/>
      <c r="I20" s="16"/>
      <c r="J20" s="16"/>
      <c r="K20" s="16"/>
      <c r="L20" s="16"/>
      <c r="M20" s="16"/>
      <c r="N20" s="16" t="e">
        <f>AND(Table20[[#This Row],[Pregnancy]:[Fastest]])</f>
        <v>#VALUE!</v>
      </c>
      <c r="O20" s="16"/>
    </row>
    <row r="21" spans="1:16">
      <c r="A21" t="e">
        <f>IF(Table20[[#This Row],[Column7]],Table20[[#This Row],[Column8]])</f>
        <v>#VALUE!</v>
      </c>
      <c r="N21" t="e">
        <f>AND(Table20[[#This Row],[Pregnancy]:[Fastest]])</f>
        <v>#VALUE!</v>
      </c>
    </row>
    <row r="22" spans="1:16">
      <c r="A22" t="e">
        <f>IF(Table20[[#This Row],[Column7]],Table20[[#This Row],[Column8]])</f>
        <v>#VALUE!</v>
      </c>
      <c r="N22" t="e">
        <f>AND(Table20[[#This Row],[Pregnancy]:[Fastest]])</f>
        <v>#VALUE!</v>
      </c>
    </row>
    <row r="23" spans="1:16">
      <c r="A23" t="e">
        <f>IF(Table20[[#This Row],[Column7]],Table20[[#This Row],[Column8]])</f>
        <v>#VALUE!</v>
      </c>
      <c r="N23" t="e">
        <f>AND(Table20[[#This Row],[Pregnancy]:[Fastest]])</f>
        <v>#VALUE!</v>
      </c>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B14" sqref="B14"/>
    </sheetView>
  </sheetViews>
  <sheetFormatPr defaultRowHeight="15"/>
  <cols>
    <col min="1" max="1" width="51.140625" customWidth="1"/>
  </cols>
  <sheetData>
    <row r="1" spans="1:3" ht="15.75" thickTop="1">
      <c r="A1" s="3" t="s">
        <v>15</v>
      </c>
      <c r="B1" s="7" t="s">
        <v>18</v>
      </c>
      <c r="C1" s="107"/>
    </row>
    <row r="2" spans="1:3" ht="15.75" thickBot="1">
      <c r="B2" s="4"/>
      <c r="C2" s="107"/>
    </row>
    <row r="3" spans="1:3" ht="15.75" thickBot="1">
      <c r="A3" s="161" t="s">
        <v>1156</v>
      </c>
      <c r="B3" s="33" t="b">
        <v>0</v>
      </c>
      <c r="C3" s="212" t="b">
        <f t="shared" ref="C3:C8" si="0">NOT(B3)</f>
        <v>1</v>
      </c>
    </row>
    <row r="4" spans="1:3" ht="15.75" thickBot="1">
      <c r="A4" s="161" t="s">
        <v>1157</v>
      </c>
      <c r="B4" s="33" t="b">
        <v>0</v>
      </c>
      <c r="C4" s="212" t="b">
        <f t="shared" si="0"/>
        <v>1</v>
      </c>
    </row>
    <row r="5" spans="1:3" ht="15.75" thickBot="1">
      <c r="A5" s="176" t="s">
        <v>1148</v>
      </c>
      <c r="B5" s="33" t="b">
        <v>0</v>
      </c>
      <c r="C5" s="212" t="b">
        <f t="shared" si="0"/>
        <v>1</v>
      </c>
    </row>
    <row r="6" spans="1:3" ht="15.75" thickBot="1">
      <c r="A6" s="176" t="s">
        <v>1149</v>
      </c>
      <c r="B6" s="33" t="b">
        <v>0</v>
      </c>
      <c r="C6" s="212" t="b">
        <f t="shared" si="0"/>
        <v>1</v>
      </c>
    </row>
    <row r="7" spans="1:3" ht="15.75" thickBot="1">
      <c r="A7" s="176" t="s">
        <v>1150</v>
      </c>
      <c r="B7" s="33" t="b">
        <v>0</v>
      </c>
      <c r="C7" s="212" t="b">
        <f t="shared" si="0"/>
        <v>1</v>
      </c>
    </row>
    <row r="8" spans="1:3" ht="15.75" thickBot="1">
      <c r="A8" s="170" t="s">
        <v>1151</v>
      </c>
      <c r="B8" s="33" t="b">
        <v>0</v>
      </c>
      <c r="C8" s="212" t="b">
        <f t="shared" si="0"/>
        <v>1</v>
      </c>
    </row>
    <row r="9" spans="1:3" ht="15.75" thickBot="1">
      <c r="A9" s="170" t="s">
        <v>1152</v>
      </c>
      <c r="B9" s="33" t="b">
        <v>0</v>
      </c>
      <c r="C9" s="212" t="b">
        <f t="shared" ref="C9:C14" si="1">NOT(B9)</f>
        <v>1</v>
      </c>
    </row>
    <row r="10" spans="1:3" ht="15.75" thickBot="1">
      <c r="A10" s="170" t="s">
        <v>1153</v>
      </c>
      <c r="B10" s="33" t="b">
        <v>0</v>
      </c>
      <c r="C10" s="212" t="b">
        <f t="shared" si="1"/>
        <v>1</v>
      </c>
    </row>
    <row r="11" spans="1:3" ht="15.75" thickBot="1">
      <c r="A11" s="170" t="s">
        <v>1154</v>
      </c>
      <c r="B11" s="33" t="b">
        <v>0</v>
      </c>
      <c r="C11" s="212" t="b">
        <f t="shared" si="1"/>
        <v>1</v>
      </c>
    </row>
    <row r="12" spans="1:3" ht="15.75" thickBot="1">
      <c r="A12" s="170" t="s">
        <v>1155</v>
      </c>
      <c r="B12" s="33" t="b">
        <v>0</v>
      </c>
      <c r="C12" s="212" t="b">
        <f t="shared" si="1"/>
        <v>1</v>
      </c>
    </row>
    <row r="13" spans="1:3" ht="15.75" thickBot="1">
      <c r="A13" s="165" t="s">
        <v>1158</v>
      </c>
      <c r="B13" s="33" t="b">
        <v>0</v>
      </c>
      <c r="C13" s="212" t="b">
        <f t="shared" si="1"/>
        <v>1</v>
      </c>
    </row>
    <row r="14" spans="1:3" ht="15.75" thickBot="1">
      <c r="A14" s="165" t="s">
        <v>1159</v>
      </c>
      <c r="B14" s="33" t="b">
        <v>0</v>
      </c>
      <c r="C14" s="212" t="b">
        <f t="shared" si="1"/>
        <v>1</v>
      </c>
    </row>
    <row r="17" spans="1:1">
      <c r="A17" t="s">
        <v>1071</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6"/>
  <sheetViews>
    <sheetView workbookViewId="0">
      <selection activeCell="I2" sqref="I2"/>
    </sheetView>
  </sheetViews>
  <sheetFormatPr defaultRowHeight="15"/>
  <cols>
    <col min="1" max="1" width="38" customWidth="1"/>
    <col min="2" max="12" width="11" customWidth="1"/>
    <col min="13" max="13" width="65.140625" customWidth="1"/>
  </cols>
  <sheetData>
    <row r="1" spans="1:13">
      <c r="A1" s="70" t="s">
        <v>1212</v>
      </c>
      <c r="B1" s="124" t="s">
        <v>1901</v>
      </c>
      <c r="C1" t="s">
        <v>1118</v>
      </c>
      <c r="D1" t="s">
        <v>1119</v>
      </c>
      <c r="E1" t="s">
        <v>1120</v>
      </c>
      <c r="F1" t="s">
        <v>1121</v>
      </c>
      <c r="G1" t="s">
        <v>1122</v>
      </c>
      <c r="H1" t="s">
        <v>1123</v>
      </c>
      <c r="I1" t="s">
        <v>1124</v>
      </c>
      <c r="J1" t="s">
        <v>1145</v>
      </c>
      <c r="K1" t="s">
        <v>1146</v>
      </c>
      <c r="L1" t="s">
        <v>4</v>
      </c>
      <c r="M1" t="s">
        <v>591</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6" t="b">
        <f>AND(Table24[[#This Row],[NRT]],OR(Table24[[#This Row],[Light Smoker]:[Heavy Smoker]]),AND(Table24[[#This Row],[Patch]:[Mist]]),OR(Table24[[#This Row],[Mint]:[Flavor]]))</f>
        <v>0</v>
      </c>
      <c r="M2" s="11" t="s">
        <v>1147</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6" t="b">
        <f>AND(Table24[[#This Row],[NRT]],OR(Table24[[#This Row],[Light Smoker]:[Heavy Smoker]]),AND(Table24[[#This Row],[Patch]:[Mist]]),OR(Table24[[#This Row],[Mint]:[Flavor]]))</f>
        <v>0</v>
      </c>
      <c r="M3" s="11" t="s">
        <v>1135</v>
      </c>
    </row>
    <row r="4" spans="1:13">
      <c r="A4" t="b">
        <f>IF(Table24[[#This Row],[Column1]],Table24[[#This Row],[Column9]])</f>
        <v>0</v>
      </c>
      <c r="B4" s="20" t="b">
        <f>B2</f>
        <v>1</v>
      </c>
      <c r="C4" s="17"/>
      <c r="D4" s="20" t="b">
        <f>D2</f>
        <v>0</v>
      </c>
      <c r="E4" s="17"/>
      <c r="F4" s="17"/>
      <c r="G4" s="17"/>
      <c r="H4" s="20" t="b">
        <f>H3</f>
        <v>0</v>
      </c>
      <c r="I4" s="17"/>
      <c r="J4" s="20" t="b">
        <f>J2</f>
        <v>0</v>
      </c>
      <c r="K4" s="20" t="b">
        <f>K2</f>
        <v>0</v>
      </c>
      <c r="L4" s="106" t="b">
        <f>AND(Table24[[#This Row],[NRT]],OR(Table24[[#This Row],[Light Smoker]:[Heavy Smoker]]),AND(Table24[[#This Row],[Patch]:[Mist]]),OR(Table24[[#This Row],[Mint]:[Flavor]]))</f>
        <v>0</v>
      </c>
      <c r="M4" s="11" t="s">
        <v>1136</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6" t="b">
        <f>AND(Table24[[#This Row],[NRT]],OR(Table24[[#This Row],[Light Smoker]:[Heavy Smoker]]),AND(Table24[[#This Row],[Patch]:[Mist]]),OR(Table24[[#This Row],[Mint]:[Flavor]]))</f>
        <v>0</v>
      </c>
      <c r="M5" s="11" t="s">
        <v>1137</v>
      </c>
    </row>
    <row r="6" spans="1:13">
      <c r="A6" t="b">
        <f>IF(Table24[[#This Row],[Column1]],Table24[[#This Row],[Column9]])</f>
        <v>0</v>
      </c>
      <c r="B6" s="20" t="b">
        <f>B2</f>
        <v>1</v>
      </c>
      <c r="C6" s="17"/>
      <c r="D6" s="20" t="b">
        <f>D2</f>
        <v>0</v>
      </c>
      <c r="E6" s="17"/>
      <c r="F6" s="17"/>
      <c r="G6" s="20" t="b">
        <f>G5</f>
        <v>0</v>
      </c>
      <c r="H6" s="17"/>
      <c r="I6" s="17"/>
      <c r="J6" s="20" t="b">
        <f>J2</f>
        <v>0</v>
      </c>
      <c r="K6" s="17"/>
      <c r="L6" s="106" t="b">
        <f>AND(Table24[[#This Row],[NRT]],OR(Table24[[#This Row],[Light Smoker]:[Heavy Smoker]]),AND(Table24[[#This Row],[Patch]:[Mist]]),OR(Table24[[#This Row],[Mint]:[Flavor]]))</f>
        <v>0</v>
      </c>
      <c r="M6" s="11" t="s">
        <v>1138</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11" t="b">
        <f>AND(Table24[[#This Row],[NRT]:[Flavor]])</f>
        <v>0</v>
      </c>
      <c r="M7" s="11" t="s">
        <v>1125</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16"/>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210" t="b">
        <f>AND(Table24[[#This Row],[NRT]],OR(Table24[[#This Row],[Light Smoker]:[Heavy Smoker]]),AND(Table24[[#This Row],[Patch]:[Mist]]))</f>
        <v>0</v>
      </c>
      <c r="M9" s="28" t="s">
        <v>1126</v>
      </c>
    </row>
    <row r="10" spans="1:13">
      <c r="A10" t="b">
        <f>IF(Table24[[#This Row],[Column1]],Table24[[#This Row],[Column9]])</f>
        <v>0</v>
      </c>
      <c r="B10" s="20" t="b">
        <f>B2</f>
        <v>1</v>
      </c>
      <c r="C10" s="20" t="b">
        <f>C2</f>
        <v>0</v>
      </c>
      <c r="D10" s="17"/>
      <c r="E10" s="20" t="b">
        <f>E9</f>
        <v>0</v>
      </c>
      <c r="F10" s="17"/>
      <c r="G10" s="17"/>
      <c r="H10" s="17"/>
      <c r="I10" s="17"/>
      <c r="J10" s="17"/>
      <c r="K10" s="17"/>
      <c r="L10" s="210" t="b">
        <f>AND(Table24[[#This Row],[NRT]],OR(Table24[[#This Row],[Light Smoker]:[Heavy Smoker]]),AND(Table24[[#This Row],[Patch]:[Mist]]))</f>
        <v>0</v>
      </c>
      <c r="M10" s="11" t="s">
        <v>1127</v>
      </c>
    </row>
    <row r="11" spans="1:13">
      <c r="A11" t="b">
        <f>IF(Table24[[#This Row],[Column1]],Table24[[#This Row],[Column9]])</f>
        <v>0</v>
      </c>
      <c r="B11" s="20" t="b">
        <f>B2</f>
        <v>1</v>
      </c>
      <c r="C11" s="20" t="b">
        <f>C2</f>
        <v>0</v>
      </c>
      <c r="D11" s="17"/>
      <c r="E11" s="20" t="b">
        <f>E9</f>
        <v>0</v>
      </c>
      <c r="F11" s="17"/>
      <c r="G11" s="17"/>
      <c r="H11" s="17"/>
      <c r="I11" s="17"/>
      <c r="J11" s="17"/>
      <c r="K11" s="17"/>
      <c r="L11" s="210" t="b">
        <f>AND(Table24[[#This Row],[NRT]],OR(Table24[[#This Row],[Light Smoker]:[Heavy Smoker]]),AND(Table24[[#This Row],[Patch]:[Mist]]))</f>
        <v>0</v>
      </c>
      <c r="M11" s="11" t="s">
        <v>1128</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16"/>
    </row>
    <row r="13" spans="1:13">
      <c r="A13" t="b">
        <f>IF(Table24[[#This Row],[Column1]],Table24[[#This Row],[Column9]])</f>
        <v>0</v>
      </c>
      <c r="B13" s="20" t="b">
        <f>B2</f>
        <v>1</v>
      </c>
      <c r="C13" s="20" t="b">
        <f>C2</f>
        <v>0</v>
      </c>
      <c r="D13" s="17"/>
      <c r="E13" s="17"/>
      <c r="F13" s="17"/>
      <c r="G13" s="17"/>
      <c r="H13" s="20" t="b">
        <f>H3</f>
        <v>0</v>
      </c>
      <c r="I13" s="17"/>
      <c r="J13" s="20" t="b">
        <f>J2</f>
        <v>0</v>
      </c>
      <c r="K13" s="17"/>
      <c r="L13" s="106" t="b">
        <f>AND(Table24[[#This Row],[NRT]],OR(Table24[[#This Row],[Light Smoker]:[Heavy Smoker]]),AND(Table24[[#This Row],[Patch]:[Mist]]),OR(Table24[[#This Row],[Mint]:[Flavor]]))</f>
        <v>0</v>
      </c>
      <c r="M13" s="28" t="s">
        <v>1143</v>
      </c>
    </row>
    <row r="14" spans="1:13">
      <c r="A14" t="b">
        <f>IF(Table24[[#This Row],[Column1]],Table24[[#This Row],[Column9]])</f>
        <v>0</v>
      </c>
      <c r="B14" s="20" t="b">
        <f>B2</f>
        <v>1</v>
      </c>
      <c r="C14" s="17"/>
      <c r="D14" s="20" t="b">
        <f>D2</f>
        <v>0</v>
      </c>
      <c r="E14" s="17"/>
      <c r="F14" s="17"/>
      <c r="G14" s="17"/>
      <c r="H14" s="20" t="b">
        <f>H3</f>
        <v>0</v>
      </c>
      <c r="I14" s="17"/>
      <c r="J14" s="20" t="b">
        <f>J2</f>
        <v>0</v>
      </c>
      <c r="K14" s="17"/>
      <c r="L14" s="106" t="b">
        <f>AND(Table24[[#This Row],[NRT]],OR(Table24[[#This Row],[Light Smoker]:[Heavy Smoker]]),AND(Table24[[#This Row],[Patch]:[Mist]]),OR(Table24[[#This Row],[Mint]:[Flavor]]))</f>
        <v>0</v>
      </c>
      <c r="M14" s="28" t="s">
        <v>1144</v>
      </c>
    </row>
    <row r="15" spans="1:13">
      <c r="A15" t="b">
        <f>IF(Table24[[#This Row],[Column1]],Table24[[#This Row],[Column9]])</f>
        <v>0</v>
      </c>
      <c r="B15" s="20" t="b">
        <f>B2</f>
        <v>1</v>
      </c>
      <c r="C15" s="20" t="b">
        <f>C2</f>
        <v>0</v>
      </c>
      <c r="D15" s="17"/>
      <c r="E15" s="17"/>
      <c r="F15" s="17"/>
      <c r="G15" s="20" t="b">
        <f>G5</f>
        <v>0</v>
      </c>
      <c r="H15" s="17"/>
      <c r="I15" s="17"/>
      <c r="J15" s="20" t="b">
        <f>J2</f>
        <v>0</v>
      </c>
      <c r="K15" s="17"/>
      <c r="L15" s="106" t="b">
        <f>AND(Table24[[#This Row],[NRT]],OR(Table24[[#This Row],[Light Smoker]:[Heavy Smoker]]),AND(Table24[[#This Row],[Patch]:[Mist]]),OR(Table24[[#This Row],[Mint]:[Flavor]]))</f>
        <v>0</v>
      </c>
      <c r="M15" s="11" t="s">
        <v>1141</v>
      </c>
    </row>
    <row r="16" spans="1:13">
      <c r="A16" t="b">
        <f>IF(Table24[[#This Row],[Column1]],Table24[[#This Row],[Column9]])</f>
        <v>0</v>
      </c>
      <c r="B16" s="20" t="b">
        <f>B2</f>
        <v>1</v>
      </c>
      <c r="C16" s="17"/>
      <c r="D16" s="20" t="b">
        <f>D2</f>
        <v>0</v>
      </c>
      <c r="E16" s="17"/>
      <c r="F16" s="17"/>
      <c r="G16" s="20" t="b">
        <f>G5</f>
        <v>0</v>
      </c>
      <c r="H16" s="17"/>
      <c r="I16" s="17"/>
      <c r="J16" s="20" t="b">
        <f>J2</f>
        <v>0</v>
      </c>
      <c r="K16" s="17"/>
      <c r="L16" s="106" t="b">
        <f>AND(Table24[[#This Row],[NRT]],OR(Table24[[#This Row],[Light Smoker]:[Heavy Smoker]]),AND(Table24[[#This Row],[Patch]:[Mist]]),OR(Table24[[#This Row],[Mint]:[Flavor]]))</f>
        <v>0</v>
      </c>
      <c r="M16" s="11" t="s">
        <v>1142</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6" t="b">
        <f>AND(Table24[[#This Row],[NRT]],OR(Table24[[#This Row],[Light Smoker]:[Heavy Smoker]]),AND(Table24[[#This Row],[Patch]:[Mist]]),OR(Table24[[#This Row],[Mint]:[Flavor]]))</f>
        <v>0</v>
      </c>
      <c r="M17" s="11" t="s">
        <v>1140</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6" t="b">
        <f>AND(Table24[[#This Row],[NRT]],OR(Table24[[#This Row],[Light Smoker]:[Heavy Smoker]]),AND(Table24[[#This Row],[Patch]:[Mist]]),OR(Table24[[#This Row],[Mint]:[Flavor]]))</f>
        <v>0</v>
      </c>
      <c r="M18" s="11" t="s">
        <v>1139</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16"/>
    </row>
    <row r="20" spans="1:13">
      <c r="A20" t="b">
        <f>IF(Table24[[#This Row],[Column1]],Table24[[#This Row],[Column9]])</f>
        <v>0</v>
      </c>
      <c r="B20" s="20" t="b">
        <f>B2</f>
        <v>1</v>
      </c>
      <c r="C20" s="17"/>
      <c r="D20" s="20" t="b">
        <f>D2</f>
        <v>0</v>
      </c>
      <c r="E20" s="20" t="b">
        <f>E9</f>
        <v>0</v>
      </c>
      <c r="F20" s="17"/>
      <c r="G20" s="17"/>
      <c r="H20" s="17"/>
      <c r="I20" s="17"/>
      <c r="J20" s="17"/>
      <c r="K20" s="17"/>
      <c r="L20" s="210" t="b">
        <f>AND(Table24[[#This Row],[NRT]],OR(Table24[[#This Row],[Light Smoker]:[Heavy Smoker]]),AND(Table24[[#This Row],[Patch]:[Mist]]))</f>
        <v>0</v>
      </c>
      <c r="M20" s="11" t="s">
        <v>1129</v>
      </c>
    </row>
    <row r="21" spans="1:13">
      <c r="A21" t="b">
        <f>IF(Table24[[#This Row],[Column1]],Table24[[#This Row],[Column9]])</f>
        <v>0</v>
      </c>
      <c r="B21" s="20" t="b">
        <f>B2</f>
        <v>1</v>
      </c>
      <c r="C21" s="20" t="b">
        <f>C2</f>
        <v>0</v>
      </c>
      <c r="D21" s="17"/>
      <c r="E21" s="20" t="b">
        <f>E9</f>
        <v>0</v>
      </c>
      <c r="F21" s="17"/>
      <c r="G21" s="17"/>
      <c r="H21" s="17"/>
      <c r="I21" s="17"/>
      <c r="J21" s="17"/>
      <c r="K21" s="17"/>
      <c r="L21" s="210" t="b">
        <f>AND(Table24[[#This Row],[NRT]],OR(Table24[[#This Row],[Light Smoker]:[Heavy Smoker]]),AND(Table24[[#This Row],[Patch]:[Mist]]))</f>
        <v>0</v>
      </c>
      <c r="M21" s="11" t="s">
        <v>1130</v>
      </c>
    </row>
    <row r="22" spans="1:13">
      <c r="A22" t="b">
        <f>IF(Table24[[#This Row],[Column1]],Table24[[#This Row],[Column9]])</f>
        <v>0</v>
      </c>
      <c r="B22" s="20" t="b">
        <f>B2</f>
        <v>1</v>
      </c>
      <c r="C22" s="20" t="b">
        <f>C2</f>
        <v>0</v>
      </c>
      <c r="D22" s="17"/>
      <c r="E22" s="20" t="b">
        <f>E9</f>
        <v>0</v>
      </c>
      <c r="F22" s="17"/>
      <c r="G22" s="17"/>
      <c r="H22" s="17"/>
      <c r="I22" s="17"/>
      <c r="J22" s="17"/>
      <c r="K22" s="17"/>
      <c r="L22" s="210" t="b">
        <f>AND(Table24[[#This Row],[NRT]],OR(Table24[[#This Row],[Light Smoker]:[Heavy Smoker]]),AND(Table24[[#This Row],[Patch]:[Mist]]))</f>
        <v>0</v>
      </c>
      <c r="M22" s="11" t="s">
        <v>1131</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16"/>
    </row>
    <row r="24" spans="1:13">
      <c r="A24" t="e">
        <f>IF(Table24[[#This Row],[Column1]],Table24[[#This Row],[Column9]])</f>
        <v>#VALUE!</v>
      </c>
      <c r="L24" t="e">
        <f>AND(OR(Table24[[#This Row],[Light Smoker]:[Heavy Smoker]]),AND(Table24[[#This Row],[Patch]:[Mist]]),OR(Table24[[#This Row],[Mint]:[Flavor]]))</f>
        <v>#VALUE!</v>
      </c>
    </row>
    <row r="25" spans="1:13">
      <c r="A25" t="e">
        <f>IF(Table24[[#This Row],[Column1]],Table24[[#This Row],[Column9]])</f>
        <v>#VALUE!</v>
      </c>
      <c r="L25" t="e">
        <f>AND(OR(Table24[[#This Row],[Light Smoker]:[Heavy Smoker]]),AND(Table24[[#This Row],[Patch]:[Mist]]),OR(Table24[[#This Row],[Mint]:[Flavor]]))</f>
        <v>#VALUE!</v>
      </c>
    </row>
    <row r="26" spans="1:13">
      <c r="A26" t="e">
        <f>IF(Table24[[#This Row],[Column1]],Table24[[#This Row],[Column9]])</f>
        <v>#VALUE!</v>
      </c>
      <c r="L26" t="e">
        <f>AND(OR(Table24[[#This Row],[Light Smoker]:[Heavy Smoker]]),AND(Table24[[#This Row],[Patch]:[Mist]]),OR(Table24[[#This Row],[Mint]:[Flavor]]))</f>
        <v>#VALUE!</v>
      </c>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A18" sqref="A18"/>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58" t="s">
        <v>1290</v>
      </c>
      <c r="B3" s="5" t="b">
        <v>1</v>
      </c>
      <c r="C3" s="156"/>
      <c r="D3" s="4"/>
    </row>
    <row r="4" spans="1:4" ht="15.75" thickBot="1">
      <c r="A4" s="158" t="s">
        <v>1291</v>
      </c>
      <c r="B4" s="5" t="b">
        <v>1</v>
      </c>
      <c r="C4" s="156"/>
      <c r="D4" s="4"/>
    </row>
    <row r="5" spans="1:4" ht="15.75" thickBot="1">
      <c r="A5" s="158" t="s">
        <v>1292</v>
      </c>
      <c r="B5" s="5" t="b">
        <v>1</v>
      </c>
      <c r="C5" s="156"/>
      <c r="D5" s="4"/>
    </row>
    <row r="6" spans="1:4" ht="15.75" thickBot="1">
      <c r="A6" s="161" t="s">
        <v>1308</v>
      </c>
      <c r="B6" s="5" t="b">
        <v>1</v>
      </c>
      <c r="C6" s="156" t="b">
        <f>NOT(B6)</f>
        <v>0</v>
      </c>
      <c r="D6" s="4"/>
    </row>
    <row r="7" spans="1:4" ht="15.75" thickBot="1">
      <c r="A7" s="161" t="s">
        <v>1293</v>
      </c>
      <c r="B7" s="5" t="b">
        <v>1</v>
      </c>
      <c r="C7" s="156" t="b">
        <f t="shared" ref="C7:C10" si="0">NOT(B7)</f>
        <v>0</v>
      </c>
      <c r="D7" s="4"/>
    </row>
    <row r="8" spans="1:4" ht="15.75" thickBot="1">
      <c r="A8" s="161" t="s">
        <v>1294</v>
      </c>
      <c r="B8" s="5" t="b">
        <v>1</v>
      </c>
      <c r="C8" s="156" t="b">
        <f t="shared" si="0"/>
        <v>0</v>
      </c>
      <c r="D8" s="4"/>
    </row>
    <row r="9" spans="1:4" ht="15.75" thickBot="1">
      <c r="A9" s="161" t="s">
        <v>1295</v>
      </c>
      <c r="B9" s="5" t="b">
        <v>1</v>
      </c>
      <c r="C9" s="156" t="b">
        <f t="shared" si="0"/>
        <v>0</v>
      </c>
      <c r="D9" s="60"/>
    </row>
    <row r="10" spans="1:4" ht="15.75" thickBot="1">
      <c r="A10" s="161" t="s">
        <v>1296</v>
      </c>
      <c r="B10" s="5" t="b">
        <v>1</v>
      </c>
      <c r="C10" s="156" t="b">
        <f t="shared" si="0"/>
        <v>0</v>
      </c>
      <c r="D10" s="56"/>
    </row>
    <row r="11" spans="1:4" ht="15.75" thickBot="1">
      <c r="A11" s="162" t="s">
        <v>1302</v>
      </c>
      <c r="B11" s="5" t="b">
        <v>1</v>
      </c>
      <c r="C11" s="156"/>
      <c r="D11" s="37"/>
    </row>
    <row r="12" spans="1:4" ht="15.75" thickBot="1">
      <c r="A12" s="162" t="s">
        <v>1303</v>
      </c>
      <c r="B12" s="5" t="b">
        <v>1</v>
      </c>
      <c r="C12" s="156"/>
      <c r="D12" s="37"/>
    </row>
    <row r="13" spans="1:4" ht="15.75" thickBot="1">
      <c r="A13" s="162" t="s">
        <v>1309</v>
      </c>
      <c r="B13" s="5" t="b">
        <v>1</v>
      </c>
      <c r="C13" s="156"/>
      <c r="D13" s="37"/>
    </row>
    <row r="14" spans="1:4" ht="15.75" thickBot="1">
      <c r="A14" s="162" t="s">
        <v>1304</v>
      </c>
      <c r="B14" s="5" t="b">
        <v>1</v>
      </c>
      <c r="C14" s="156"/>
      <c r="D14" s="37"/>
    </row>
    <row r="15" spans="1:4" ht="15.75" thickBot="1">
      <c r="A15" s="162" t="s">
        <v>1305</v>
      </c>
      <c r="B15" s="5" t="b">
        <v>1</v>
      </c>
      <c r="C15" s="156"/>
      <c r="D15" s="37"/>
    </row>
    <row r="16" spans="1:4" ht="15.75" thickBot="1">
      <c r="A16" s="163" t="s">
        <v>1297</v>
      </c>
      <c r="B16" s="5" t="b">
        <v>1</v>
      </c>
      <c r="C16" s="156" t="b">
        <f>NOT(B16)</f>
        <v>0</v>
      </c>
      <c r="D16" s="37"/>
    </row>
    <row r="17" spans="1:4" ht="15.75" thickBot="1">
      <c r="A17" s="163" t="s">
        <v>1943</v>
      </c>
      <c r="B17" s="5" t="b">
        <v>1</v>
      </c>
      <c r="C17" s="156" t="b">
        <f t="shared" ref="C17" si="1">NOT(B17)</f>
        <v>0</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B16" sqref="B16"/>
    </sheetView>
  </sheetViews>
  <sheetFormatPr defaultRowHeight="15"/>
  <cols>
    <col min="1" max="1" width="51.85546875" customWidth="1"/>
  </cols>
  <sheetData>
    <row r="1" spans="1:3" ht="15.75" thickTop="1">
      <c r="A1" s="3" t="s">
        <v>15</v>
      </c>
      <c r="B1" s="7" t="s">
        <v>18</v>
      </c>
      <c r="C1" s="96"/>
    </row>
    <row r="2" spans="1:3" ht="15.75" thickBot="1">
      <c r="B2" s="4"/>
      <c r="C2" s="96"/>
    </row>
    <row r="3" spans="1:3" ht="15.75" thickBot="1">
      <c r="A3" s="161" t="s">
        <v>1187</v>
      </c>
      <c r="B3" s="147" t="b">
        <v>0</v>
      </c>
      <c r="C3" s="205" t="b">
        <f>NOT(B3)</f>
        <v>1</v>
      </c>
    </row>
    <row r="4" spans="1:3" ht="15.75" thickBot="1">
      <c r="A4" s="55" t="s">
        <v>1188</v>
      </c>
      <c r="B4" s="147" t="b">
        <v>0</v>
      </c>
      <c r="C4" s="205" t="b">
        <f>NOT(B4)</f>
        <v>1</v>
      </c>
    </row>
    <row r="5" spans="1:3" ht="15.75" thickBot="1">
      <c r="A5" s="161" t="s">
        <v>1905</v>
      </c>
      <c r="B5" s="147" t="b">
        <v>0</v>
      </c>
      <c r="C5" s="205" t="b">
        <f>NOT(B5)</f>
        <v>1</v>
      </c>
    </row>
    <row r="6" spans="1:3" ht="15.75" thickBot="1">
      <c r="A6" s="55" t="s">
        <v>1196</v>
      </c>
      <c r="B6" s="147" t="b">
        <v>0</v>
      </c>
      <c r="C6" s="205" t="b">
        <f>NOT(B6)</f>
        <v>1</v>
      </c>
    </row>
    <row r="7" spans="1:3" ht="15.75" thickBot="1">
      <c r="A7" s="55" t="s">
        <v>1189</v>
      </c>
      <c r="B7" s="147" t="b">
        <v>0</v>
      </c>
      <c r="C7" s="205" t="b">
        <f t="shared" ref="C7:C16" si="0">NOT(B7)</f>
        <v>1</v>
      </c>
    </row>
    <row r="8" spans="1:3" ht="15.75" thickBot="1">
      <c r="A8" s="170" t="s">
        <v>1191</v>
      </c>
      <c r="B8" s="147" t="b">
        <v>0</v>
      </c>
      <c r="C8" s="205" t="b">
        <f t="shared" si="0"/>
        <v>1</v>
      </c>
    </row>
    <row r="9" spans="1:3" ht="15.75" thickBot="1">
      <c r="A9" s="170" t="s">
        <v>1190</v>
      </c>
      <c r="B9" s="147" t="b">
        <v>0</v>
      </c>
      <c r="C9" s="205" t="b">
        <f t="shared" si="0"/>
        <v>1</v>
      </c>
    </row>
    <row r="10" spans="1:3" ht="15.75" thickBot="1">
      <c r="A10" s="176" t="s">
        <v>1192</v>
      </c>
      <c r="B10" s="147" t="b">
        <v>0</v>
      </c>
      <c r="C10" s="205" t="b">
        <f t="shared" si="0"/>
        <v>1</v>
      </c>
    </row>
    <row r="11" spans="1:3" ht="15.75" thickBot="1">
      <c r="A11" s="176" t="s">
        <v>1193</v>
      </c>
      <c r="B11" s="147" t="b">
        <v>0</v>
      </c>
      <c r="C11" s="205" t="b">
        <f t="shared" si="0"/>
        <v>1</v>
      </c>
    </row>
    <row r="12" spans="1:3" ht="15.75" thickBot="1">
      <c r="A12" s="55" t="s">
        <v>1194</v>
      </c>
      <c r="B12" s="147" t="b">
        <v>0</v>
      </c>
      <c r="C12" s="205" t="b">
        <f t="shared" si="0"/>
        <v>1</v>
      </c>
    </row>
    <row r="13" spans="1:3" ht="15.75" thickBot="1">
      <c r="A13" s="55" t="s">
        <v>1195</v>
      </c>
      <c r="B13" s="147" t="b">
        <v>0</v>
      </c>
      <c r="C13" s="205" t="b">
        <f t="shared" si="0"/>
        <v>1</v>
      </c>
    </row>
    <row r="14" spans="1:3" ht="15.75" thickBot="1">
      <c r="A14" s="1" t="s">
        <v>1197</v>
      </c>
      <c r="B14" s="33" t="b">
        <v>0</v>
      </c>
      <c r="C14" s="205" t="b">
        <f t="shared" si="0"/>
        <v>1</v>
      </c>
    </row>
    <row r="15" spans="1:3" ht="15.75" thickBot="1">
      <c r="A15" s="1" t="s">
        <v>1198</v>
      </c>
      <c r="B15" s="33" t="b">
        <v>0</v>
      </c>
      <c r="C15" s="205" t="b">
        <f t="shared" si="0"/>
        <v>1</v>
      </c>
    </row>
    <row r="16" spans="1:3" ht="15.75" thickBot="1">
      <c r="A16" s="1" t="s">
        <v>1199</v>
      </c>
      <c r="B16" s="33" t="b">
        <v>0</v>
      </c>
      <c r="C16" s="205"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39"/>
  <sheetViews>
    <sheetView workbookViewId="0">
      <selection activeCell="R21" sqref="R21"/>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70" t="s">
        <v>1212</v>
      </c>
      <c r="B1" t="s">
        <v>1133</v>
      </c>
      <c r="C1" t="s">
        <v>1134</v>
      </c>
      <c r="D1" t="s">
        <v>1903</v>
      </c>
      <c r="E1" t="s">
        <v>1904</v>
      </c>
      <c r="F1" t="s">
        <v>1168</v>
      </c>
      <c r="G1" t="s">
        <v>1161</v>
      </c>
      <c r="H1" t="s">
        <v>1162</v>
      </c>
      <c r="I1" t="s">
        <v>1902</v>
      </c>
      <c r="J1" t="s">
        <v>1163</v>
      </c>
      <c r="K1" t="s">
        <v>1164</v>
      </c>
      <c r="L1" t="s">
        <v>1165</v>
      </c>
      <c r="M1" t="s">
        <v>1178</v>
      </c>
      <c r="N1" t="s">
        <v>1170</v>
      </c>
      <c r="O1" t="s">
        <v>1173</v>
      </c>
      <c r="P1" t="s">
        <v>1958</v>
      </c>
      <c r="Q1" t="s">
        <v>591</v>
      </c>
      <c r="R1" t="s">
        <v>1132</v>
      </c>
    </row>
    <row r="2" spans="1:18">
      <c r="A2" t="b">
        <f>IF(Table26[[#This Row],[Column9]],Table26[[#This Row],[Column10]])</f>
        <v>0</v>
      </c>
      <c r="B2" s="17"/>
      <c r="C2" s="20" t="b">
        <f>AND('Blood Pressure Criteria'!B5,'Blood Pressure Criteria'!C3)</f>
        <v>0</v>
      </c>
      <c r="D2" s="20"/>
      <c r="E2" s="17" t="b">
        <f>AND('Blood Pressure Criteria'!C6)</f>
        <v>1</v>
      </c>
      <c r="F2" s="17" t="b">
        <f>AND('Blood Pressure Criteria'!C7)</f>
        <v>1</v>
      </c>
      <c r="G2" s="17"/>
      <c r="H2" s="20" t="b">
        <f>AND('Blood Pressure Criteria'!B8,'Blood Pressure Criteria'!C9)</f>
        <v>0</v>
      </c>
      <c r="I2" s="20"/>
      <c r="J2" s="67"/>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1160</v>
      </c>
    </row>
    <row r="3" spans="1:18">
      <c r="A3" t="b">
        <f>IF(Table26[[#This Row],[Column9]],Table26[[#This Row],[Column10]])</f>
        <v>0</v>
      </c>
      <c r="B3" s="17"/>
      <c r="C3" s="20" t="b">
        <f>C2</f>
        <v>0</v>
      </c>
      <c r="D3" s="17" t="b">
        <f>AND('Blood Pressure Criteria'!C4)</f>
        <v>1</v>
      </c>
      <c r="E3" s="20"/>
      <c r="F3" s="17" t="b">
        <f>F2</f>
        <v>1</v>
      </c>
      <c r="G3" s="20" t="b">
        <f>AND('Blood Pressure Criteria'!B9,'Blood Pressure Criteria'!C8)</f>
        <v>0</v>
      </c>
      <c r="H3" s="17"/>
      <c r="I3" s="17" t="b">
        <f>AND('Blood Pressure Criteria'!C12)</f>
        <v>1</v>
      </c>
      <c r="J3" s="20"/>
      <c r="K3" s="17"/>
      <c r="L3" s="20" t="b">
        <f>AND('Blood Pressure Criteria'!B11,'Blood Pressure Criteria'!C10)</f>
        <v>0</v>
      </c>
      <c r="M3" s="17" t="b">
        <f>M2</f>
        <v>1</v>
      </c>
      <c r="N3" s="17" t="b">
        <f>N2</f>
        <v>1</v>
      </c>
      <c r="O3" s="17" t="b">
        <f>O2</f>
        <v>1</v>
      </c>
      <c r="P3" s="21"/>
      <c r="Q3" t="b">
        <f>AND(Table26[[#This Row],[Battery]:[Reading Reminder]])</f>
        <v>0</v>
      </c>
      <c r="R3" s="11" t="s">
        <v>1166</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c r="K4" s="17"/>
      <c r="L4" s="20" t="b">
        <f>L3</f>
        <v>0</v>
      </c>
      <c r="M4" s="20"/>
      <c r="N4" s="17" t="b">
        <f>N2</f>
        <v>1</v>
      </c>
      <c r="O4" s="17" t="b">
        <f>O2</f>
        <v>1</v>
      </c>
      <c r="P4" s="21"/>
      <c r="Q4" t="b">
        <f>AND(Table26[[#This Row],[Battery]:[Reading Reminder]])</f>
        <v>0</v>
      </c>
      <c r="R4" s="11" t="s">
        <v>1167</v>
      </c>
    </row>
    <row r="5" spans="1:18">
      <c r="A5" t="b">
        <f>IF(Table26[[#This Row],[Column9]],Table26[[#This Row],[Column10]])</f>
        <v>0</v>
      </c>
      <c r="B5" s="20" t="b">
        <f>B4</f>
        <v>0</v>
      </c>
      <c r="C5" s="17"/>
      <c r="D5" s="20"/>
      <c r="E5" s="17" t="b">
        <f>E2</f>
        <v>1</v>
      </c>
      <c r="F5" s="20"/>
      <c r="G5" s="20" t="b">
        <f>G3</f>
        <v>0</v>
      </c>
      <c r="H5" s="17"/>
      <c r="I5" s="17" t="b">
        <f>I3</f>
        <v>1</v>
      </c>
      <c r="J5" s="20"/>
      <c r="K5" s="17"/>
      <c r="L5" s="20" t="b">
        <f>L3</f>
        <v>0</v>
      </c>
      <c r="M5" s="20"/>
      <c r="N5" s="17" t="b">
        <f>N2</f>
        <v>1</v>
      </c>
      <c r="O5" s="17" t="b">
        <f>O2</f>
        <v>1</v>
      </c>
      <c r="P5" s="21"/>
      <c r="Q5" t="b">
        <f>AND(Table26[[#This Row],[Battery]:[Reading Reminder]])</f>
        <v>0</v>
      </c>
      <c r="R5" s="11" t="s">
        <v>1169</v>
      </c>
    </row>
    <row r="6" spans="1:18">
      <c r="A6" t="b">
        <f>IF(Table26[[#This Row],[Column9]],Table26[[#This Row],[Column10]])</f>
        <v>0</v>
      </c>
      <c r="B6" s="17"/>
      <c r="C6" s="20" t="b">
        <f>C2</f>
        <v>0</v>
      </c>
      <c r="D6" s="20"/>
      <c r="E6" s="20"/>
      <c r="F6" s="17" t="b">
        <f>F2</f>
        <v>1</v>
      </c>
      <c r="G6" s="20" t="b">
        <f>G3</f>
        <v>0</v>
      </c>
      <c r="H6" s="17"/>
      <c r="I6" s="20"/>
      <c r="J6" s="20"/>
      <c r="K6" s="17"/>
      <c r="L6" s="20" t="b">
        <f>L3</f>
        <v>0</v>
      </c>
      <c r="M6" s="20"/>
      <c r="N6" s="20"/>
      <c r="O6" s="17" t="b">
        <f>O2</f>
        <v>1</v>
      </c>
      <c r="P6" s="21"/>
      <c r="Q6" t="b">
        <f>AND(Table26[[#This Row],[Battery]:[Reading Reminder]])</f>
        <v>0</v>
      </c>
      <c r="R6" s="11" t="s">
        <v>1171</v>
      </c>
    </row>
    <row r="7" spans="1:18">
      <c r="A7" t="b">
        <f>IF(Table26[[#This Row],[Column9]],Table26[[#This Row],[Column10]])</f>
        <v>0</v>
      </c>
      <c r="B7" s="17"/>
      <c r="C7" s="20" t="b">
        <f>C2</f>
        <v>0</v>
      </c>
      <c r="D7" s="17" t="b">
        <f>D3</f>
        <v>1</v>
      </c>
      <c r="E7" s="20"/>
      <c r="F7" s="17" t="b">
        <f>F2</f>
        <v>1</v>
      </c>
      <c r="G7" s="20" t="b">
        <f>G3</f>
        <v>0</v>
      </c>
      <c r="H7" s="17"/>
      <c r="I7" s="17" t="b">
        <f>I3</f>
        <v>1</v>
      </c>
      <c r="J7" s="20"/>
      <c r="K7" s="20" t="b">
        <f>K2</f>
        <v>0</v>
      </c>
      <c r="L7" s="17"/>
      <c r="M7" s="20"/>
      <c r="N7" s="17" t="b">
        <f>N2</f>
        <v>1</v>
      </c>
      <c r="O7" s="20"/>
      <c r="P7" s="21"/>
      <c r="Q7" t="b">
        <f>AND(Table26[[#This Row],[Battery]:[Reading Reminder]])</f>
        <v>0</v>
      </c>
      <c r="R7" s="11" t="s">
        <v>1172</v>
      </c>
    </row>
    <row r="8" spans="1:18">
      <c r="A8" t="b">
        <f>IF(Table26[[#This Row],[Column9]],Table26[[#This Row],[Column10]])</f>
        <v>0</v>
      </c>
      <c r="B8" s="17"/>
      <c r="C8" s="20" t="b">
        <f>C2</f>
        <v>0</v>
      </c>
      <c r="D8" s="17" t="b">
        <f>D3</f>
        <v>1</v>
      </c>
      <c r="E8" s="20"/>
      <c r="F8" s="17" t="b">
        <f>F2</f>
        <v>1</v>
      </c>
      <c r="G8" s="20" t="b">
        <f>G3</f>
        <v>0</v>
      </c>
      <c r="H8" s="17"/>
      <c r="I8" s="20"/>
      <c r="J8" s="20"/>
      <c r="K8" s="17"/>
      <c r="L8" s="20" t="b">
        <f>L3</f>
        <v>0</v>
      </c>
      <c r="M8" s="20"/>
      <c r="N8" s="17" t="b">
        <f>N2</f>
        <v>1</v>
      </c>
      <c r="O8" s="20"/>
      <c r="P8" s="21"/>
      <c r="Q8" t="b">
        <f>AND(Table26[[#This Row],[Battery]:[Reading Reminder]])</f>
        <v>0</v>
      </c>
      <c r="R8" s="11" t="s">
        <v>1174</v>
      </c>
    </row>
    <row r="9" spans="1:18">
      <c r="A9" t="b">
        <f>IF(Table26[[#This Row],[Column9]],Table26[[#This Row],[Column10]])</f>
        <v>0</v>
      </c>
      <c r="B9" s="17"/>
      <c r="C9" s="20" t="b">
        <f>C2</f>
        <v>0</v>
      </c>
      <c r="D9" s="20"/>
      <c r="E9" s="20"/>
      <c r="F9" s="20"/>
      <c r="G9" s="17"/>
      <c r="H9" s="20" t="b">
        <f>H2</f>
        <v>0</v>
      </c>
      <c r="I9" s="20"/>
      <c r="J9" s="20"/>
      <c r="K9" s="20" t="b">
        <f>K2</f>
        <v>0</v>
      </c>
      <c r="L9" s="17"/>
      <c r="M9" s="17" t="b">
        <f>M2</f>
        <v>1</v>
      </c>
      <c r="N9" s="17" t="b">
        <f>N2</f>
        <v>1</v>
      </c>
      <c r="O9" s="17" t="b">
        <f>O2</f>
        <v>1</v>
      </c>
      <c r="P9" s="21"/>
      <c r="Q9" t="b">
        <f>AND(Table26[[#This Row],[Battery]:[Reading Reminder]])</f>
        <v>0</v>
      </c>
      <c r="R9" s="108" t="s">
        <v>1175</v>
      </c>
    </row>
    <row r="10" spans="1:18">
      <c r="A10" t="b">
        <f>IF(Table26[[#This Row],[Column9]],Table26[[#This Row],[Column10]])</f>
        <v>0</v>
      </c>
      <c r="B10" s="17"/>
      <c r="C10" s="20" t="b">
        <f>C2</f>
        <v>0</v>
      </c>
      <c r="D10" s="17" t="b">
        <f>D3</f>
        <v>1</v>
      </c>
      <c r="E10" s="20"/>
      <c r="F10" s="17" t="b">
        <f>F2</f>
        <v>1</v>
      </c>
      <c r="G10" s="20" t="b">
        <f>G3</f>
        <v>0</v>
      </c>
      <c r="H10" s="17"/>
      <c r="I10" s="17" t="b">
        <f>I3</f>
        <v>1</v>
      </c>
      <c r="J10" s="20"/>
      <c r="K10" s="17"/>
      <c r="L10" s="20" t="b">
        <f>L3</f>
        <v>0</v>
      </c>
      <c r="M10" s="17" t="b">
        <f>M2</f>
        <v>1</v>
      </c>
      <c r="N10" s="17" t="b">
        <f>N2</f>
        <v>1</v>
      </c>
      <c r="O10" s="17" t="b">
        <f>O2</f>
        <v>1</v>
      </c>
      <c r="P10" s="21"/>
      <c r="Q10" t="b">
        <f>AND(Table26[[#This Row],[Battery]:[Reading Reminder]])</f>
        <v>0</v>
      </c>
      <c r="R10" s="11" t="s">
        <v>1176</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c r="E12" s="17" t="b">
        <f>E2</f>
        <v>1</v>
      </c>
      <c r="F12" s="17" t="b">
        <f>F2</f>
        <v>1</v>
      </c>
      <c r="G12" s="20" t="b">
        <f>G3</f>
        <v>0</v>
      </c>
      <c r="H12" s="17"/>
      <c r="I12" s="17" t="b">
        <f>I3</f>
        <v>1</v>
      </c>
      <c r="J12" s="20"/>
      <c r="K12" s="20" t="b">
        <f>K2</f>
        <v>0</v>
      </c>
      <c r="L12" s="17"/>
      <c r="M12" s="20"/>
      <c r="N12" s="17" t="b">
        <f>N2</f>
        <v>1</v>
      </c>
      <c r="O12" s="17" t="b">
        <f>O2</f>
        <v>1</v>
      </c>
      <c r="P12" s="21"/>
      <c r="Q12" t="b">
        <f>AND(Table26[[#This Row],[Battery]:[Reading Reminder]])</f>
        <v>0</v>
      </c>
      <c r="R12" s="11" t="s">
        <v>1177</v>
      </c>
    </row>
    <row r="13" spans="1:18">
      <c r="A13" t="b">
        <f>IF(Table26[[#This Row],[Column9]],Table26[[#This Row],[Column10]])</f>
        <v>0</v>
      </c>
      <c r="B13" s="20" t="b">
        <f>B4</f>
        <v>0</v>
      </c>
      <c r="C13" s="17"/>
      <c r="D13" s="17" t="b">
        <f>D3</f>
        <v>1</v>
      </c>
      <c r="E13" s="17" t="b">
        <f>E2</f>
        <v>1</v>
      </c>
      <c r="F13" s="17" t="b">
        <f>F2</f>
        <v>1</v>
      </c>
      <c r="G13" s="20" t="b">
        <f>G3</f>
        <v>0</v>
      </c>
      <c r="H13" s="17"/>
      <c r="I13" s="17" t="b">
        <f>I3</f>
        <v>1</v>
      </c>
      <c r="J13" s="20"/>
      <c r="K13" s="20" t="b">
        <f>K2</f>
        <v>0</v>
      </c>
      <c r="L13" s="17"/>
      <c r="M13" s="20"/>
      <c r="N13" s="17" t="b">
        <f>N2</f>
        <v>1</v>
      </c>
      <c r="O13" s="17" t="b">
        <f>O2</f>
        <v>1</v>
      </c>
      <c r="P13" s="21"/>
      <c r="Q13" t="b">
        <f>AND(Table26[[#This Row],[Battery]:[Reading Reminder]])</f>
        <v>0</v>
      </c>
      <c r="R13" s="11" t="s">
        <v>1179</v>
      </c>
    </row>
    <row r="14" spans="1:18">
      <c r="A14" t="b">
        <f>IF(Table26[[#This Row],[Column9]],Table26[[#This Row],[Column10]])</f>
        <v>0</v>
      </c>
      <c r="B14" s="17"/>
      <c r="C14" s="20" t="b">
        <f>C2</f>
        <v>0</v>
      </c>
      <c r="D14" s="20"/>
      <c r="E14" s="17" t="b">
        <f>E2</f>
        <v>1</v>
      </c>
      <c r="F14" s="20"/>
      <c r="G14" s="17"/>
      <c r="H14" s="20" t="b">
        <f>H2</f>
        <v>0</v>
      </c>
      <c r="I14" s="17" t="b">
        <f>I3</f>
        <v>1</v>
      </c>
      <c r="J14" s="20"/>
      <c r="K14" s="20" t="b">
        <f>K2</f>
        <v>0</v>
      </c>
      <c r="L14" s="17"/>
      <c r="M14" s="17" t="b">
        <f>M2</f>
        <v>1</v>
      </c>
      <c r="N14" s="17" t="b">
        <f>N2</f>
        <v>1</v>
      </c>
      <c r="O14" s="17" t="b">
        <f>O2</f>
        <v>1</v>
      </c>
      <c r="P14" s="21"/>
      <c r="Q14" t="b">
        <f>AND(Table26[[#This Row],[Battery]:[Reading Reminder]])</f>
        <v>0</v>
      </c>
      <c r="R14" s="11" t="s">
        <v>1180</v>
      </c>
    </row>
    <row r="15" spans="1:18">
      <c r="A15" t="b">
        <f>IF(Table26[[#This Row],[Column9]],Table26[[#This Row],[Column10]])</f>
        <v>0</v>
      </c>
      <c r="B15" s="17"/>
      <c r="C15" s="20" t="b">
        <f>C2</f>
        <v>0</v>
      </c>
      <c r="D15" s="20"/>
      <c r="E15" s="17" t="b">
        <f>E2</f>
        <v>1</v>
      </c>
      <c r="F15" s="20"/>
      <c r="G15" s="17"/>
      <c r="H15" s="20" t="b">
        <f>H2</f>
        <v>0</v>
      </c>
      <c r="I15" s="17" t="b">
        <f>I3</f>
        <v>1</v>
      </c>
      <c r="J15" s="20"/>
      <c r="K15" s="20" t="b">
        <f>K2</f>
        <v>0</v>
      </c>
      <c r="L15" s="17"/>
      <c r="M15" s="17" t="b">
        <f>M2</f>
        <v>1</v>
      </c>
      <c r="N15" s="17" t="b">
        <f>N2</f>
        <v>1</v>
      </c>
      <c r="O15" s="17" t="b">
        <f>O2</f>
        <v>1</v>
      </c>
      <c r="P15" s="21"/>
      <c r="Q15" t="b">
        <f>AND(Table26[[#This Row],[Battery]:[Reading Reminder]])</f>
        <v>0</v>
      </c>
      <c r="R15" s="11" t="s">
        <v>1181</v>
      </c>
    </row>
    <row r="16" spans="1:18">
      <c r="A16" t="b">
        <f>IF(Table26[[#This Row],[Column9]],Table26[[#This Row],[Column10]])</f>
        <v>0</v>
      </c>
      <c r="B16" s="17"/>
      <c r="C16" s="20" t="b">
        <f>C2</f>
        <v>0</v>
      </c>
      <c r="D16" s="20"/>
      <c r="E16" s="17" t="b">
        <f>E2</f>
        <v>1</v>
      </c>
      <c r="F16" s="20"/>
      <c r="G16" s="17"/>
      <c r="H16" s="20" t="b">
        <f>H2</f>
        <v>0</v>
      </c>
      <c r="I16" s="17" t="b">
        <f>I3</f>
        <v>1</v>
      </c>
      <c r="J16" s="20"/>
      <c r="K16" s="20" t="b">
        <f>K2</f>
        <v>0</v>
      </c>
      <c r="L16" s="17"/>
      <c r="M16" s="17" t="b">
        <f>M2</f>
        <v>1</v>
      </c>
      <c r="N16" s="17" t="b">
        <f>N2</f>
        <v>1</v>
      </c>
      <c r="O16" s="17" t="b">
        <f>O2</f>
        <v>1</v>
      </c>
      <c r="P16" s="21"/>
      <c r="Q16" t="b">
        <f>AND(Table26[[#This Row],[Battery]:[Reading Reminder]])</f>
        <v>0</v>
      </c>
      <c r="R16" s="11" t="s">
        <v>1182</v>
      </c>
    </row>
    <row r="17" spans="1:18">
      <c r="A17" t="b">
        <f>IF(Table26[[#This Row],[Column9]],Table26[[#This Row],[Column10]])</f>
        <v>0</v>
      </c>
      <c r="B17" s="17"/>
      <c r="C17" s="20" t="b">
        <f>C2</f>
        <v>0</v>
      </c>
      <c r="D17" s="20"/>
      <c r="E17" s="20"/>
      <c r="F17" s="20"/>
      <c r="G17" s="17"/>
      <c r="H17" s="20" t="b">
        <f>H2</f>
        <v>0</v>
      </c>
      <c r="I17" s="17" t="b">
        <f>I3</f>
        <v>1</v>
      </c>
      <c r="J17" s="20"/>
      <c r="K17" s="20" t="b">
        <f>K2</f>
        <v>0</v>
      </c>
      <c r="L17" s="17"/>
      <c r="M17" s="17" t="b">
        <f>M2</f>
        <v>1</v>
      </c>
      <c r="N17" s="17" t="b">
        <f>N2</f>
        <v>1</v>
      </c>
      <c r="O17" s="17" t="b">
        <f>O2</f>
        <v>1</v>
      </c>
      <c r="P17" s="21"/>
      <c r="Q17" t="b">
        <f>AND(Table26[[#This Row],[Battery]:[Reading Reminder]])</f>
        <v>0</v>
      </c>
      <c r="R17" s="11" t="s">
        <v>1183</v>
      </c>
    </row>
    <row r="18" spans="1:18">
      <c r="A18" t="b">
        <f>IF(Table26[[#This Row],[Column9]],Table26[[#This Row],[Column10]])</f>
        <v>0</v>
      </c>
      <c r="B18" s="17"/>
      <c r="C18" s="20" t="b">
        <f>C2</f>
        <v>0</v>
      </c>
      <c r="D18" s="20"/>
      <c r="E18" s="17" t="b">
        <f>E2</f>
        <v>1</v>
      </c>
      <c r="F18" s="20"/>
      <c r="G18" s="17"/>
      <c r="H18" s="20" t="b">
        <f>H2</f>
        <v>0</v>
      </c>
      <c r="I18" s="17" t="b">
        <f>I3</f>
        <v>1</v>
      </c>
      <c r="J18" s="20"/>
      <c r="K18" s="20" t="b">
        <f>K2</f>
        <v>0</v>
      </c>
      <c r="L18" s="17"/>
      <c r="M18" s="17" t="b">
        <f>M2</f>
        <v>1</v>
      </c>
      <c r="N18" s="17" t="b">
        <f>N2</f>
        <v>1</v>
      </c>
      <c r="O18" s="17" t="b">
        <f>O2</f>
        <v>1</v>
      </c>
      <c r="P18" s="21"/>
      <c r="Q18" t="b">
        <f>AND(Table26[[#This Row],[Battery]:[Reading Reminder]])</f>
        <v>0</v>
      </c>
      <c r="R18" s="11" t="s">
        <v>1184</v>
      </c>
    </row>
    <row r="19" spans="1:18">
      <c r="A19" t="b">
        <f>IF(Table26[[#This Row],[Column9]],Table26[[#This Row],[Column10]])</f>
        <v>0</v>
      </c>
      <c r="B19" s="17"/>
      <c r="C19" s="20" t="b">
        <f>C2</f>
        <v>0</v>
      </c>
      <c r="D19" s="20"/>
      <c r="E19" s="20"/>
      <c r="F19" s="20"/>
      <c r="G19" s="17"/>
      <c r="H19" s="20" t="b">
        <f>H2</f>
        <v>0</v>
      </c>
      <c r="I19" s="17" t="b">
        <f>I3</f>
        <v>1</v>
      </c>
      <c r="J19" s="20"/>
      <c r="K19" s="20" t="b">
        <f>K2</f>
        <v>0</v>
      </c>
      <c r="L19" s="17"/>
      <c r="M19" s="17" t="b">
        <f>M2</f>
        <v>1</v>
      </c>
      <c r="N19" s="17" t="b">
        <f>N2</f>
        <v>1</v>
      </c>
      <c r="O19" s="17" t="b">
        <f>O2</f>
        <v>1</v>
      </c>
      <c r="P19" s="21"/>
      <c r="Q19" t="b">
        <f>AND(Table26[[#This Row],[Battery]:[Reading Reminder]])</f>
        <v>0</v>
      </c>
      <c r="R19" s="11" t="s">
        <v>1185</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7" t="b">
        <f>C2</f>
        <v>0</v>
      </c>
      <c r="D21" s="67"/>
      <c r="E21" s="207" t="b">
        <f>E2</f>
        <v>1</v>
      </c>
      <c r="F21" s="17" t="b">
        <f>F2</f>
        <v>1</v>
      </c>
      <c r="G21" s="20" t="b">
        <f>G3</f>
        <v>0</v>
      </c>
      <c r="H21" s="17"/>
      <c r="I21" s="17" t="b">
        <f>I3</f>
        <v>1</v>
      </c>
      <c r="J21" s="17" t="b">
        <f>AND('Blood Pressure Criteria'!C13)</f>
        <v>1</v>
      </c>
      <c r="K21" s="17"/>
      <c r="L21" s="20" t="b">
        <f>L3</f>
        <v>0</v>
      </c>
      <c r="M21" s="20"/>
      <c r="N21" s="17" t="b">
        <f>N2</f>
        <v>1</v>
      </c>
      <c r="O21" s="17" t="b">
        <f>O2</f>
        <v>1</v>
      </c>
      <c r="P21" s="21"/>
      <c r="Q21" s="21" t="b">
        <f>AND(Table26[[#This Row],[Battery]:[Reading Reminder]])</f>
        <v>0</v>
      </c>
      <c r="R21" s="11" t="s">
        <v>1186</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23" spans="1:18">
      <c r="A23" t="e">
        <f>IF(Table26[[#This Row],[Column9]],Table26[[#This Row],[Column10]])</f>
        <v>#VALUE!</v>
      </c>
      <c r="Q23" t="e">
        <f>AND(Table26[[#This Row],[Battery]:[Reading Reminder]])</f>
        <v>#VALUE!</v>
      </c>
      <c r="R23" t="s">
        <v>1959</v>
      </c>
    </row>
    <row r="24" spans="1:18">
      <c r="A24" t="e">
        <f>IF(Table26[[#This Row],[Column9]],Table26[[#This Row],[Column10]])</f>
        <v>#VALUE!</v>
      </c>
      <c r="Q24" t="e">
        <f>AND(Table26[[#This Row],[Battery]:[Reading Reminder]])</f>
        <v>#VALUE!</v>
      </c>
      <c r="R24" t="s">
        <v>1960</v>
      </c>
    </row>
    <row r="25" spans="1:18">
      <c r="A25" t="e">
        <f>IF(Table26[[#This Row],[Column9]],Table26[[#This Row],[Column10]])</f>
        <v>#VALUE!</v>
      </c>
      <c r="Q25" t="e">
        <f>AND(Table26[[#This Row],[Battery]:[Reading Reminder]])</f>
        <v>#VALUE!</v>
      </c>
      <c r="R25" t="s">
        <v>1961</v>
      </c>
    </row>
    <row r="26" spans="1:18">
      <c r="A26" t="e">
        <f>IF(Table26[[#This Row],[Column9]],Table26[[#This Row],[Column10]])</f>
        <v>#VALUE!</v>
      </c>
      <c r="Q26" t="e">
        <f>AND(Table26[[#This Row],[Battery]:[Reading Reminder]])</f>
        <v>#VALUE!</v>
      </c>
      <c r="R26" t="s">
        <v>1962</v>
      </c>
    </row>
    <row r="27" spans="1:18">
      <c r="A27" t="e">
        <f>IF(Table26[[#This Row],[Column9]],Table26[[#This Row],[Column10]])</f>
        <v>#VALUE!</v>
      </c>
      <c r="Q27" t="e">
        <f>AND(Table26[[#This Row],[Battery]:[Reading Reminder]])</f>
        <v>#VALUE!</v>
      </c>
      <c r="R27" t="s">
        <v>1963</v>
      </c>
    </row>
    <row r="28" spans="1:18">
      <c r="A28" t="e">
        <f>IF(Table26[[#This Row],[Column9]],Table26[[#This Row],[Column10]])</f>
        <v>#VALUE!</v>
      </c>
      <c r="Q28" t="e">
        <f>AND(Table26[[#This Row],[Battery]:[Reading Reminder]])</f>
        <v>#VALUE!</v>
      </c>
      <c r="R28" t="s">
        <v>1964</v>
      </c>
    </row>
    <row r="29" spans="1:18">
      <c r="A29" t="e">
        <f>IF(Table26[[#This Row],[Column9]],Table26[[#This Row],[Column10]])</f>
        <v>#VALUE!</v>
      </c>
      <c r="Q29" t="e">
        <f>AND(Table26[[#This Row],[Battery]:[Reading Reminder]])</f>
        <v>#VALUE!</v>
      </c>
      <c r="R29" t="s">
        <v>1965</v>
      </c>
    </row>
    <row r="30" spans="1:18">
      <c r="A30" t="e">
        <f>IF(Table26[[#This Row],[Column9]],Table26[[#This Row],[Column10]])</f>
        <v>#VALUE!</v>
      </c>
      <c r="Q30" t="e">
        <f>AND(Table26[[#This Row],[Battery]:[Reading Reminder]])</f>
        <v>#VALUE!</v>
      </c>
      <c r="R30" t="s">
        <v>1966</v>
      </c>
    </row>
    <row r="31" spans="1:18">
      <c r="A31" t="e">
        <f>IF(Table26[[#This Row],[Column9]],Table26[[#This Row],[Column10]])</f>
        <v>#VALUE!</v>
      </c>
      <c r="Q31" t="e">
        <f>AND(Table26[[#This Row],[Battery]:[Reading Reminder]])</f>
        <v>#VALUE!</v>
      </c>
      <c r="R31" t="s">
        <v>1967</v>
      </c>
    </row>
    <row r="32" spans="1:18">
      <c r="A32" t="e">
        <f>IF(Table26[[#This Row],[Column9]],Table26[[#This Row],[Column10]])</f>
        <v>#VALUE!</v>
      </c>
      <c r="Q32" t="e">
        <f>AND(Table26[[#This Row],[Battery]:[Reading Reminder]])</f>
        <v>#VALUE!</v>
      </c>
      <c r="R32" t="s">
        <v>1968</v>
      </c>
    </row>
    <row r="33" spans="1:18">
      <c r="A33" t="e">
        <f>IF(Table26[[#This Row],[Column9]],Table26[[#This Row],[Column10]])</f>
        <v>#VALUE!</v>
      </c>
      <c r="Q33" t="e">
        <f>AND(Table26[[#This Row],[Battery]:[Reading Reminder]])</f>
        <v>#VALUE!</v>
      </c>
      <c r="R33" t="s">
        <v>1969</v>
      </c>
    </row>
    <row r="34" spans="1:18">
      <c r="A34" t="e">
        <f>IF(Table26[[#This Row],[Column9]],Table26[[#This Row],[Column10]])</f>
        <v>#VALUE!</v>
      </c>
      <c r="Q34" t="e">
        <f>AND(Table26[[#This Row],[Battery]:[Reading Reminder]])</f>
        <v>#VALUE!</v>
      </c>
      <c r="R34" t="s">
        <v>1970</v>
      </c>
    </row>
    <row r="35" spans="1:18">
      <c r="A35" t="e">
        <f>IF(Table26[[#This Row],[Column9]],Table26[[#This Row],[Column10]])</f>
        <v>#VALUE!</v>
      </c>
      <c r="Q35" t="e">
        <f>AND(Table26[[#This Row],[Battery]:[Reading Reminder]])</f>
        <v>#VALUE!</v>
      </c>
      <c r="R35" t="s">
        <v>1971</v>
      </c>
    </row>
    <row r="36" spans="1:18">
      <c r="A36" t="e">
        <f>IF(Table26[[#This Row],[Column9]],Table26[[#This Row],[Column10]])</f>
        <v>#VALUE!</v>
      </c>
      <c r="Q36" t="e">
        <f>AND(Table26[[#This Row],[Battery]:[Reading Reminder]])</f>
        <v>#VALUE!</v>
      </c>
      <c r="R36" t="s">
        <v>1972</v>
      </c>
    </row>
    <row r="39" spans="1:18">
      <c r="N39" s="11"/>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s>
  <pageMargins left="0.7" right="0.7" top="0.75" bottom="0.75" header="0.3" footer="0.3"/>
  <pageSetup orientation="portrait" r:id="rId19"/>
  <tableParts count="1">
    <tablePart r:id="rId20"/>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R35" sqref="R35"/>
    </sheetView>
  </sheetViews>
  <sheetFormatPr defaultRowHeight="15"/>
  <cols>
    <col min="1" max="1" width="57.140625" customWidth="1"/>
  </cols>
  <sheetData>
    <row r="1" spans="1:3" ht="15.75" thickTop="1">
      <c r="A1" s="3" t="s">
        <v>15</v>
      </c>
      <c r="B1" s="7" t="s">
        <v>18</v>
      </c>
      <c r="C1" s="96"/>
    </row>
    <row r="2" spans="1:3" ht="15.75" thickBot="1">
      <c r="B2" s="4"/>
      <c r="C2" s="96"/>
    </row>
    <row r="3" spans="1:3" ht="15.75" thickBot="1">
      <c r="A3" s="1" t="s">
        <v>1149</v>
      </c>
      <c r="B3" s="33" t="b">
        <v>0</v>
      </c>
      <c r="C3" s="205" t="b">
        <f>NOT(B3)</f>
        <v>1</v>
      </c>
    </row>
    <row r="4" spans="1:3" ht="15.75" thickBot="1">
      <c r="A4" s="1" t="s">
        <v>1226</v>
      </c>
      <c r="B4" s="33" t="b">
        <v>0</v>
      </c>
      <c r="C4" s="205"/>
    </row>
    <row r="5" spans="1:3" ht="15.75" thickBot="1">
      <c r="A5" s="170" t="s">
        <v>1213</v>
      </c>
      <c r="B5" s="33" t="b">
        <v>0</v>
      </c>
      <c r="C5" s="205" t="b">
        <f>NOT(B5)</f>
        <v>1</v>
      </c>
    </row>
    <row r="6" spans="1:3" ht="15.75" thickBot="1">
      <c r="A6" s="170" t="s">
        <v>1224</v>
      </c>
      <c r="B6" s="33" t="b">
        <v>0</v>
      </c>
      <c r="C6" s="205" t="b">
        <f t="shared" ref="C6:C8" si="0">NOT(B6)</f>
        <v>1</v>
      </c>
    </row>
    <row r="7" spans="1:3" ht="15.75" thickBot="1">
      <c r="A7" s="168" t="s">
        <v>1907</v>
      </c>
      <c r="B7" s="33" t="b">
        <v>0</v>
      </c>
      <c r="C7" s="205" t="b">
        <f t="shared" si="0"/>
        <v>1</v>
      </c>
    </row>
    <row r="8" spans="1:3" ht="15.75" thickBot="1">
      <c r="A8" s="168" t="s">
        <v>1214</v>
      </c>
      <c r="B8" s="33" t="b">
        <v>0</v>
      </c>
      <c r="C8" s="205" t="b">
        <f t="shared" si="0"/>
        <v>1</v>
      </c>
    </row>
    <row r="9" spans="1:3" ht="15.75" thickBot="1">
      <c r="A9" s="165" t="s">
        <v>1216</v>
      </c>
      <c r="B9" s="33" t="b">
        <v>0</v>
      </c>
      <c r="C9" s="205" t="b">
        <f>NOT(B9)</f>
        <v>1</v>
      </c>
    </row>
    <row r="10" spans="1:3" ht="15.75" thickBot="1">
      <c r="A10" s="165" t="s">
        <v>1215</v>
      </c>
      <c r="B10" s="33" t="b">
        <v>0</v>
      </c>
      <c r="C10" s="205" t="b">
        <f>NOT(B10)</f>
        <v>1</v>
      </c>
    </row>
    <row r="11" spans="1:3" ht="15.75" thickBot="1">
      <c r="A11" s="1" t="s">
        <v>1225</v>
      </c>
      <c r="B11" s="33" t="b">
        <v>0</v>
      </c>
      <c r="C11" s="205" t="b">
        <f>NOT(B11)</f>
        <v>1</v>
      </c>
    </row>
    <row r="12" spans="1:3" ht="15.75" thickBot="1">
      <c r="A12" s="176" t="s">
        <v>1217</v>
      </c>
      <c r="B12" s="33" t="b">
        <v>0</v>
      </c>
      <c r="C12" s="205" t="b">
        <f t="shared" ref="C12:C13" si="1">NOT(B12)</f>
        <v>1</v>
      </c>
    </row>
    <row r="13" spans="1:3" ht="15.75" thickBot="1">
      <c r="A13" s="176" t="s">
        <v>1218</v>
      </c>
      <c r="B13" s="33" t="b">
        <v>0</v>
      </c>
      <c r="C13" s="205" t="b">
        <f t="shared" si="1"/>
        <v>1</v>
      </c>
    </row>
    <row r="14" spans="1:3" ht="15.75" thickBot="1">
      <c r="A14" s="161" t="s">
        <v>1219</v>
      </c>
      <c r="B14" s="33" t="b">
        <v>0</v>
      </c>
      <c r="C14" s="205" t="b">
        <f>NOT(B14)</f>
        <v>1</v>
      </c>
    </row>
    <row r="15" spans="1:3" ht="15.75" thickBot="1">
      <c r="A15" s="161" t="s">
        <v>1220</v>
      </c>
      <c r="B15" s="33" t="b">
        <v>0</v>
      </c>
      <c r="C15" s="205" t="b">
        <f>NOT(B15)</f>
        <v>1</v>
      </c>
    </row>
    <row r="16" spans="1:3" ht="15.75" thickBot="1">
      <c r="A16" s="1" t="s">
        <v>1223</v>
      </c>
      <c r="B16" s="33" t="b">
        <v>0</v>
      </c>
      <c r="C16" s="205"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12"/>
  <sheetViews>
    <sheetView workbookViewId="0">
      <selection activeCell="O14" sqref="O14"/>
    </sheetView>
  </sheetViews>
  <sheetFormatPr defaultRowHeight="15"/>
  <cols>
    <col min="1" max="1" width="44.42578125" customWidth="1"/>
    <col min="2" max="2" width="10.7109375" customWidth="1"/>
    <col min="3" max="14" width="11" customWidth="1"/>
    <col min="15" max="15" width="32.5703125" customWidth="1"/>
  </cols>
  <sheetData>
    <row r="1" spans="1:15">
      <c r="A1" s="70" t="s">
        <v>1212</v>
      </c>
      <c r="B1" s="124" t="s">
        <v>1906</v>
      </c>
      <c r="C1" t="s">
        <v>1203</v>
      </c>
      <c r="D1" t="s">
        <v>1204</v>
      </c>
      <c r="E1" t="s">
        <v>491</v>
      </c>
      <c r="F1" t="s">
        <v>1201</v>
      </c>
      <c r="G1" t="s">
        <v>1202</v>
      </c>
      <c r="H1" t="s">
        <v>1206</v>
      </c>
      <c r="I1" t="s">
        <v>1208</v>
      </c>
      <c r="J1" t="s">
        <v>1209</v>
      </c>
      <c r="K1" t="s">
        <v>1908</v>
      </c>
      <c r="L1" t="s">
        <v>1221</v>
      </c>
      <c r="M1" t="s">
        <v>1222</v>
      </c>
      <c r="N1" t="s">
        <v>4</v>
      </c>
      <c r="O1" t="s">
        <v>1132</v>
      </c>
    </row>
    <row r="2" spans="1:15">
      <c r="A2" t="b">
        <f>IF(Table27[[#This Row],[Column1]],Table27[[#This Row],[Column10]])</f>
        <v>0</v>
      </c>
      <c r="B2" s="20"/>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1211</v>
      </c>
    </row>
    <row r="3" spans="1:15">
      <c r="A3" t="b">
        <f>IF(Table27[[#This Row],[Column1]],Table27[[#This Row],[Column10]])</f>
        <v>0</v>
      </c>
      <c r="B3" s="20"/>
      <c r="C3" s="17"/>
      <c r="D3" s="20" t="b">
        <f>AND('Lice Product Criteria'!B4,'Lice Product Criteria'!C9,'Lice Product Criteria'!B10)</f>
        <v>0</v>
      </c>
      <c r="E3" s="20" t="b">
        <f>AND('Lice Product Criteria'!C6)</f>
        <v>1</v>
      </c>
      <c r="F3" s="17"/>
      <c r="G3" s="20" t="b">
        <f>AND('Lice Product Criteria'!B15,'Lice Product Criteria'!C14)</f>
        <v>0</v>
      </c>
      <c r="H3" s="20"/>
      <c r="I3" s="20" t="b">
        <f>I2</f>
        <v>0</v>
      </c>
      <c r="J3" s="17"/>
      <c r="K3" s="20" t="b">
        <f>K2</f>
        <v>0</v>
      </c>
      <c r="L3" s="17"/>
      <c r="M3" s="17"/>
      <c r="N3" s="21" t="b">
        <f>AND(Table27[[#This Row],[Preg/Nurse]:[No Conditioner]])</f>
        <v>0</v>
      </c>
      <c r="O3" s="11" t="s">
        <v>1200</v>
      </c>
    </row>
    <row r="4" spans="1:15">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5">
      <c r="A5" t="b">
        <f>IF(Table27[[#This Row],[Column1]],Table27[[#This Row],[Column10]])</f>
        <v>0</v>
      </c>
      <c r="B5" s="17" t="b">
        <f>AND('Lice Product Criteria'!C3)</f>
        <v>1</v>
      </c>
      <c r="C5" s="17"/>
      <c r="D5" s="20" t="b">
        <f>D3</f>
        <v>0</v>
      </c>
      <c r="E5" s="17"/>
      <c r="F5" s="17"/>
      <c r="G5" s="20" t="b">
        <f>G3</f>
        <v>0</v>
      </c>
      <c r="H5" s="20"/>
      <c r="I5" s="20" t="b">
        <f>I2</f>
        <v>0</v>
      </c>
      <c r="J5" s="17"/>
      <c r="K5" s="17"/>
      <c r="L5" s="20" t="b">
        <f>AND('Lice Product Criteria'!B8,'Lice Product Criteria'!C7)</f>
        <v>0</v>
      </c>
      <c r="M5" s="17"/>
      <c r="N5" s="21" t="b">
        <f>AND(Table27[[#This Row],[Preg/Nurse]:[No Conditioner]])</f>
        <v>0</v>
      </c>
      <c r="O5" s="11" t="s">
        <v>1205</v>
      </c>
    </row>
    <row r="6" spans="1:15">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5">
      <c r="A7" t="b">
        <f>IF(Table27[[#This Row],[Column1]],Table27[[#This Row],[Column10]])</f>
        <v>0</v>
      </c>
      <c r="B7" s="17" t="b">
        <f>B5</f>
        <v>1</v>
      </c>
      <c r="C7" s="17"/>
      <c r="D7" s="20" t="b">
        <f>D3</f>
        <v>0</v>
      </c>
      <c r="E7" s="17"/>
      <c r="F7" s="17"/>
      <c r="G7" s="20" t="b">
        <f>G3</f>
        <v>0</v>
      </c>
      <c r="H7" s="20"/>
      <c r="I7" s="17"/>
      <c r="J7" s="20" t="b">
        <f>AND('Lice Product Criteria'!B13,'Lice Product Criteria'!C12)</f>
        <v>0</v>
      </c>
      <c r="K7" s="20" t="b">
        <f>K2</f>
        <v>0</v>
      </c>
      <c r="L7" s="17"/>
      <c r="M7" s="17"/>
      <c r="N7" s="21" t="b">
        <f>AND(Table27[[#This Row],[Preg/Nurse]:[No Conditioner]])</f>
        <v>0</v>
      </c>
      <c r="O7" s="11" t="s">
        <v>1207</v>
      </c>
    </row>
    <row r="8" spans="1:15">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5">
      <c r="A9" s="138" t="b">
        <f>IF(Table27[[#This Row],[Column1]],Table27[[#This Row],[Column10]])</f>
        <v>0</v>
      </c>
      <c r="B9" s="67"/>
      <c r="C9" s="20" t="b">
        <f>C2</f>
        <v>0</v>
      </c>
      <c r="D9" s="17"/>
      <c r="E9" s="17"/>
      <c r="F9" s="17"/>
      <c r="G9" s="20" t="b">
        <f>G3</f>
        <v>0</v>
      </c>
      <c r="H9" s="17" t="b">
        <f>H2</f>
        <v>1</v>
      </c>
      <c r="I9" s="20" t="b">
        <f>I2</f>
        <v>0</v>
      </c>
      <c r="J9" s="17"/>
      <c r="K9" s="20" t="b">
        <f>K2</f>
        <v>0</v>
      </c>
      <c r="L9" s="17"/>
      <c r="M9" s="20" t="b">
        <f>M2</f>
        <v>0</v>
      </c>
      <c r="N9" s="21" t="b">
        <f>AND(Table27[[#This Row],[Preg/Nurse]:[No Conditioner]])</f>
        <v>0</v>
      </c>
      <c r="O9" s="11" t="s">
        <v>1210</v>
      </c>
    </row>
    <row r="10" spans="1:15">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5">
      <c r="A11" t="e">
        <f>IF(Table27[[#This Row],[Column1]],Table27[[#This Row],[Column10]])</f>
        <v>#VALUE!</v>
      </c>
      <c r="N11" t="e">
        <f>AND(Table27[[#This Row],[Preg/Nurse]:[No Conditioner]])</f>
        <v>#VALUE!</v>
      </c>
    </row>
    <row r="12" spans="1:15">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workbookViewId="0">
      <selection activeCell="A3" sqref="A3"/>
    </sheetView>
  </sheetViews>
  <sheetFormatPr defaultRowHeight="15"/>
  <cols>
    <col min="1" max="1" width="47.28515625" customWidth="1"/>
    <col min="3" max="3" width="9.140625" style="216"/>
  </cols>
  <sheetData>
    <row r="1" spans="1:3" ht="15.75" thickTop="1">
      <c r="A1" s="3" t="s">
        <v>15</v>
      </c>
      <c r="B1" s="7" t="s">
        <v>18</v>
      </c>
    </row>
    <row r="2" spans="1:3" ht="15.75" thickBot="1">
      <c r="B2" s="4"/>
    </row>
    <row r="3" spans="1:3" ht="15.75" thickBot="1">
      <c r="A3" s="162" t="s">
        <v>1612</v>
      </c>
      <c r="B3" s="183" t="b">
        <v>1</v>
      </c>
      <c r="C3" s="216" t="b">
        <f>NOT(B3)</f>
        <v>0</v>
      </c>
    </row>
    <row r="4" spans="1:3" ht="15.75" thickBot="1">
      <c r="A4" s="162" t="s">
        <v>1613</v>
      </c>
      <c r="B4" s="183" t="b">
        <v>0</v>
      </c>
      <c r="C4" s="216" t="b">
        <f>NOT(B4)</f>
        <v>1</v>
      </c>
    </row>
    <row r="5" spans="1:3" ht="15.75" thickBot="1">
      <c r="A5" s="162" t="s">
        <v>1614</v>
      </c>
      <c r="B5" s="183" t="b">
        <v>0</v>
      </c>
      <c r="C5" s="216" t="b">
        <f>NOT(B5)</f>
        <v>1</v>
      </c>
    </row>
    <row r="6" spans="1:3" ht="15" customHeight="1" thickBot="1">
      <c r="A6" s="1" t="s">
        <v>1548</v>
      </c>
      <c r="B6" s="33" t="b">
        <v>0</v>
      </c>
      <c r="C6" s="216" t="b">
        <f>NOT(B6)</f>
        <v>1</v>
      </c>
    </row>
    <row r="7" spans="1:3" ht="15.75" thickBot="1">
      <c r="A7" s="161" t="s">
        <v>1450</v>
      </c>
      <c r="B7" s="181" t="b">
        <v>0</v>
      </c>
      <c r="C7" s="216" t="b">
        <f>NOT(B7)</f>
        <v>1</v>
      </c>
    </row>
    <row r="8" spans="1:3" ht="15.75" thickBot="1">
      <c r="A8" s="161" t="s">
        <v>1342</v>
      </c>
      <c r="B8" s="181" t="b">
        <v>1</v>
      </c>
      <c r="C8" s="216" t="b">
        <f t="shared" ref="C8:C20" si="0">NOT(B8)</f>
        <v>0</v>
      </c>
    </row>
    <row r="9" spans="1:3" ht="15.75" thickBot="1">
      <c r="A9" s="161" t="s">
        <v>1620</v>
      </c>
      <c r="B9" s="181" t="b">
        <v>0</v>
      </c>
      <c r="C9" s="216" t="b">
        <f t="shared" si="0"/>
        <v>1</v>
      </c>
    </row>
    <row r="10" spans="1:3" ht="15.75" thickBot="1">
      <c r="A10" s="161" t="s">
        <v>1341</v>
      </c>
      <c r="B10" s="181" t="b">
        <v>0</v>
      </c>
      <c r="C10" s="216" t="b">
        <f t="shared" si="0"/>
        <v>1</v>
      </c>
    </row>
    <row r="11" spans="1:3" ht="15.75" thickBot="1">
      <c r="A11" s="161" t="s">
        <v>1619</v>
      </c>
      <c r="B11" s="181" t="b">
        <v>0</v>
      </c>
      <c r="C11" s="216" t="b">
        <f t="shared" si="0"/>
        <v>1</v>
      </c>
    </row>
    <row r="12" spans="1:3" ht="15.75" thickBot="1">
      <c r="A12" s="1" t="s">
        <v>1452</v>
      </c>
      <c r="B12" s="33" t="b">
        <v>0</v>
      </c>
      <c r="C12" s="216" t="b">
        <f t="shared" si="0"/>
        <v>1</v>
      </c>
    </row>
    <row r="13" spans="1:3" ht="15.75" thickBot="1">
      <c r="A13" s="1" t="s">
        <v>1453</v>
      </c>
      <c r="B13" s="33" t="b">
        <v>0</v>
      </c>
      <c r="C13" s="216" t="b">
        <f t="shared" si="0"/>
        <v>1</v>
      </c>
    </row>
    <row r="14" spans="1:3" ht="15.75" thickBot="1">
      <c r="A14" s="1" t="s">
        <v>1549</v>
      </c>
      <c r="B14" s="33" t="b">
        <v>0</v>
      </c>
      <c r="C14" s="216" t="b">
        <f t="shared" si="0"/>
        <v>1</v>
      </c>
    </row>
    <row r="15" spans="1:3" ht="15.75" thickBot="1">
      <c r="A15" s="1" t="s">
        <v>1625</v>
      </c>
      <c r="B15" s="33" t="b">
        <v>0</v>
      </c>
      <c r="C15" s="216" t="b">
        <f t="shared" si="0"/>
        <v>1</v>
      </c>
    </row>
    <row r="16" spans="1:3" ht="15.75" thickBot="1">
      <c r="A16" s="1" t="s">
        <v>1626</v>
      </c>
      <c r="B16" s="33" t="b">
        <v>0</v>
      </c>
      <c r="C16" s="216" t="b">
        <f t="shared" si="0"/>
        <v>1</v>
      </c>
    </row>
    <row r="17" spans="1:3" ht="15.75" thickBot="1">
      <c r="A17" s="1" t="s">
        <v>1627</v>
      </c>
      <c r="B17" s="33" t="b">
        <v>0</v>
      </c>
      <c r="C17" s="216" t="b">
        <f t="shared" si="0"/>
        <v>1</v>
      </c>
    </row>
    <row r="18" spans="1:3" ht="15.75" thickBot="1">
      <c r="A18" s="1" t="s">
        <v>1628</v>
      </c>
      <c r="B18" s="33" t="b">
        <v>0</v>
      </c>
      <c r="C18" s="216" t="b">
        <f t="shared" si="0"/>
        <v>1</v>
      </c>
    </row>
    <row r="19" spans="1:3" ht="15.75" thickBot="1">
      <c r="A19" s="1" t="s">
        <v>1629</v>
      </c>
      <c r="B19" s="33" t="b">
        <v>0</v>
      </c>
      <c r="C19" s="216" t="b">
        <f t="shared" si="0"/>
        <v>1</v>
      </c>
    </row>
    <row r="20" spans="1:3" ht="15.75" thickBot="1">
      <c r="A20" s="1" t="s">
        <v>1454</v>
      </c>
      <c r="B20" s="33" t="b">
        <v>0</v>
      </c>
      <c r="C20" s="216" t="b">
        <f t="shared" si="0"/>
        <v>1</v>
      </c>
    </row>
    <row r="21" spans="1:3" ht="15.75" thickBot="1">
      <c r="A21" s="170" t="s">
        <v>1455</v>
      </c>
      <c r="B21" s="180" t="b">
        <v>0</v>
      </c>
      <c r="C21" s="216" t="b">
        <f>NOT(B21)</f>
        <v>1</v>
      </c>
    </row>
    <row r="22" spans="1:3" ht="15.75" thickBot="1">
      <c r="A22" s="170" t="s">
        <v>1456</v>
      </c>
      <c r="B22" s="180" t="b">
        <v>0</v>
      </c>
      <c r="C22" s="216" t="b">
        <f t="shared" ref="C22:C26" si="1">NOT(B22)</f>
        <v>1</v>
      </c>
    </row>
    <row r="23" spans="1:3" ht="15.75" thickBot="1">
      <c r="A23" s="170" t="s">
        <v>1611</v>
      </c>
      <c r="B23" s="180" t="b">
        <v>0</v>
      </c>
      <c r="C23" s="216" t="b">
        <f t="shared" si="1"/>
        <v>1</v>
      </c>
    </row>
    <row r="24" spans="1:3" ht="15.75" thickBot="1">
      <c r="A24" s="170" t="s">
        <v>1457</v>
      </c>
      <c r="B24" s="180" t="b">
        <v>0</v>
      </c>
      <c r="C24" s="216" t="b">
        <f>NOT(B24)</f>
        <v>1</v>
      </c>
    </row>
    <row r="25" spans="1:3" ht="15.75" thickBot="1">
      <c r="A25" s="170" t="s">
        <v>1610</v>
      </c>
      <c r="B25" s="180" t="b">
        <v>0</v>
      </c>
      <c r="C25" s="216" t="b">
        <f t="shared" si="1"/>
        <v>1</v>
      </c>
    </row>
    <row r="26" spans="1:3" ht="15.75" thickBot="1">
      <c r="A26" s="170" t="s">
        <v>1910</v>
      </c>
      <c r="B26" s="180" t="b">
        <v>1</v>
      </c>
      <c r="C26" s="216" t="b">
        <f t="shared" si="1"/>
        <v>0</v>
      </c>
    </row>
    <row r="27" spans="1:3" ht="15.75" thickBot="1">
      <c r="A27" s="170" t="s">
        <v>1909</v>
      </c>
      <c r="B27" s="180" t="b">
        <v>0</v>
      </c>
      <c r="C27" s="216" t="b">
        <f t="shared" ref="C27:C32" si="2">NOT(B27)</f>
        <v>1</v>
      </c>
    </row>
    <row r="28" spans="1:3" ht="15.75" thickBot="1">
      <c r="A28" s="184" t="s">
        <v>1616</v>
      </c>
      <c r="B28" s="185" t="b">
        <v>0</v>
      </c>
      <c r="C28" s="216" t="b">
        <f t="shared" si="2"/>
        <v>1</v>
      </c>
    </row>
    <row r="29" spans="1:3" ht="15.75" thickBot="1">
      <c r="A29" s="184" t="s">
        <v>1617</v>
      </c>
      <c r="B29" s="185" t="b">
        <v>1</v>
      </c>
      <c r="C29" s="216" t="b">
        <f t="shared" si="2"/>
        <v>0</v>
      </c>
    </row>
    <row r="30" spans="1:3" ht="15.75" thickBot="1">
      <c r="A30" s="158" t="s">
        <v>1550</v>
      </c>
      <c r="B30" s="182" t="b">
        <v>0</v>
      </c>
      <c r="C30" s="216" t="b">
        <f t="shared" si="2"/>
        <v>1</v>
      </c>
    </row>
    <row r="31" spans="1:3" ht="15.75" thickBot="1">
      <c r="A31" s="158" t="s">
        <v>1618</v>
      </c>
      <c r="B31" s="182" t="b">
        <v>1</v>
      </c>
      <c r="C31" s="216" t="b">
        <f t="shared" si="2"/>
        <v>0</v>
      </c>
    </row>
    <row r="32" spans="1:3" ht="15.75" thickBot="1">
      <c r="A32" s="55" t="s">
        <v>1451</v>
      </c>
      <c r="B32" s="147" t="b">
        <v>0</v>
      </c>
      <c r="C32" s="216"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108"/>
  <sheetViews>
    <sheetView topLeftCell="I1" workbookViewId="0">
      <selection activeCell="AB11" sqref="AB11"/>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78" t="s">
        <v>1212</v>
      </c>
      <c r="B1" s="30" t="s">
        <v>1377</v>
      </c>
      <c r="C1" s="30" t="s">
        <v>1422</v>
      </c>
      <c r="D1" s="30" t="s">
        <v>1607</v>
      </c>
      <c r="E1" s="30" t="s">
        <v>1608</v>
      </c>
      <c r="F1" s="30" t="s">
        <v>945</v>
      </c>
      <c r="G1" s="30" t="s">
        <v>1378</v>
      </c>
      <c r="H1" s="30" t="s">
        <v>1609</v>
      </c>
      <c r="I1" s="30" t="s">
        <v>1381</v>
      </c>
      <c r="J1" s="30" t="s">
        <v>1615</v>
      </c>
      <c r="K1" s="30" t="s">
        <v>1348</v>
      </c>
      <c r="L1" s="30" t="s">
        <v>1363</v>
      </c>
      <c r="M1" s="30" t="s">
        <v>1379</v>
      </c>
      <c r="N1" s="30" t="s">
        <v>1349</v>
      </c>
      <c r="O1" s="30" t="s">
        <v>1351</v>
      </c>
      <c r="P1" s="30" t="s">
        <v>1368</v>
      </c>
      <c r="Q1" s="30" t="s">
        <v>1369</v>
      </c>
      <c r="R1" s="30" t="s">
        <v>1350</v>
      </c>
      <c r="S1" s="31" t="s">
        <v>1352</v>
      </c>
      <c r="T1" s="31" t="s">
        <v>1358</v>
      </c>
      <c r="U1" s="31" t="s">
        <v>1353</v>
      </c>
      <c r="V1" s="31" t="s">
        <v>1354</v>
      </c>
      <c r="W1" s="31" t="s">
        <v>1355</v>
      </c>
      <c r="X1" s="31" t="s">
        <v>1356</v>
      </c>
      <c r="Y1" s="31" t="s">
        <v>1357</v>
      </c>
      <c r="Z1" t="s">
        <v>1391</v>
      </c>
      <c r="AA1" t="s">
        <v>1621</v>
      </c>
      <c r="AB1" t="s">
        <v>1622</v>
      </c>
      <c r="AC1" t="s">
        <v>1623</v>
      </c>
      <c r="AD1" t="s">
        <v>1624</v>
      </c>
      <c r="AE1" t="s">
        <v>816</v>
      </c>
      <c r="AF1" t="s">
        <v>1390</v>
      </c>
      <c r="AG1" s="31" t="s">
        <v>1449</v>
      </c>
    </row>
    <row r="2" spans="1:33">
      <c r="A2" s="99" t="str">
        <f>IF(Table29[[#This Row],[Column52]],Table29[[#This Row],[Products]])</f>
        <v>BAND-AID® HYDRO SEAL™ ADVANCED HEALING BLISTER HEEL Bandages, 6 Count</v>
      </c>
      <c r="B2" s="179" t="b">
        <f>AND('Bandage Product Criteria'!B26,'Bandage Product Criteria'!C21:C25,'Bandage Product Criteria'!C27)</f>
        <v>1</v>
      </c>
      <c r="C2" s="213"/>
      <c r="D2" s="213"/>
      <c r="E2" s="213"/>
      <c r="F2" s="213"/>
      <c r="G2" s="213"/>
      <c r="H2" s="213"/>
      <c r="I2" s="213" t="b">
        <f>AND('Bandage Product Criteria'!C14)</f>
        <v>1</v>
      </c>
      <c r="J2" s="213"/>
      <c r="K2" s="179" t="b">
        <f>AND('Bandage Product Criteria'!B3,'Bandage Product Criteria'!C4:C5)</f>
        <v>1</v>
      </c>
      <c r="L2" s="213"/>
      <c r="M2" s="213" t="b">
        <f>AND('Bandage Product Criteria'!C6)</f>
        <v>1</v>
      </c>
      <c r="N2" s="179" t="b">
        <f>AND('Bandage Product Criteria'!B29,'Bandage Product Criteria'!C28)</f>
        <v>1</v>
      </c>
      <c r="O2" s="213"/>
      <c r="P2" s="213" t="b">
        <f>AND('Bandage Product Criteria'!C12)</f>
        <v>1</v>
      </c>
      <c r="Q2" s="213" t="b">
        <f>AND('Bandage Product Criteria'!C13)</f>
        <v>1</v>
      </c>
      <c r="R2" s="179" t="b">
        <f>AND('Bandage Product Criteria'!B31,'Bandage Product Criteria'!C30)</f>
        <v>1</v>
      </c>
      <c r="S2" s="17"/>
      <c r="T2" s="20"/>
      <c r="U2" s="17"/>
      <c r="V2" s="20" t="b">
        <f>AND('Bandage Product Criteria'!B8,'Bandage Product Criteria'!C7,'Bandage Product Criteria'!C9:C11)</f>
        <v>1</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1</v>
      </c>
      <c r="AG2" s="11" t="s">
        <v>1343</v>
      </c>
    </row>
    <row r="3" spans="1:33">
      <c r="A3" s="100" t="b">
        <f>IF(Table29[[#This Row],[Column52]],Table29[[#This Row],[Products]])</f>
        <v>0</v>
      </c>
      <c r="B3" s="179" t="b">
        <f>B2</f>
        <v>1</v>
      </c>
      <c r="C3" s="213"/>
      <c r="D3" s="213"/>
      <c r="E3" s="213"/>
      <c r="F3" s="213"/>
      <c r="G3" s="213"/>
      <c r="H3" s="213"/>
      <c r="I3" s="213" t="b">
        <f>I2</f>
        <v>1</v>
      </c>
      <c r="J3" s="213"/>
      <c r="K3" s="179" t="b">
        <f>K2</f>
        <v>1</v>
      </c>
      <c r="L3" s="213"/>
      <c r="M3" s="213" t="b">
        <f>M2</f>
        <v>1</v>
      </c>
      <c r="N3" s="179" t="b">
        <f>N2</f>
        <v>1</v>
      </c>
      <c r="O3" s="213"/>
      <c r="P3" s="213" t="b">
        <f>P2</f>
        <v>1</v>
      </c>
      <c r="Q3" s="213" t="b">
        <f>Q2</f>
        <v>1</v>
      </c>
      <c r="R3" s="213"/>
      <c r="S3" s="20" t="b">
        <f>AND('Bandage Product Criteria'!B30,'Bandage Product Criteria'!C31)</f>
        <v>0</v>
      </c>
      <c r="T3" s="20"/>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1344</v>
      </c>
    </row>
    <row r="4" spans="1:33">
      <c r="A4" t="b">
        <f>IF(Table29[[#This Row],[Column52]],Table29[[#This Row],[Products]])</f>
        <v>0</v>
      </c>
      <c r="B4" s="179" t="b">
        <f>B2</f>
        <v>1</v>
      </c>
      <c r="C4" s="17"/>
      <c r="D4" s="17"/>
      <c r="E4" s="17"/>
      <c r="F4" s="17"/>
      <c r="G4" s="17"/>
      <c r="H4" s="17"/>
      <c r="I4" s="17" t="b">
        <f>I2</f>
        <v>1</v>
      </c>
      <c r="J4" s="17"/>
      <c r="K4" s="20" t="b">
        <f>K2</f>
        <v>1</v>
      </c>
      <c r="L4" s="17"/>
      <c r="M4" s="17" t="b">
        <f>M2</f>
        <v>1</v>
      </c>
      <c r="N4" s="20" t="b">
        <f>N2</f>
        <v>1</v>
      </c>
      <c r="O4" s="17"/>
      <c r="P4" s="17" t="b">
        <f>P2</f>
        <v>1</v>
      </c>
      <c r="Q4" s="17" t="b">
        <f>Q2</f>
        <v>1</v>
      </c>
      <c r="R4" s="17"/>
      <c r="S4" s="20" t="b">
        <f>S3</f>
        <v>0</v>
      </c>
      <c r="T4" s="20"/>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1345</v>
      </c>
    </row>
    <row r="5" spans="1:33">
      <c r="A5" t="str">
        <f>IF(Table29[[#This Row],[Column52]],Table29[[#This Row],[Products]])</f>
        <v>BAND-AID® Brand Blister Cushions for Fingers &amp; Toes, 8 Count</v>
      </c>
      <c r="B5" s="179" t="b">
        <f>B2</f>
        <v>1</v>
      </c>
      <c r="C5" s="17"/>
      <c r="D5" s="17"/>
      <c r="E5" s="17"/>
      <c r="F5" s="17"/>
      <c r="G5" s="17"/>
      <c r="H5" s="17"/>
      <c r="I5" s="17" t="b">
        <f>I2</f>
        <v>1</v>
      </c>
      <c r="J5" s="17"/>
      <c r="K5" s="20" t="b">
        <f>K2</f>
        <v>1</v>
      </c>
      <c r="L5" s="17"/>
      <c r="M5" s="17" t="b">
        <f>M2</f>
        <v>1</v>
      </c>
      <c r="N5" s="20" t="b">
        <f>N2</f>
        <v>1</v>
      </c>
      <c r="O5" s="17"/>
      <c r="P5" s="17" t="b">
        <f>P2</f>
        <v>1</v>
      </c>
      <c r="Q5" s="17" t="b">
        <f>Q2</f>
        <v>1</v>
      </c>
      <c r="R5" s="20" t="b">
        <f>R2</f>
        <v>1</v>
      </c>
      <c r="S5" s="17"/>
      <c r="T5" s="20"/>
      <c r="U5" s="17"/>
      <c r="V5" s="20" t="b">
        <f>V2</f>
        <v>1</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1</v>
      </c>
      <c r="AG5" s="11" t="s">
        <v>1346</v>
      </c>
    </row>
    <row r="6" spans="1:33">
      <c r="A6" t="str">
        <f>IF(Table29[[#This Row],[Column52]],Table29[[#This Row],[Products]])</f>
        <v>BAND-AID® HYDRO SEAL Advanced Healing Finger Bandages, 10 Count</v>
      </c>
      <c r="B6" s="179" t="b">
        <f>B2</f>
        <v>1</v>
      </c>
      <c r="C6" s="17"/>
      <c r="D6" s="17"/>
      <c r="E6" s="17"/>
      <c r="F6" s="17"/>
      <c r="G6" s="17"/>
      <c r="H6" s="17"/>
      <c r="I6" s="17" t="b">
        <f>I2</f>
        <v>1</v>
      </c>
      <c r="J6" s="17"/>
      <c r="K6" s="20" t="b">
        <f>K2</f>
        <v>1</v>
      </c>
      <c r="L6" s="17"/>
      <c r="M6" s="17" t="b">
        <f>M2</f>
        <v>1</v>
      </c>
      <c r="N6" s="20" t="b">
        <f>N2</f>
        <v>1</v>
      </c>
      <c r="O6" s="17"/>
      <c r="P6" s="17" t="b">
        <f>P2</f>
        <v>1</v>
      </c>
      <c r="Q6" s="17" t="b">
        <f>Q2</f>
        <v>1</v>
      </c>
      <c r="R6" s="20" t="b">
        <f>R2</f>
        <v>1</v>
      </c>
      <c r="S6" s="17"/>
      <c r="T6" s="20"/>
      <c r="U6" s="17"/>
      <c r="V6" s="20" t="b">
        <f>V2</f>
        <v>1</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1</v>
      </c>
      <c r="AG6" s="11" t="s">
        <v>1347</v>
      </c>
    </row>
    <row r="7" spans="1:33">
      <c r="A7" t="b">
        <f>IF(Table29[[#This Row],[Column52]],Table29[[#This Row],[Products]])</f>
        <v>0</v>
      </c>
      <c r="B7" s="179" t="b">
        <f>B2</f>
        <v>1</v>
      </c>
      <c r="C7" s="17"/>
      <c r="D7" s="17"/>
      <c r="E7" s="17"/>
      <c r="F7" s="17"/>
      <c r="G7" s="17"/>
      <c r="H7" s="17"/>
      <c r="I7" s="17" t="b">
        <f>I2</f>
        <v>1</v>
      </c>
      <c r="J7" s="17"/>
      <c r="K7" s="17"/>
      <c r="L7" s="20" t="b">
        <f>AND('Bandage Product Criteria'!B4,'Bandage Product Criteria'!C3,'Bandage Product Criteria'!C5)</f>
        <v>0</v>
      </c>
      <c r="M7" s="20"/>
      <c r="N7" s="17"/>
      <c r="O7" s="20" t="b">
        <f>AND('Bandage Product Criteria'!B28,'Bandage Product Criteria'!C29)</f>
        <v>0</v>
      </c>
      <c r="P7" s="20"/>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1359</v>
      </c>
    </row>
    <row r="8" spans="1:33">
      <c r="A8" t="b">
        <f>IF(Table29[[#This Row],[Column52]],Table29[[#This Row],[Products]])</f>
        <v>0</v>
      </c>
      <c r="B8" s="179" t="b">
        <f>B2</f>
        <v>1</v>
      </c>
      <c r="C8" s="17"/>
      <c r="D8" s="17"/>
      <c r="E8" s="17"/>
      <c r="F8" s="17"/>
      <c r="G8" s="17"/>
      <c r="H8" s="17"/>
      <c r="I8" s="17" t="b">
        <f>I2</f>
        <v>1</v>
      </c>
      <c r="J8" s="17"/>
      <c r="K8" s="17"/>
      <c r="L8" s="20" t="b">
        <f>L7</f>
        <v>0</v>
      </c>
      <c r="M8" s="20"/>
      <c r="N8" s="17"/>
      <c r="O8" s="20" t="b">
        <f>O7</f>
        <v>0</v>
      </c>
      <c r="P8" s="20"/>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1360</v>
      </c>
    </row>
    <row r="9" spans="1:33">
      <c r="A9" t="b">
        <f>IF(Table29[[#This Row],[Column52]],Table29[[#This Row],[Products]])</f>
        <v>0</v>
      </c>
      <c r="B9" s="179" t="b">
        <f>B2</f>
        <v>1</v>
      </c>
      <c r="C9" s="17"/>
      <c r="D9" s="17"/>
      <c r="E9" s="17"/>
      <c r="F9" s="17"/>
      <c r="G9" s="17"/>
      <c r="H9" s="17"/>
      <c r="I9" s="17" t="b">
        <f>I2</f>
        <v>1</v>
      </c>
      <c r="J9" s="17"/>
      <c r="K9" s="17"/>
      <c r="L9" s="20" t="b">
        <f>L7</f>
        <v>0</v>
      </c>
      <c r="M9" s="20"/>
      <c r="N9" s="17"/>
      <c r="O9" s="20" t="b">
        <f>O7</f>
        <v>0</v>
      </c>
      <c r="P9" s="20"/>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1361</v>
      </c>
    </row>
    <row r="10" spans="1:33">
      <c r="A10" t="b">
        <f>IF(Table29[[#This Row],[Column52]],Table29[[#This Row],[Products]])</f>
        <v>0</v>
      </c>
      <c r="B10" s="179" t="b">
        <f>B2</f>
        <v>1</v>
      </c>
      <c r="C10" s="17"/>
      <c r="D10" s="17"/>
      <c r="E10" s="17"/>
      <c r="F10" s="17"/>
      <c r="G10" s="17"/>
      <c r="H10" s="17"/>
      <c r="I10" s="17" t="b">
        <f>I2</f>
        <v>1</v>
      </c>
      <c r="J10" s="17"/>
      <c r="K10" s="17"/>
      <c r="L10" s="20" t="b">
        <f>L7</f>
        <v>0</v>
      </c>
      <c r="M10" s="20"/>
      <c r="N10" s="17"/>
      <c r="O10" s="20" t="b">
        <f>O7</f>
        <v>0</v>
      </c>
      <c r="P10" s="20"/>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1362</v>
      </c>
    </row>
    <row r="11" spans="1:33">
      <c r="A11" t="b">
        <f>IF(Table29[[#This Row],[Column52]],Table29[[#This Row],[Products]])</f>
        <v>0</v>
      </c>
      <c r="B11" s="20" t="b">
        <f>B2</f>
        <v>1</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1364</v>
      </c>
    </row>
    <row r="12" spans="1:33">
      <c r="A12" t="b">
        <f>IF(Table29[[#This Row],[Column52]],Table29[[#This Row],[Products]])</f>
        <v>0</v>
      </c>
      <c r="B12" s="20" t="b">
        <f>B2</f>
        <v>1</v>
      </c>
      <c r="C12" s="17"/>
      <c r="D12" s="17"/>
      <c r="E12" s="17"/>
      <c r="F12" s="17"/>
      <c r="G12" s="17"/>
      <c r="H12" s="17"/>
      <c r="I12" s="17" t="b">
        <f>I2</f>
        <v>1</v>
      </c>
      <c r="J12" s="20" t="b">
        <f>J11</f>
        <v>0</v>
      </c>
      <c r="K12" s="17"/>
      <c r="L12" s="17"/>
      <c r="M12" s="17" t="b">
        <f>M2</f>
        <v>1</v>
      </c>
      <c r="N12" s="17"/>
      <c r="O12" s="20" t="b">
        <f>O7</f>
        <v>0</v>
      </c>
      <c r="P12" s="17" t="b">
        <f>P2</f>
        <v>1</v>
      </c>
      <c r="Q12" s="20"/>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1365</v>
      </c>
    </row>
    <row r="13" spans="1:33">
      <c r="A13" t="b">
        <f>IF(Table29[[#This Row],[Column52]],Table29[[#This Row],[Products]])</f>
        <v>0</v>
      </c>
      <c r="B13" s="20" t="b">
        <f>B2</f>
        <v>1</v>
      </c>
      <c r="C13" s="17"/>
      <c r="D13" s="17"/>
      <c r="E13" s="17"/>
      <c r="F13" s="17"/>
      <c r="G13" s="17"/>
      <c r="H13" s="17"/>
      <c r="I13" s="17" t="b">
        <f>I2</f>
        <v>1</v>
      </c>
      <c r="J13" s="20" t="b">
        <f>J11</f>
        <v>0</v>
      </c>
      <c r="K13" s="17"/>
      <c r="L13" s="17"/>
      <c r="M13" s="17" t="b">
        <f>M2</f>
        <v>1</v>
      </c>
      <c r="N13" s="17"/>
      <c r="O13" s="20" t="b">
        <f>O7</f>
        <v>0</v>
      </c>
      <c r="P13" s="17" t="b">
        <f>P2</f>
        <v>1</v>
      </c>
      <c r="Q13" s="20"/>
      <c r="R13" s="20" t="b">
        <f>R2</f>
        <v>1</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1366</v>
      </c>
    </row>
    <row r="14" spans="1:33">
      <c r="A14" t="b">
        <f>IF(Table29[[#This Row],[Column52]],Table29[[#This Row],[Products]])</f>
        <v>0</v>
      </c>
      <c r="B14" s="20" t="b">
        <f>B2</f>
        <v>1</v>
      </c>
      <c r="C14" s="17"/>
      <c r="D14" s="17"/>
      <c r="E14" s="17"/>
      <c r="F14" s="17"/>
      <c r="G14" s="17"/>
      <c r="H14" s="17"/>
      <c r="I14" s="17" t="b">
        <f>I2</f>
        <v>1</v>
      </c>
      <c r="J14" s="20" t="b">
        <f>J11</f>
        <v>0</v>
      </c>
      <c r="K14" s="17"/>
      <c r="L14" s="17"/>
      <c r="M14" s="17" t="b">
        <f>M2</f>
        <v>1</v>
      </c>
      <c r="N14" s="17"/>
      <c r="O14" s="20" t="b">
        <f>O7</f>
        <v>0</v>
      </c>
      <c r="P14" s="17" t="b">
        <f>P2</f>
        <v>1</v>
      </c>
      <c r="Q14" s="20"/>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1367</v>
      </c>
    </row>
    <row r="15" spans="1:33">
      <c r="A15" t="b">
        <f>IF(Table29[[#This Row],[Column52]],Table29[[#This Row],[Products]])</f>
        <v>0</v>
      </c>
      <c r="B15" s="20" t="b">
        <f>B2</f>
        <v>1</v>
      </c>
      <c r="C15" s="17"/>
      <c r="D15" s="17"/>
      <c r="E15" s="17"/>
      <c r="F15" s="17"/>
      <c r="G15" s="17"/>
      <c r="H15" s="17"/>
      <c r="I15" s="17" t="b">
        <f>I2</f>
        <v>1</v>
      </c>
      <c r="J15" s="17"/>
      <c r="K15" s="20" t="b">
        <f>K2</f>
        <v>1</v>
      </c>
      <c r="L15" s="17"/>
      <c r="M15" s="17" t="b">
        <f>M2</f>
        <v>1</v>
      </c>
      <c r="N15" s="17"/>
      <c r="O15" s="20" t="b">
        <f>O7</f>
        <v>0</v>
      </c>
      <c r="P15" s="17" t="b">
        <f>P2</f>
        <v>1</v>
      </c>
      <c r="Q15" s="20"/>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1370</v>
      </c>
    </row>
    <row r="16" spans="1:33">
      <c r="A16" t="b">
        <f>IF(Table29[[#This Row],[Column52]],Table29[[#This Row],[Products]])</f>
        <v>0</v>
      </c>
      <c r="B16" s="20" t="b">
        <f>B2</f>
        <v>1</v>
      </c>
      <c r="C16" s="17"/>
      <c r="D16" s="17"/>
      <c r="E16" s="17"/>
      <c r="F16" s="17"/>
      <c r="G16" s="17"/>
      <c r="H16" s="17"/>
      <c r="I16" s="17" t="b">
        <f>I2</f>
        <v>1</v>
      </c>
      <c r="J16" s="17"/>
      <c r="K16" s="20" t="b">
        <f>K2</f>
        <v>1</v>
      </c>
      <c r="L16" s="17"/>
      <c r="M16" s="17" t="b">
        <f>M2</f>
        <v>1</v>
      </c>
      <c r="N16" s="17"/>
      <c r="O16" s="20" t="b">
        <f>O7</f>
        <v>0</v>
      </c>
      <c r="P16" s="17" t="b">
        <f>P2</f>
        <v>1</v>
      </c>
      <c r="Q16" s="20"/>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1371</v>
      </c>
    </row>
    <row r="17" spans="1:33">
      <c r="A17" t="b">
        <f>IF(Table29[[#This Row],[Column52]],Table29[[#This Row],[Products]])</f>
        <v>0</v>
      </c>
      <c r="B17" s="20" t="b">
        <f>B2</f>
        <v>1</v>
      </c>
      <c r="C17" s="17"/>
      <c r="D17" s="17"/>
      <c r="E17" s="17"/>
      <c r="F17" s="17"/>
      <c r="G17" s="17"/>
      <c r="H17" s="17"/>
      <c r="I17" s="17" t="b">
        <f>I2</f>
        <v>1</v>
      </c>
      <c r="J17" s="17"/>
      <c r="K17" s="17"/>
      <c r="L17" s="20" t="b">
        <f>L7</f>
        <v>0</v>
      </c>
      <c r="M17" s="17" t="b">
        <f>M2</f>
        <v>1</v>
      </c>
      <c r="N17" s="17"/>
      <c r="O17" s="20" t="b">
        <f>O7</f>
        <v>0</v>
      </c>
      <c r="P17" s="20"/>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1372</v>
      </c>
    </row>
    <row r="18" spans="1:33">
      <c r="A18" t="b">
        <f>IF(Table29[[#This Row],[Column52]],Table29[[#This Row],[Products]])</f>
        <v>0</v>
      </c>
      <c r="B18" s="20" t="b">
        <f>B2</f>
        <v>1</v>
      </c>
      <c r="C18" s="17"/>
      <c r="D18" s="17"/>
      <c r="E18" s="17"/>
      <c r="F18" s="17"/>
      <c r="G18" s="17"/>
      <c r="H18" s="17"/>
      <c r="I18" s="17" t="b">
        <f>I2</f>
        <v>1</v>
      </c>
      <c r="J18" s="17"/>
      <c r="K18" s="20" t="b">
        <f>K2</f>
        <v>1</v>
      </c>
      <c r="L18" s="17"/>
      <c r="M18" s="20"/>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1373</v>
      </c>
    </row>
    <row r="19" spans="1:33">
      <c r="A19" t="b">
        <f>IF(Table29[[#This Row],[Column52]],Table29[[#This Row],[Products]])</f>
        <v>0</v>
      </c>
      <c r="B19" s="20" t="b">
        <f>B2</f>
        <v>1</v>
      </c>
      <c r="C19" s="17"/>
      <c r="D19" s="17"/>
      <c r="E19" s="17"/>
      <c r="F19" s="17"/>
      <c r="G19" s="17"/>
      <c r="H19" s="17"/>
      <c r="I19" s="17" t="b">
        <f>I2</f>
        <v>1</v>
      </c>
      <c r="J19" s="17"/>
      <c r="K19" s="20" t="b">
        <f>K2</f>
        <v>1</v>
      </c>
      <c r="L19" s="17"/>
      <c r="M19" s="20"/>
      <c r="N19" s="17"/>
      <c r="O19" s="20" t="b">
        <f>O7</f>
        <v>0</v>
      </c>
      <c r="P19" s="17" t="b">
        <f>P2</f>
        <v>1</v>
      </c>
      <c r="Q19" s="17" t="b">
        <f>Q2</f>
        <v>1</v>
      </c>
      <c r="R19" s="20" t="b">
        <f>R2</f>
        <v>1</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1374</v>
      </c>
    </row>
    <row r="20" spans="1:33">
      <c r="A20" t="b">
        <f>IF(Table29[[#This Row],[Column52]],Table29[[#This Row],[Products]])</f>
        <v>0</v>
      </c>
      <c r="B20" s="20" t="b">
        <f>B2</f>
        <v>1</v>
      </c>
      <c r="C20" s="17"/>
      <c r="D20" s="17"/>
      <c r="E20" s="17"/>
      <c r="F20" s="17"/>
      <c r="G20" s="17"/>
      <c r="H20" s="17"/>
      <c r="I20" s="17" t="b">
        <f>I2</f>
        <v>1</v>
      </c>
      <c r="J20" s="17"/>
      <c r="K20" s="20" t="b">
        <f>K2</f>
        <v>1</v>
      </c>
      <c r="L20" s="17"/>
      <c r="M20" s="20"/>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1375</v>
      </c>
    </row>
    <row r="21" spans="1:33">
      <c r="A21" t="b">
        <f>IF(Table29[[#This Row],[Column52]],Table29[[#This Row],[Products]])</f>
        <v>0</v>
      </c>
      <c r="B21" s="20" t="b">
        <f>B2</f>
        <v>1</v>
      </c>
      <c r="C21" s="17"/>
      <c r="D21" s="17"/>
      <c r="E21" s="17"/>
      <c r="F21" s="17"/>
      <c r="G21" s="17"/>
      <c r="H21" s="17"/>
      <c r="I21" s="20"/>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1380</v>
      </c>
    </row>
    <row r="22" spans="1:33">
      <c r="A22" t="b">
        <f>IF(Table29[[#This Row],[Column52]],Table29[[#This Row],[Products]])</f>
        <v>0</v>
      </c>
      <c r="B22" s="20" t="b">
        <f>B2</f>
        <v>1</v>
      </c>
      <c r="C22" s="17"/>
      <c r="D22" s="17"/>
      <c r="E22" s="17"/>
      <c r="F22" s="17"/>
      <c r="G22" s="17"/>
      <c r="H22" s="17"/>
      <c r="I22" s="17" t="b">
        <f>I2</f>
        <v>1</v>
      </c>
      <c r="J22" s="20" t="b">
        <f>J11</f>
        <v>0</v>
      </c>
      <c r="K22" s="17"/>
      <c r="L22" s="17"/>
      <c r="M22" s="20"/>
      <c r="N22" s="17"/>
      <c r="O22" s="20" t="b">
        <f>O7</f>
        <v>0</v>
      </c>
      <c r="P22" s="20"/>
      <c r="Q22" s="17" t="b">
        <f>Q2</f>
        <v>1</v>
      </c>
      <c r="R22" s="17"/>
      <c r="S22" s="20" t="b">
        <f>S3</f>
        <v>0</v>
      </c>
      <c r="T22" s="17" t="b">
        <f>T7</f>
        <v>1</v>
      </c>
      <c r="U22" s="20" t="b">
        <f>U8</f>
        <v>0</v>
      </c>
      <c r="V22" s="17"/>
      <c r="W22" s="17"/>
      <c r="X22" s="17"/>
      <c r="Y22" s="17"/>
      <c r="Z22" s="17" t="b">
        <f>Z2</f>
        <v>1</v>
      </c>
      <c r="AA22" s="17" t="b">
        <f>AA2</f>
        <v>1</v>
      </c>
      <c r="AB22" s="20"/>
      <c r="AC22" s="17" t="b">
        <f>AC2</f>
        <v>1</v>
      </c>
      <c r="AD22" s="17" t="b">
        <f>AD2</f>
        <v>1</v>
      </c>
      <c r="AE22" s="17" t="b">
        <f>AE2</f>
        <v>1</v>
      </c>
      <c r="AF22" t="b">
        <f>AND(Table29[[#This Row],[Plaster]:[Hypoallergenic]])</f>
        <v>0</v>
      </c>
      <c r="AG22" s="11" t="s">
        <v>1382</v>
      </c>
    </row>
    <row r="23" spans="1:33">
      <c r="A23" t="b">
        <f>IF(Table29[[#This Row],[Column52]],Table29[[#This Row],[Products]])</f>
        <v>0</v>
      </c>
      <c r="B23" s="20" t="b">
        <f>B2</f>
        <v>1</v>
      </c>
      <c r="C23" s="17"/>
      <c r="D23" s="17"/>
      <c r="E23" s="17"/>
      <c r="F23" s="17"/>
      <c r="G23" s="17"/>
      <c r="H23" s="17"/>
      <c r="I23" s="17" t="b">
        <f>I2</f>
        <v>1</v>
      </c>
      <c r="J23" s="20" t="b">
        <f>J11</f>
        <v>0</v>
      </c>
      <c r="K23" s="17"/>
      <c r="L23" s="17"/>
      <c r="M23" s="20"/>
      <c r="N23" s="17"/>
      <c r="O23" s="20" t="b">
        <f>O7</f>
        <v>0</v>
      </c>
      <c r="P23" s="20"/>
      <c r="Q23" s="17" t="b">
        <f>Q2</f>
        <v>1</v>
      </c>
      <c r="R23" s="17"/>
      <c r="S23" s="20" t="b">
        <f>S3</f>
        <v>0</v>
      </c>
      <c r="T23" s="17" t="b">
        <f>T7</f>
        <v>1</v>
      </c>
      <c r="U23" s="20" t="b">
        <f>U8</f>
        <v>0</v>
      </c>
      <c r="V23" s="17"/>
      <c r="W23" s="17"/>
      <c r="X23" s="17"/>
      <c r="Y23" s="17"/>
      <c r="Z23" s="17" t="b">
        <f>Z2</f>
        <v>1</v>
      </c>
      <c r="AA23" s="17" t="b">
        <f>AA2</f>
        <v>1</v>
      </c>
      <c r="AB23" s="20"/>
      <c r="AC23" s="17" t="b">
        <f>AC2</f>
        <v>1</v>
      </c>
      <c r="AD23" s="17" t="b">
        <f>AD2</f>
        <v>1</v>
      </c>
      <c r="AE23" s="17" t="b">
        <f>AE2</f>
        <v>1</v>
      </c>
      <c r="AF23" t="b">
        <f>AND(Table29[[#This Row],[Plaster]:[Hypoallergenic]])</f>
        <v>0</v>
      </c>
      <c r="AG23" s="11" t="s">
        <v>1383</v>
      </c>
    </row>
    <row r="24" spans="1:33">
      <c r="A24" t="b">
        <f>IF(Table29[[#This Row],[Column52]],Table29[[#This Row],[Products]])</f>
        <v>0</v>
      </c>
      <c r="B24" s="20" t="b">
        <f>B2</f>
        <v>1</v>
      </c>
      <c r="C24" s="17"/>
      <c r="D24" s="17"/>
      <c r="E24" s="17"/>
      <c r="F24" s="17"/>
      <c r="G24" s="17"/>
      <c r="H24" s="17"/>
      <c r="I24" s="17" t="b">
        <f>I2</f>
        <v>1</v>
      </c>
      <c r="J24" s="20" t="b">
        <f>J11</f>
        <v>0</v>
      </c>
      <c r="K24" s="17"/>
      <c r="L24" s="17"/>
      <c r="M24" s="20"/>
      <c r="N24" s="17"/>
      <c r="O24" s="20" t="b">
        <f>O7</f>
        <v>0</v>
      </c>
      <c r="P24" s="20"/>
      <c r="Q24" s="17" t="b">
        <f>Q2</f>
        <v>1</v>
      </c>
      <c r="R24" s="20" t="b">
        <f>R2</f>
        <v>1</v>
      </c>
      <c r="S24" s="17"/>
      <c r="T24" s="17" t="b">
        <f>T7</f>
        <v>1</v>
      </c>
      <c r="U24" s="20" t="b">
        <f>U8</f>
        <v>0</v>
      </c>
      <c r="V24" s="17"/>
      <c r="W24" s="17"/>
      <c r="X24" s="17"/>
      <c r="Y24" s="17"/>
      <c r="Z24" s="17" t="b">
        <f>Z2</f>
        <v>1</v>
      </c>
      <c r="AA24" s="17" t="b">
        <f>AA2</f>
        <v>1</v>
      </c>
      <c r="AB24" s="20"/>
      <c r="AC24" s="17" t="b">
        <f>AC2</f>
        <v>1</v>
      </c>
      <c r="AD24" s="17" t="b">
        <f>AD2</f>
        <v>1</v>
      </c>
      <c r="AE24" s="17" t="b">
        <f>AE2</f>
        <v>1</v>
      </c>
      <c r="AF24" t="b">
        <f>AND(Table29[[#This Row],[Plaster]:[Hypoallergenic]])</f>
        <v>0</v>
      </c>
      <c r="AG24" s="11" t="s">
        <v>1384</v>
      </c>
    </row>
    <row r="25" spans="1:33">
      <c r="A25" t="b">
        <f>IF(Table29[[#This Row],[Column52]],Table29[[#This Row],[Products]])</f>
        <v>0</v>
      </c>
      <c r="B25" s="20" t="b">
        <f>B2</f>
        <v>1</v>
      </c>
      <c r="C25" s="17"/>
      <c r="D25" s="17"/>
      <c r="E25" s="17"/>
      <c r="F25" s="17"/>
      <c r="G25" s="17"/>
      <c r="H25" s="17"/>
      <c r="I25" s="17" t="b">
        <f>I2</f>
        <v>1</v>
      </c>
      <c r="J25" s="20" t="b">
        <f>J11</f>
        <v>0</v>
      </c>
      <c r="K25" s="17"/>
      <c r="L25" s="17"/>
      <c r="M25" s="20"/>
      <c r="N25" s="17"/>
      <c r="O25" s="20" t="b">
        <f>O7</f>
        <v>0</v>
      </c>
      <c r="P25" s="20"/>
      <c r="Q25" s="17" t="b">
        <f>Q2</f>
        <v>1</v>
      </c>
      <c r="R25" s="17"/>
      <c r="S25" s="20" t="b">
        <f>S3</f>
        <v>0</v>
      </c>
      <c r="T25" s="17" t="b">
        <f>T7</f>
        <v>1</v>
      </c>
      <c r="U25" s="17"/>
      <c r="V25" s="17"/>
      <c r="W25" s="17"/>
      <c r="X25" s="17"/>
      <c r="Y25" s="20" t="b">
        <f>Y4</f>
        <v>0</v>
      </c>
      <c r="Z25" s="17" t="b">
        <f>Z2</f>
        <v>1</v>
      </c>
      <c r="AA25" s="17" t="b">
        <f>AA2</f>
        <v>1</v>
      </c>
      <c r="AB25" s="20"/>
      <c r="AC25" s="17" t="b">
        <f>AC2</f>
        <v>1</v>
      </c>
      <c r="AD25" s="17" t="b">
        <f>AD2</f>
        <v>1</v>
      </c>
      <c r="AE25" s="17" t="b">
        <f>AE2</f>
        <v>1</v>
      </c>
      <c r="AF25" t="b">
        <f>AND(Table29[[#This Row],[Plaster]:[Hypoallergenic]])</f>
        <v>0</v>
      </c>
      <c r="AG25" s="11" t="s">
        <v>1385</v>
      </c>
    </row>
    <row r="26" spans="1:33">
      <c r="A26" t="b">
        <f>IF(Table29[[#This Row],[Column52]],Table29[[#This Row],[Products]])</f>
        <v>0</v>
      </c>
      <c r="B26" s="20" t="b">
        <f>B2</f>
        <v>1</v>
      </c>
      <c r="C26" s="17"/>
      <c r="D26" s="17"/>
      <c r="E26" s="17"/>
      <c r="F26" s="17"/>
      <c r="G26" s="17"/>
      <c r="H26" s="17"/>
      <c r="I26" s="17" t="b">
        <f>I2</f>
        <v>1</v>
      </c>
      <c r="J26" s="20" t="b">
        <f>J11</f>
        <v>0</v>
      </c>
      <c r="K26" s="17"/>
      <c r="L26" s="17"/>
      <c r="M26" s="20"/>
      <c r="N26" s="17"/>
      <c r="O26" s="20" t="b">
        <f>O7</f>
        <v>0</v>
      </c>
      <c r="P26" s="20"/>
      <c r="Q26" s="17" t="b">
        <f>Q2</f>
        <v>1</v>
      </c>
      <c r="R26" s="17"/>
      <c r="S26" s="20" t="b">
        <f>S3</f>
        <v>0</v>
      </c>
      <c r="T26" s="17" t="b">
        <f>T7</f>
        <v>1</v>
      </c>
      <c r="U26" s="17"/>
      <c r="V26" s="17"/>
      <c r="W26" s="20" t="b">
        <f>W9</f>
        <v>0</v>
      </c>
      <c r="X26" s="17"/>
      <c r="Y26" s="17"/>
      <c r="Z26" s="17" t="b">
        <f>Z2</f>
        <v>1</v>
      </c>
      <c r="AA26" s="17" t="b">
        <f>AA2</f>
        <v>1</v>
      </c>
      <c r="AB26" s="20"/>
      <c r="AC26" s="17" t="b">
        <f>AC2</f>
        <v>1</v>
      </c>
      <c r="AD26" s="17" t="b">
        <f>AD2</f>
        <v>1</v>
      </c>
      <c r="AE26" s="17" t="b">
        <f>AE2</f>
        <v>1</v>
      </c>
      <c r="AF26" t="b">
        <f>AND(Table29[[#This Row],[Plaster]:[Hypoallergenic]])</f>
        <v>0</v>
      </c>
      <c r="AG26" s="11" t="s">
        <v>1386</v>
      </c>
    </row>
    <row r="27" spans="1:33">
      <c r="A27" t="b">
        <f>IF(Table29[[#This Row],[Column52]],Table29[[#This Row],[Products]])</f>
        <v>0</v>
      </c>
      <c r="B27" s="20" t="b">
        <f>B2</f>
        <v>1</v>
      </c>
      <c r="C27" s="17"/>
      <c r="D27" s="17"/>
      <c r="E27" s="17"/>
      <c r="F27" s="17"/>
      <c r="G27" s="17"/>
      <c r="H27" s="17"/>
      <c r="I27" s="17" t="b">
        <f>I2</f>
        <v>1</v>
      </c>
      <c r="J27" s="20" t="b">
        <f>J11</f>
        <v>0</v>
      </c>
      <c r="K27" s="17"/>
      <c r="L27" s="17"/>
      <c r="M27" s="20"/>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1387</v>
      </c>
    </row>
    <row r="28" spans="1:33">
      <c r="A28" t="b">
        <f>IF(Table29[[#This Row],[Column52]],Table29[[#This Row],[Products]])</f>
        <v>0</v>
      </c>
      <c r="B28" s="20" t="b">
        <f>B2</f>
        <v>1</v>
      </c>
      <c r="C28" s="17"/>
      <c r="D28" s="17"/>
      <c r="E28" s="17"/>
      <c r="F28" s="17"/>
      <c r="G28" s="17"/>
      <c r="H28" s="17"/>
      <c r="I28" s="17" t="b">
        <f>I2</f>
        <v>1</v>
      </c>
      <c r="J28" s="20" t="b">
        <f>J11</f>
        <v>0</v>
      </c>
      <c r="K28" s="17"/>
      <c r="L28" s="17"/>
      <c r="M28" s="20"/>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1388</v>
      </c>
    </row>
    <row r="29" spans="1:33">
      <c r="A29" t="b">
        <f>IF(Table29[[#This Row],[Column52]],Table29[[#This Row],[Products]])</f>
        <v>0</v>
      </c>
      <c r="B29" s="20" t="b">
        <f>B2</f>
        <v>1</v>
      </c>
      <c r="C29" s="17"/>
      <c r="D29" s="17"/>
      <c r="E29" s="17"/>
      <c r="F29" s="17"/>
      <c r="G29" s="17"/>
      <c r="H29" s="17"/>
      <c r="I29" s="17" t="b">
        <f>I2</f>
        <v>1</v>
      </c>
      <c r="J29" s="20" t="b">
        <f>J11</f>
        <v>0</v>
      </c>
      <c r="K29" s="17"/>
      <c r="L29" s="17"/>
      <c r="M29" s="17" t="b">
        <f>M2</f>
        <v>1</v>
      </c>
      <c r="N29" s="17"/>
      <c r="O29" s="20" t="b">
        <f>O7</f>
        <v>0</v>
      </c>
      <c r="P29" s="20"/>
      <c r="Q29" s="17" t="b">
        <f>Q2</f>
        <v>1</v>
      </c>
      <c r="R29" s="17"/>
      <c r="S29" s="20" t="b">
        <f>S3</f>
        <v>0</v>
      </c>
      <c r="T29" s="17" t="b">
        <f>T7</f>
        <v>1</v>
      </c>
      <c r="U29" s="17"/>
      <c r="V29" s="17"/>
      <c r="W29" s="20" t="b">
        <f>W9</f>
        <v>0</v>
      </c>
      <c r="X29" s="17"/>
      <c r="Y29" s="17"/>
      <c r="Z29" s="17" t="b">
        <f>Z2</f>
        <v>1</v>
      </c>
      <c r="AA29" s="17" t="b">
        <f>AA2</f>
        <v>1</v>
      </c>
      <c r="AB29" s="17" t="b">
        <f>AB2</f>
        <v>1</v>
      </c>
      <c r="AC29" s="20"/>
      <c r="AD29" s="17" t="b">
        <f>AD2</f>
        <v>1</v>
      </c>
      <c r="AE29" s="17" t="b">
        <f>AE2</f>
        <v>1</v>
      </c>
      <c r="AF29" t="b">
        <f>AND(Table29[[#This Row],[Plaster]:[Hypoallergenic]])</f>
        <v>0</v>
      </c>
      <c r="AG29" s="11" t="s">
        <v>1389</v>
      </c>
    </row>
    <row r="30" spans="1:33">
      <c r="A30" t="b">
        <f>IF(Table29[[#This Row],[Column52]],Table29[[#This Row],[Products]])</f>
        <v>0</v>
      </c>
      <c r="B30" s="20" t="b">
        <f>B2</f>
        <v>1</v>
      </c>
      <c r="C30" s="17"/>
      <c r="D30" s="17"/>
      <c r="E30" s="17"/>
      <c r="F30" s="17"/>
      <c r="G30" s="17"/>
      <c r="H30" s="17"/>
      <c r="I30" s="17" t="b">
        <f>I2</f>
        <v>1</v>
      </c>
      <c r="J30" s="17"/>
      <c r="K30" s="20" t="b">
        <f>K2</f>
        <v>1</v>
      </c>
      <c r="L30" s="17"/>
      <c r="M30" s="17" t="b">
        <f>M2</f>
        <v>1</v>
      </c>
      <c r="N30" s="17"/>
      <c r="O30" s="20" t="b">
        <f>O7</f>
        <v>0</v>
      </c>
      <c r="P30" s="17" t="b">
        <f>P2</f>
        <v>1</v>
      </c>
      <c r="Q30" s="20"/>
      <c r="R30" s="17"/>
      <c r="S30" s="20" t="b">
        <f>S3</f>
        <v>0</v>
      </c>
      <c r="T30" s="17" t="b">
        <f>T7</f>
        <v>1</v>
      </c>
      <c r="U30" s="17"/>
      <c r="V30" s="17"/>
      <c r="W30" s="17"/>
      <c r="X30" s="17"/>
      <c r="Y30" s="17"/>
      <c r="Z30" s="20"/>
      <c r="AA30" s="17" t="b">
        <f>AA2</f>
        <v>1</v>
      </c>
      <c r="AB30" s="17" t="b">
        <f>AB2</f>
        <v>1</v>
      </c>
      <c r="AC30" s="17" t="b">
        <f>AC2</f>
        <v>1</v>
      </c>
      <c r="AD30" s="17" t="b">
        <f>AD2</f>
        <v>1</v>
      </c>
      <c r="AE30" s="17" t="b">
        <f>AE2</f>
        <v>1</v>
      </c>
      <c r="AF30" t="b">
        <f>AND(Table29[[#This Row],[Plaster]:[Hypoallergenic]])</f>
        <v>0</v>
      </c>
      <c r="AG30" s="11" t="s">
        <v>1392</v>
      </c>
    </row>
    <row r="31" spans="1:33">
      <c r="A31" t="b">
        <f>IF(Table29[[#This Row],[Column52]],Table29[[#This Row],[Products]])</f>
        <v>0</v>
      </c>
      <c r="B31" s="20" t="b">
        <f>B2</f>
        <v>1</v>
      </c>
      <c r="C31" s="17"/>
      <c r="D31" s="17"/>
      <c r="E31" s="17"/>
      <c r="F31" s="17"/>
      <c r="G31" s="17"/>
      <c r="H31" s="17"/>
      <c r="I31" s="17" t="b">
        <f>I2</f>
        <v>1</v>
      </c>
      <c r="J31" s="17"/>
      <c r="K31" s="20" t="b">
        <f>K2</f>
        <v>1</v>
      </c>
      <c r="L31" s="17"/>
      <c r="M31" s="20"/>
      <c r="N31" s="17"/>
      <c r="O31" s="20" t="b">
        <f>O7</f>
        <v>0</v>
      </c>
      <c r="P31" s="17" t="b">
        <f>P2</f>
        <v>1</v>
      </c>
      <c r="Q31" s="17" t="b">
        <f>Q2</f>
        <v>1</v>
      </c>
      <c r="R31" s="17"/>
      <c r="S31" s="20" t="b">
        <f>S3</f>
        <v>0</v>
      </c>
      <c r="T31" s="17" t="b">
        <f>T7</f>
        <v>1</v>
      </c>
      <c r="U31" s="17"/>
      <c r="V31" s="17"/>
      <c r="W31" s="20" t="b">
        <f>W9</f>
        <v>0</v>
      </c>
      <c r="X31" s="17"/>
      <c r="Y31" s="17"/>
      <c r="Z31" s="17" t="b">
        <f>Z2</f>
        <v>1</v>
      </c>
      <c r="AA31" s="20"/>
      <c r="AB31" s="17" t="b">
        <f>AB2</f>
        <v>1</v>
      </c>
      <c r="AC31" s="17" t="b">
        <f>AC2</f>
        <v>1</v>
      </c>
      <c r="AD31" s="17" t="b">
        <f>AD2</f>
        <v>1</v>
      </c>
      <c r="AE31" s="17" t="b">
        <f>AE2</f>
        <v>1</v>
      </c>
      <c r="AF31" t="b">
        <f>AND(Table29[[#This Row],[Plaster]:[Hypoallergenic]])</f>
        <v>0</v>
      </c>
      <c r="AG31" s="28" t="s">
        <v>1393</v>
      </c>
    </row>
    <row r="32" spans="1:33">
      <c r="A32" t="b">
        <f>IF(Table29[[#This Row],[Column52]],Table29[[#This Row],[Products]])</f>
        <v>0</v>
      </c>
      <c r="B32" s="20" t="b">
        <f>B2</f>
        <v>1</v>
      </c>
      <c r="C32" s="17"/>
      <c r="D32" s="17"/>
      <c r="E32" s="17"/>
      <c r="F32" s="17"/>
      <c r="G32" s="17"/>
      <c r="H32" s="17"/>
      <c r="I32" s="17" t="b">
        <f>I2</f>
        <v>1</v>
      </c>
      <c r="J32" s="17"/>
      <c r="K32" s="20" t="b">
        <f>K2</f>
        <v>1</v>
      </c>
      <c r="L32" s="17"/>
      <c r="M32" s="20"/>
      <c r="N32" s="17"/>
      <c r="O32" s="20" t="b">
        <f>O7</f>
        <v>0</v>
      </c>
      <c r="P32" s="17" t="b">
        <f>P2</f>
        <v>1</v>
      </c>
      <c r="Q32" s="17" t="b">
        <f>Q2</f>
        <v>1</v>
      </c>
      <c r="R32" s="17"/>
      <c r="S32" s="20" t="b">
        <f>S3</f>
        <v>0</v>
      </c>
      <c r="T32" s="17" t="b">
        <f>T7</f>
        <v>1</v>
      </c>
      <c r="U32" s="17"/>
      <c r="V32" s="17"/>
      <c r="W32" s="20" t="b">
        <f>W9</f>
        <v>0</v>
      </c>
      <c r="X32" s="17"/>
      <c r="Y32" s="17"/>
      <c r="Z32" s="17" t="b">
        <f>Z2</f>
        <v>1</v>
      </c>
      <c r="AA32" s="20"/>
      <c r="AB32" s="17" t="b">
        <f>AB2</f>
        <v>1</v>
      </c>
      <c r="AC32" s="17" t="b">
        <f>AC2</f>
        <v>1</v>
      </c>
      <c r="AD32" s="17" t="b">
        <f>AD2</f>
        <v>1</v>
      </c>
      <c r="AE32" s="17" t="b">
        <f>AE2</f>
        <v>1</v>
      </c>
      <c r="AF32" t="b">
        <f>AND(Table29[[#This Row],[Plaster]:[Hypoallergenic]])</f>
        <v>0</v>
      </c>
      <c r="AG32" s="28" t="s">
        <v>1394</v>
      </c>
    </row>
    <row r="33" spans="1:33">
      <c r="A33" t="b">
        <f>IF(Table29[[#This Row],[Column52]],Table29[[#This Row],[Products]])</f>
        <v>0</v>
      </c>
      <c r="B33" s="20" t="b">
        <f>B2</f>
        <v>1</v>
      </c>
      <c r="C33" s="17"/>
      <c r="D33" s="17"/>
      <c r="E33" s="17"/>
      <c r="F33" s="17"/>
      <c r="G33" s="17"/>
      <c r="H33" s="17"/>
      <c r="I33" s="17" t="b">
        <f>I2</f>
        <v>1</v>
      </c>
      <c r="J33" s="20" t="b">
        <f>J11</f>
        <v>0</v>
      </c>
      <c r="K33" s="17"/>
      <c r="L33" s="17"/>
      <c r="M33" s="20"/>
      <c r="N33" s="17"/>
      <c r="O33" s="20" t="b">
        <f>O7</f>
        <v>0</v>
      </c>
      <c r="P33" s="17" t="b">
        <f>P2</f>
        <v>1</v>
      </c>
      <c r="Q33" s="17" t="b">
        <f>Q2</f>
        <v>1</v>
      </c>
      <c r="R33" s="17"/>
      <c r="S33" s="20" t="b">
        <f>S3</f>
        <v>0</v>
      </c>
      <c r="T33" s="17" t="b">
        <f>T7</f>
        <v>1</v>
      </c>
      <c r="U33" s="20" t="b">
        <f>U8</f>
        <v>0</v>
      </c>
      <c r="V33" s="17"/>
      <c r="W33" s="17"/>
      <c r="X33" s="17"/>
      <c r="Y33" s="17"/>
      <c r="Z33" s="17" t="b">
        <f>Z2</f>
        <v>1</v>
      </c>
      <c r="AA33" s="20"/>
      <c r="AB33" s="20"/>
      <c r="AC33" s="17" t="b">
        <f>AC2</f>
        <v>1</v>
      </c>
      <c r="AD33" s="17" t="b">
        <f>AD2</f>
        <v>1</v>
      </c>
      <c r="AE33" s="17" t="b">
        <f>AE2</f>
        <v>1</v>
      </c>
      <c r="AF33" t="b">
        <f>AND(Table29[[#This Row],[Plaster]:[Hypoallergenic]])</f>
        <v>0</v>
      </c>
      <c r="AG33" s="28" t="s">
        <v>1395</v>
      </c>
    </row>
    <row r="34" spans="1:33">
      <c r="A34" t="b">
        <f>IF(Table29[[#This Row],[Column52]],Table29[[#This Row],[Products]])</f>
        <v>0</v>
      </c>
      <c r="B34" s="20" t="b">
        <f>B2</f>
        <v>1</v>
      </c>
      <c r="C34" s="17"/>
      <c r="D34" s="17"/>
      <c r="E34" s="17"/>
      <c r="F34" s="17"/>
      <c r="G34" s="17"/>
      <c r="H34" s="17"/>
      <c r="I34" s="17" t="b">
        <f>I2</f>
        <v>1</v>
      </c>
      <c r="J34" s="20" t="b">
        <f>J11</f>
        <v>0</v>
      </c>
      <c r="K34" s="17"/>
      <c r="L34" s="17"/>
      <c r="M34" s="20"/>
      <c r="N34" s="17"/>
      <c r="O34" s="20" t="b">
        <f>O7</f>
        <v>0</v>
      </c>
      <c r="P34" s="17" t="b">
        <f>P2</f>
        <v>1</v>
      </c>
      <c r="Q34" s="17" t="b">
        <f>Q2</f>
        <v>1</v>
      </c>
      <c r="R34" s="17"/>
      <c r="S34" s="20" t="b">
        <f>S3</f>
        <v>0</v>
      </c>
      <c r="T34" s="17" t="b">
        <f>T7</f>
        <v>1</v>
      </c>
      <c r="U34" s="20" t="b">
        <f>U8</f>
        <v>0</v>
      </c>
      <c r="V34" s="17"/>
      <c r="W34" s="17"/>
      <c r="X34" s="17"/>
      <c r="Y34" s="17"/>
      <c r="Z34" s="17" t="b">
        <f>Z2</f>
        <v>1</v>
      </c>
      <c r="AA34" s="20"/>
      <c r="AB34" s="20"/>
      <c r="AC34" s="17" t="b">
        <f>AC2</f>
        <v>1</v>
      </c>
      <c r="AD34" s="17" t="b">
        <f>AD2</f>
        <v>1</v>
      </c>
      <c r="AE34" s="17" t="b">
        <f>AE2</f>
        <v>1</v>
      </c>
      <c r="AF34" t="b">
        <f>AND(Table29[[#This Row],[Plaster]:[Hypoallergenic]])</f>
        <v>0</v>
      </c>
      <c r="AG34" s="28" t="s">
        <v>1396</v>
      </c>
    </row>
    <row r="35" spans="1:33">
      <c r="A35" t="b">
        <f>IF(Table29[[#This Row],[Column52]],Table29[[#This Row],[Products]])</f>
        <v>0</v>
      </c>
      <c r="B35" s="20" t="b">
        <f>B2</f>
        <v>1</v>
      </c>
      <c r="C35" s="17"/>
      <c r="D35" s="17"/>
      <c r="E35" s="17"/>
      <c r="F35" s="17"/>
      <c r="G35" s="17"/>
      <c r="H35" s="17"/>
      <c r="I35" s="17" t="b">
        <f>I2</f>
        <v>1</v>
      </c>
      <c r="J35" s="20" t="b">
        <f>J11</f>
        <v>0</v>
      </c>
      <c r="K35" s="17"/>
      <c r="L35" s="17"/>
      <c r="M35" s="20"/>
      <c r="N35" s="17"/>
      <c r="O35" s="20" t="b">
        <f>O7</f>
        <v>0</v>
      </c>
      <c r="P35" s="17" t="b">
        <f>P2</f>
        <v>1</v>
      </c>
      <c r="Q35" s="17" t="b">
        <f>Q2</f>
        <v>1</v>
      </c>
      <c r="R35" s="17"/>
      <c r="S35" s="20" t="b">
        <f>S3</f>
        <v>0</v>
      </c>
      <c r="T35" s="17" t="b">
        <f>T7</f>
        <v>1</v>
      </c>
      <c r="U35" s="20" t="b">
        <f>U8</f>
        <v>0</v>
      </c>
      <c r="V35" s="17"/>
      <c r="W35" s="17"/>
      <c r="X35" s="17"/>
      <c r="Y35" s="17"/>
      <c r="Z35" s="17" t="b">
        <f>Z2</f>
        <v>1</v>
      </c>
      <c r="AA35" s="20"/>
      <c r="AB35" s="20"/>
      <c r="AC35" s="17" t="b">
        <f>AC2</f>
        <v>1</v>
      </c>
      <c r="AD35" s="17" t="b">
        <f>AD2</f>
        <v>1</v>
      </c>
      <c r="AE35" s="17" t="b">
        <f>AE2</f>
        <v>1</v>
      </c>
      <c r="AF35" t="b">
        <f>AND(Table29[[#This Row],[Plaster]:[Hypoallergenic]])</f>
        <v>0</v>
      </c>
      <c r="AG35" s="28" t="s">
        <v>1397</v>
      </c>
    </row>
    <row r="36" spans="1:33">
      <c r="A36" t="b">
        <f>IF(Table29[[#This Row],[Column52]],Table29[[#This Row],[Products]])</f>
        <v>0</v>
      </c>
      <c r="B36" s="20" t="b">
        <f>B2</f>
        <v>1</v>
      </c>
      <c r="C36" s="17"/>
      <c r="D36" s="17"/>
      <c r="E36" s="17"/>
      <c r="F36" s="17"/>
      <c r="G36" s="17"/>
      <c r="H36" s="17"/>
      <c r="I36" s="17" t="b">
        <f>I2</f>
        <v>1</v>
      </c>
      <c r="J36" s="20" t="b">
        <f>J11</f>
        <v>0</v>
      </c>
      <c r="K36" s="17"/>
      <c r="L36" s="17"/>
      <c r="M36" s="20"/>
      <c r="N36" s="17"/>
      <c r="O36" s="20" t="b">
        <f>O7</f>
        <v>0</v>
      </c>
      <c r="P36" s="17" t="b">
        <f>P2</f>
        <v>1</v>
      </c>
      <c r="Q36" s="17" t="b">
        <f>Q2</f>
        <v>1</v>
      </c>
      <c r="R36" s="17"/>
      <c r="S36" s="20" t="b">
        <f>S3</f>
        <v>0</v>
      </c>
      <c r="T36" s="17" t="b">
        <f>T7</f>
        <v>1</v>
      </c>
      <c r="U36" s="20" t="b">
        <f>U8</f>
        <v>0</v>
      </c>
      <c r="V36" s="17"/>
      <c r="W36" s="17"/>
      <c r="X36" s="17"/>
      <c r="Y36" s="17"/>
      <c r="Z36" s="17" t="b">
        <f>Z2</f>
        <v>1</v>
      </c>
      <c r="AA36" s="20"/>
      <c r="AB36" s="20"/>
      <c r="AC36" s="17" t="b">
        <f>AC2</f>
        <v>1</v>
      </c>
      <c r="AD36" s="17" t="b">
        <f>AD2</f>
        <v>1</v>
      </c>
      <c r="AE36" s="17" t="b">
        <f>AE2</f>
        <v>1</v>
      </c>
      <c r="AF36" t="b">
        <f>AND(Table29[[#This Row],[Plaster]:[Hypoallergenic]])</f>
        <v>0</v>
      </c>
      <c r="AG36" s="28" t="s">
        <v>1398</v>
      </c>
    </row>
    <row r="37" spans="1:33">
      <c r="A37" t="b">
        <f>IF(Table29[[#This Row],[Column52]],Table29[[#This Row],[Products]])</f>
        <v>0</v>
      </c>
      <c r="B37" s="20" t="b">
        <f>B2</f>
        <v>1</v>
      </c>
      <c r="C37" s="17"/>
      <c r="D37" s="17"/>
      <c r="E37" s="17"/>
      <c r="F37" s="17"/>
      <c r="G37" s="17"/>
      <c r="H37" s="17"/>
      <c r="I37" s="17" t="b">
        <f>I2</f>
        <v>1</v>
      </c>
      <c r="J37" s="20" t="b">
        <f>J11</f>
        <v>0</v>
      </c>
      <c r="K37" s="17"/>
      <c r="L37" s="17"/>
      <c r="M37" s="20"/>
      <c r="N37" s="17"/>
      <c r="O37" s="20" t="b">
        <f>O7</f>
        <v>0</v>
      </c>
      <c r="P37" s="17" t="b">
        <f>P2</f>
        <v>1</v>
      </c>
      <c r="Q37" s="17" t="b">
        <f>Q2</f>
        <v>1</v>
      </c>
      <c r="R37" s="17"/>
      <c r="S37" s="20" t="b">
        <f>S3</f>
        <v>0</v>
      </c>
      <c r="T37" s="17" t="b">
        <f>T7</f>
        <v>1</v>
      </c>
      <c r="U37" s="20" t="b">
        <f>U8</f>
        <v>0</v>
      </c>
      <c r="V37" s="17"/>
      <c r="W37" s="17"/>
      <c r="X37" s="17"/>
      <c r="Y37" s="17"/>
      <c r="Z37" s="17" t="b">
        <f>Z2</f>
        <v>1</v>
      </c>
      <c r="AA37" s="20"/>
      <c r="AB37" s="20"/>
      <c r="AC37" s="17" t="b">
        <f>AC2</f>
        <v>1</v>
      </c>
      <c r="AD37" s="17" t="b">
        <f>AD2</f>
        <v>1</v>
      </c>
      <c r="AE37" s="17" t="b">
        <f>AE2</f>
        <v>1</v>
      </c>
      <c r="AF37" t="b">
        <f>AND(Table29[[#This Row],[Plaster]:[Hypoallergenic]])</f>
        <v>0</v>
      </c>
      <c r="AG37" s="28" t="s">
        <v>1399</v>
      </c>
    </row>
    <row r="38" spans="1:33">
      <c r="A38" t="b">
        <f>IF(Table29[[#This Row],[Column52]],Table29[[#This Row],[Products]])</f>
        <v>0</v>
      </c>
      <c r="B38" s="20" t="b">
        <f>B2</f>
        <v>1</v>
      </c>
      <c r="C38" s="17"/>
      <c r="D38" s="17"/>
      <c r="E38" s="17"/>
      <c r="F38" s="17"/>
      <c r="G38" s="17"/>
      <c r="H38" s="17"/>
      <c r="I38" s="17" t="b">
        <f>I2</f>
        <v>1</v>
      </c>
      <c r="J38" s="20" t="b">
        <f>J11</f>
        <v>0</v>
      </c>
      <c r="K38" s="17"/>
      <c r="L38" s="17"/>
      <c r="M38" s="20"/>
      <c r="N38" s="17"/>
      <c r="O38" s="20" t="b">
        <f>O7</f>
        <v>0</v>
      </c>
      <c r="P38" s="17" t="b">
        <f>P2</f>
        <v>1</v>
      </c>
      <c r="Q38" s="17" t="b">
        <f>Q2</f>
        <v>1</v>
      </c>
      <c r="R38" s="17"/>
      <c r="S38" s="20" t="b">
        <f>S3</f>
        <v>0</v>
      </c>
      <c r="T38" s="17" t="b">
        <f>T7</f>
        <v>1</v>
      </c>
      <c r="U38" s="20" t="b">
        <f>U8</f>
        <v>0</v>
      </c>
      <c r="V38" s="17"/>
      <c r="W38" s="17"/>
      <c r="X38" s="17"/>
      <c r="Y38" s="17"/>
      <c r="Z38" s="17" t="b">
        <f>Z2</f>
        <v>1</v>
      </c>
      <c r="AA38" s="20"/>
      <c r="AB38" s="20"/>
      <c r="AC38" s="17" t="b">
        <f>AC2</f>
        <v>1</v>
      </c>
      <c r="AD38" s="17" t="b">
        <f>AD2</f>
        <v>1</v>
      </c>
      <c r="AE38" s="17" t="b">
        <f>AE2</f>
        <v>1</v>
      </c>
      <c r="AF38" t="b">
        <f>AND(Table29[[#This Row],[Plaster]:[Hypoallergenic]])</f>
        <v>0</v>
      </c>
      <c r="AG38" s="28" t="s">
        <v>1400</v>
      </c>
    </row>
    <row r="39" spans="1:33">
      <c r="A39" t="b">
        <f>IF(Table29[[#This Row],[Column52]],Table29[[#This Row],[Products]])</f>
        <v>0</v>
      </c>
      <c r="B39" s="20" t="b">
        <f>B2</f>
        <v>1</v>
      </c>
      <c r="C39" s="17"/>
      <c r="D39" s="17"/>
      <c r="E39" s="17"/>
      <c r="F39" s="17"/>
      <c r="G39" s="17"/>
      <c r="H39" s="17"/>
      <c r="I39" s="17" t="b">
        <f>I2</f>
        <v>1</v>
      </c>
      <c r="J39" s="20" t="b">
        <f>J11</f>
        <v>0</v>
      </c>
      <c r="K39" s="17"/>
      <c r="L39" s="17"/>
      <c r="M39" s="20"/>
      <c r="N39" s="17"/>
      <c r="O39" s="20" t="b">
        <f>O7</f>
        <v>0</v>
      </c>
      <c r="P39" s="17" t="b">
        <f>P2</f>
        <v>1</v>
      </c>
      <c r="Q39" s="17" t="b">
        <f>Q2</f>
        <v>1</v>
      </c>
      <c r="R39" s="17"/>
      <c r="S39" s="20" t="b">
        <f>S3</f>
        <v>0</v>
      </c>
      <c r="T39" s="17" t="b">
        <f>T7</f>
        <v>1</v>
      </c>
      <c r="U39" s="20" t="b">
        <f>U8</f>
        <v>0</v>
      </c>
      <c r="V39" s="17"/>
      <c r="W39" s="17"/>
      <c r="X39" s="17"/>
      <c r="Y39" s="17"/>
      <c r="Z39" s="17" t="b">
        <f>Z2</f>
        <v>1</v>
      </c>
      <c r="AA39" s="20"/>
      <c r="AB39" s="20"/>
      <c r="AC39" s="17" t="b">
        <f>AC2</f>
        <v>1</v>
      </c>
      <c r="AD39" s="17" t="b">
        <f>AD2</f>
        <v>1</v>
      </c>
      <c r="AE39" s="17" t="b">
        <f>AE2</f>
        <v>1</v>
      </c>
      <c r="AF39" t="b">
        <f>AND(Table29[[#This Row],[Plaster]:[Hypoallergenic]])</f>
        <v>0</v>
      </c>
      <c r="AG39" s="28" t="s">
        <v>1401</v>
      </c>
    </row>
    <row r="40" spans="1:33">
      <c r="A40" t="b">
        <f>IF(Table29[[#This Row],[Column52]],Table29[[#This Row],[Products]])</f>
        <v>0</v>
      </c>
      <c r="B40" s="20" t="b">
        <f>B2</f>
        <v>1</v>
      </c>
      <c r="C40" s="17"/>
      <c r="D40" s="17"/>
      <c r="E40" s="17"/>
      <c r="F40" s="17"/>
      <c r="G40" s="17"/>
      <c r="H40" s="17"/>
      <c r="I40" s="17" t="b">
        <f>I2</f>
        <v>1</v>
      </c>
      <c r="J40" s="20" t="b">
        <f>J11</f>
        <v>0</v>
      </c>
      <c r="K40" s="17"/>
      <c r="L40" s="17"/>
      <c r="M40" s="20"/>
      <c r="N40" s="17"/>
      <c r="O40" s="20" t="b">
        <f>O7</f>
        <v>0</v>
      </c>
      <c r="P40" s="17" t="b">
        <f>P2</f>
        <v>1</v>
      </c>
      <c r="Q40" s="17" t="b">
        <f>Q2</f>
        <v>1</v>
      </c>
      <c r="R40" s="17"/>
      <c r="S40" s="20" t="b">
        <f>S3</f>
        <v>0</v>
      </c>
      <c r="T40" s="17" t="b">
        <f>T7</f>
        <v>1</v>
      </c>
      <c r="U40" s="20" t="b">
        <f>U8</f>
        <v>0</v>
      </c>
      <c r="V40" s="17"/>
      <c r="W40" s="17"/>
      <c r="X40" s="17"/>
      <c r="Y40" s="17"/>
      <c r="Z40" s="17" t="b">
        <f>Z2</f>
        <v>1</v>
      </c>
      <c r="AA40" s="20"/>
      <c r="AB40" s="20"/>
      <c r="AC40" s="17" t="b">
        <f>AC2</f>
        <v>1</v>
      </c>
      <c r="AD40" s="17" t="b">
        <f>AD2</f>
        <v>1</v>
      </c>
      <c r="AE40" s="17" t="b">
        <f>AE2</f>
        <v>1</v>
      </c>
      <c r="AF40" t="b">
        <f>AND(Table29[[#This Row],[Plaster]:[Hypoallergenic]])</f>
        <v>0</v>
      </c>
      <c r="AG40" s="28" t="s">
        <v>1402</v>
      </c>
    </row>
    <row r="41" spans="1:33">
      <c r="A41" t="b">
        <f>IF(Table29[[#This Row],[Column52]],Table29[[#This Row],[Products]])</f>
        <v>0</v>
      </c>
      <c r="B41" s="20" t="b">
        <f>B2</f>
        <v>1</v>
      </c>
      <c r="C41" s="17"/>
      <c r="D41" s="17"/>
      <c r="E41" s="17"/>
      <c r="F41" s="17"/>
      <c r="G41" s="17"/>
      <c r="H41" s="17"/>
      <c r="I41" s="17" t="b">
        <f>I2</f>
        <v>1</v>
      </c>
      <c r="J41" s="20" t="b">
        <f>J11</f>
        <v>0</v>
      </c>
      <c r="K41" s="17"/>
      <c r="L41" s="17"/>
      <c r="M41" s="20"/>
      <c r="N41" s="17"/>
      <c r="O41" s="20" t="b">
        <f>O7</f>
        <v>0</v>
      </c>
      <c r="P41" s="17" t="b">
        <f>P2</f>
        <v>1</v>
      </c>
      <c r="Q41" s="17" t="b">
        <f>Q2</f>
        <v>1</v>
      </c>
      <c r="R41" s="17"/>
      <c r="S41" s="20" t="b">
        <f>S3</f>
        <v>0</v>
      </c>
      <c r="T41" s="17" t="b">
        <f>T7</f>
        <v>1</v>
      </c>
      <c r="U41" s="20" t="b">
        <f>U8</f>
        <v>0</v>
      </c>
      <c r="V41" s="17"/>
      <c r="W41" s="17"/>
      <c r="X41" s="17"/>
      <c r="Y41" s="17"/>
      <c r="Z41" s="17" t="b">
        <f>Z2</f>
        <v>1</v>
      </c>
      <c r="AA41" s="20"/>
      <c r="AB41" s="20"/>
      <c r="AC41" s="17" t="b">
        <f>AC2</f>
        <v>1</v>
      </c>
      <c r="AD41" s="17" t="b">
        <f>AD2</f>
        <v>1</v>
      </c>
      <c r="AE41" s="17" t="b">
        <f>AE2</f>
        <v>1</v>
      </c>
      <c r="AF41" t="b">
        <f>AND(Table29[[#This Row],[Plaster]:[Hypoallergenic]])</f>
        <v>0</v>
      </c>
      <c r="AG41" s="28" t="s">
        <v>1403</v>
      </c>
    </row>
    <row r="42" spans="1:33">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1</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1376</v>
      </c>
    </row>
    <row r="43" spans="1:33">
      <c r="A43" t="b">
        <f>IF(Table29[[#This Row],[Column52]],Table29[[#This Row],[Products]])</f>
        <v>0</v>
      </c>
      <c r="B43" s="20" t="b">
        <f>B2</f>
        <v>1</v>
      </c>
      <c r="C43" s="17"/>
      <c r="D43" s="17"/>
      <c r="E43" s="17"/>
      <c r="F43" s="17"/>
      <c r="G43" s="17"/>
      <c r="H43" s="17"/>
      <c r="I43" s="17" t="b">
        <f>I2</f>
        <v>1</v>
      </c>
      <c r="J43" s="17"/>
      <c r="K43" s="20" t="b">
        <f>K2</f>
        <v>1</v>
      </c>
      <c r="L43" s="17"/>
      <c r="M43" s="20"/>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1404</v>
      </c>
    </row>
    <row r="44" spans="1:33">
      <c r="A44" t="b">
        <f>IF(Table29[[#This Row],[Column52]],Table29[[#This Row],[Products]])</f>
        <v>0</v>
      </c>
      <c r="B44" s="17"/>
      <c r="C44" s="17"/>
      <c r="D44" s="17"/>
      <c r="E44" s="17"/>
      <c r="F44" s="17"/>
      <c r="G44" s="20" t="b">
        <f>G42</f>
        <v>0</v>
      </c>
      <c r="H44" s="17"/>
      <c r="I44" s="17" t="b">
        <f>I2</f>
        <v>1</v>
      </c>
      <c r="J44" s="17"/>
      <c r="K44" s="17"/>
      <c r="L44" s="17"/>
      <c r="M44" s="20"/>
      <c r="N44" s="17"/>
      <c r="O44" s="17"/>
      <c r="P44" s="20"/>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1405</v>
      </c>
    </row>
    <row r="45" spans="1:33">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1406</v>
      </c>
    </row>
    <row r="46" spans="1:33">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c r="AC46" s="17" t="b">
        <f>AC2</f>
        <v>1</v>
      </c>
      <c r="AD46" s="17" t="b">
        <f>AD2</f>
        <v>1</v>
      </c>
      <c r="AE46" s="17" t="b">
        <f>AE2</f>
        <v>1</v>
      </c>
      <c r="AF46" t="b">
        <f>AND(Table29[[#This Row],[Plaster]:[Hypoallergenic]])</f>
        <v>0</v>
      </c>
      <c r="AG46" s="28" t="s">
        <v>1407</v>
      </c>
    </row>
    <row r="47" spans="1:33">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c r="Q47" s="17" t="b">
        <f>Q2</f>
        <v>1</v>
      </c>
      <c r="R47" s="17"/>
      <c r="S47" s="20" t="b">
        <f>S3</f>
        <v>0</v>
      </c>
      <c r="T47" s="17" t="b">
        <f>T7</f>
        <v>1</v>
      </c>
      <c r="U47" s="17"/>
      <c r="V47" s="17"/>
      <c r="W47" s="20" t="b">
        <f>W9</f>
        <v>0</v>
      </c>
      <c r="X47" s="17"/>
      <c r="Y47" s="17"/>
      <c r="Z47" s="17" t="b">
        <f>Z2</f>
        <v>1</v>
      </c>
      <c r="AA47" s="17" t="b">
        <f>AA2</f>
        <v>1</v>
      </c>
      <c r="AB47" s="17" t="b">
        <f>AB2</f>
        <v>1</v>
      </c>
      <c r="AC47" s="17" t="b">
        <f>AC2</f>
        <v>1</v>
      </c>
      <c r="AD47" s="20"/>
      <c r="AE47" s="17" t="b">
        <f>AE2</f>
        <v>1</v>
      </c>
      <c r="AF47" t="b">
        <f>AND(Table29[[#This Row],[Plaster]:[Hypoallergenic]])</f>
        <v>0</v>
      </c>
      <c r="AG47" s="28" t="s">
        <v>1408</v>
      </c>
    </row>
    <row r="48" spans="1:33">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c r="Q48" s="17" t="b">
        <f>Q2</f>
        <v>1</v>
      </c>
      <c r="R48" s="17"/>
      <c r="S48" s="20" t="b">
        <f>S3</f>
        <v>0</v>
      </c>
      <c r="T48" s="17" t="b">
        <f>T7</f>
        <v>1</v>
      </c>
      <c r="U48" s="17"/>
      <c r="V48" s="20" t="b">
        <f>V2</f>
        <v>1</v>
      </c>
      <c r="W48" s="17"/>
      <c r="X48" s="17"/>
      <c r="Y48" s="17"/>
      <c r="Z48" s="17" t="b">
        <f>Z2</f>
        <v>1</v>
      </c>
      <c r="AA48" s="17" t="b">
        <f>AA2</f>
        <v>1</v>
      </c>
      <c r="AB48" s="17" t="b">
        <f>AB2</f>
        <v>1</v>
      </c>
      <c r="AC48" s="17" t="b">
        <f>AC2</f>
        <v>1</v>
      </c>
      <c r="AD48" s="20"/>
      <c r="AE48" s="17" t="b">
        <f>AE2</f>
        <v>1</v>
      </c>
      <c r="AF48" t="b">
        <f>AND(Table29[[#This Row],[Plaster]:[Hypoallergenic]])</f>
        <v>0</v>
      </c>
      <c r="AG48" s="28" t="s">
        <v>1409</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c r="Q49" s="17" t="b">
        <f>Q2</f>
        <v>1</v>
      </c>
      <c r="R49" s="17"/>
      <c r="S49" s="20" t="b">
        <f>S3</f>
        <v>0</v>
      </c>
      <c r="T49" s="17" t="b">
        <f>T7</f>
        <v>1</v>
      </c>
      <c r="U49" s="17"/>
      <c r="V49" s="17"/>
      <c r="W49" s="20" t="b">
        <f>W9</f>
        <v>0</v>
      </c>
      <c r="X49" s="17"/>
      <c r="Y49" s="17"/>
      <c r="Z49" s="17" t="b">
        <f>Z2</f>
        <v>1</v>
      </c>
      <c r="AA49" s="17" t="b">
        <f>AA2</f>
        <v>1</v>
      </c>
      <c r="AB49" s="17" t="b">
        <f>AB2</f>
        <v>1</v>
      </c>
      <c r="AC49" s="17" t="b">
        <f>AC2</f>
        <v>1</v>
      </c>
      <c r="AD49" s="20"/>
      <c r="AE49" s="17" t="b">
        <f>AE2</f>
        <v>1</v>
      </c>
      <c r="AF49" t="b">
        <f>AND(Table29[[#This Row],[Plaster]:[Hypoallergenic]])</f>
        <v>0</v>
      </c>
      <c r="AG49" s="28" t="s">
        <v>1410</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c r="Q50" s="17" t="b">
        <f>Q2</f>
        <v>1</v>
      </c>
      <c r="R50" s="17"/>
      <c r="S50" s="20" t="b">
        <f>S3</f>
        <v>0</v>
      </c>
      <c r="T50" s="17" t="b">
        <f>T7</f>
        <v>1</v>
      </c>
      <c r="U50" s="17"/>
      <c r="V50" s="17"/>
      <c r="W50" s="17"/>
      <c r="X50" s="20" t="b">
        <f>X3</f>
        <v>0</v>
      </c>
      <c r="Y50" s="17"/>
      <c r="Z50" s="17" t="b">
        <f>Z2</f>
        <v>1</v>
      </c>
      <c r="AA50" s="17" t="b">
        <f>AA2</f>
        <v>1</v>
      </c>
      <c r="AB50" s="17" t="b">
        <f>AB2</f>
        <v>1</v>
      </c>
      <c r="AC50" s="17" t="b">
        <f>AC2</f>
        <v>1</v>
      </c>
      <c r="AD50" s="20"/>
      <c r="AE50" s="17" t="b">
        <f>AE2</f>
        <v>1</v>
      </c>
      <c r="AF50" t="b">
        <f>AND(Table29[[#This Row],[Plaster]:[Hypoallergenic]])</f>
        <v>0</v>
      </c>
      <c r="AG50" s="28" t="s">
        <v>1411</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1</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1412</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1</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1413</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1</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1414</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1415</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1416</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c r="N56" s="17"/>
      <c r="O56" s="20" t="b">
        <f>O7</f>
        <v>0</v>
      </c>
      <c r="P56" s="17" t="b">
        <f>P2</f>
        <v>1</v>
      </c>
      <c r="Q56" s="17" t="b">
        <f>Q2</f>
        <v>1</v>
      </c>
      <c r="R56" s="17"/>
      <c r="S56" s="20" t="b">
        <f>S3</f>
        <v>0</v>
      </c>
      <c r="T56" s="17" t="b">
        <f>T7</f>
        <v>1</v>
      </c>
      <c r="U56" s="17"/>
      <c r="V56" s="20" t="b">
        <f>V2</f>
        <v>1</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1417</v>
      </c>
    </row>
    <row r="57" spans="1:33">
      <c r="A57" t="b">
        <f>IF(Table29[[#This Row],[Column52]],Table29[[#This Row],[Products]])</f>
        <v>0</v>
      </c>
      <c r="B57" s="17"/>
      <c r="C57" s="17"/>
      <c r="D57" s="17"/>
      <c r="E57" s="17"/>
      <c r="F57" s="20" t="b">
        <f>F56</f>
        <v>0</v>
      </c>
      <c r="G57" s="17"/>
      <c r="H57" s="17"/>
      <c r="I57" s="17" t="b">
        <f>I2</f>
        <v>1</v>
      </c>
      <c r="J57" s="20" t="b">
        <f>J11</f>
        <v>0</v>
      </c>
      <c r="K57" s="17"/>
      <c r="L57" s="17"/>
      <c r="M57" s="20"/>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1418</v>
      </c>
    </row>
    <row r="58" spans="1:33">
      <c r="A58" t="b">
        <f>IF(Table29[[#This Row],[Column52]],Table29[[#This Row],[Products]])</f>
        <v>0</v>
      </c>
      <c r="B58" s="17"/>
      <c r="C58" s="17"/>
      <c r="D58" s="17"/>
      <c r="E58" s="17"/>
      <c r="F58" s="20" t="b">
        <f>F56</f>
        <v>0</v>
      </c>
      <c r="G58" s="17"/>
      <c r="H58" s="17"/>
      <c r="I58" s="17" t="b">
        <f>I2</f>
        <v>1</v>
      </c>
      <c r="J58" s="20" t="b">
        <f>J11</f>
        <v>0</v>
      </c>
      <c r="K58" s="17"/>
      <c r="L58" s="17"/>
      <c r="M58" s="20"/>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1419</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c r="J60" s="17"/>
      <c r="K60" s="20" t="b">
        <f>K2</f>
        <v>1</v>
      </c>
      <c r="L60" s="17"/>
      <c r="M60" s="17" t="b">
        <f>M2</f>
        <v>1</v>
      </c>
      <c r="N60" s="17"/>
      <c r="O60" s="17"/>
      <c r="P60" s="20"/>
      <c r="Q60" s="17" t="b">
        <f>Q2</f>
        <v>1</v>
      </c>
      <c r="R60" s="17"/>
      <c r="S60" s="20" t="b">
        <f>S3</f>
        <v>0</v>
      </c>
      <c r="T60" s="17" t="b">
        <f>T7</f>
        <v>1</v>
      </c>
      <c r="U60" s="17"/>
      <c r="V60" s="20" t="b">
        <f>V2</f>
        <v>1</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1420</v>
      </c>
    </row>
    <row r="61" spans="1:33">
      <c r="A61" t="b">
        <f>IF(Table29[[#This Row],[Column52]],Table29[[#This Row],[Products]])</f>
        <v>0</v>
      </c>
      <c r="B61" s="17"/>
      <c r="C61" s="20" t="b">
        <f>C60</f>
        <v>0</v>
      </c>
      <c r="D61" s="17"/>
      <c r="E61" s="17"/>
      <c r="F61" s="17"/>
      <c r="G61" s="17"/>
      <c r="H61" s="17"/>
      <c r="I61" s="20"/>
      <c r="J61" s="17"/>
      <c r="K61" s="20" t="b">
        <f>K2</f>
        <v>1</v>
      </c>
      <c r="L61" s="17"/>
      <c r="M61" s="17" t="b">
        <f>M2</f>
        <v>1</v>
      </c>
      <c r="N61" s="17"/>
      <c r="O61" s="17"/>
      <c r="P61" s="20"/>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1421</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1424</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1423</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c r="Q65" s="17" t="b">
        <f>Q2</f>
        <v>1</v>
      </c>
      <c r="R65" s="17"/>
      <c r="S65" s="20" t="b">
        <f>S3</f>
        <v>0</v>
      </c>
      <c r="T65" s="17" t="b">
        <f>T7</f>
        <v>1</v>
      </c>
      <c r="U65" s="17"/>
      <c r="V65" s="17"/>
      <c r="W65" s="17"/>
      <c r="X65" s="17"/>
      <c r="Y65" s="17"/>
      <c r="Z65" s="17" t="b">
        <f>Z2</f>
        <v>1</v>
      </c>
      <c r="AA65" s="17" t="b">
        <f>AA2</f>
        <v>1</v>
      </c>
      <c r="AB65" s="17" t="b">
        <f>AB2</f>
        <v>1</v>
      </c>
      <c r="AC65" s="17" t="b">
        <f>AC2</f>
        <v>1</v>
      </c>
      <c r="AD65" s="20"/>
      <c r="AE65" s="17" t="b">
        <f>AE2</f>
        <v>1</v>
      </c>
      <c r="AF65" t="b">
        <f>AND(Table29[[#This Row],[Plaster]:[Hypoallergenic]])</f>
        <v>0</v>
      </c>
      <c r="AG65" s="28" t="s">
        <v>1425</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1426</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1</v>
      </c>
      <c r="O67" s="17"/>
      <c r="P67" s="20"/>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1427</v>
      </c>
    </row>
    <row r="68" spans="1:33">
      <c r="A68" t="b">
        <f>IF(Table29[[#This Row],[Column52]],Table29[[#This Row],[Products]])</f>
        <v>0</v>
      </c>
      <c r="B68" s="17"/>
      <c r="C68" s="17"/>
      <c r="D68" s="17"/>
      <c r="E68" s="17"/>
      <c r="F68" s="20" t="b">
        <f>F56</f>
        <v>0</v>
      </c>
      <c r="G68" s="17"/>
      <c r="H68" s="17"/>
      <c r="I68" s="17" t="b">
        <f>I2</f>
        <v>1</v>
      </c>
      <c r="J68" s="20" t="b">
        <f>J11</f>
        <v>0</v>
      </c>
      <c r="K68" s="17"/>
      <c r="L68" s="17"/>
      <c r="M68" s="20"/>
      <c r="N68" s="17"/>
      <c r="O68" s="20" t="b">
        <f>O7</f>
        <v>0</v>
      </c>
      <c r="P68" s="20"/>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1428</v>
      </c>
    </row>
    <row r="69" spans="1:33">
      <c r="A69" t="b">
        <f>IF(Table29[[#This Row],[Column52]],Table29[[#This Row],[Products]])</f>
        <v>0</v>
      </c>
      <c r="B69" s="20" t="b">
        <f>B2</f>
        <v>1</v>
      </c>
      <c r="C69" s="17"/>
      <c r="D69" s="17"/>
      <c r="E69" s="17"/>
      <c r="F69" s="17"/>
      <c r="G69" s="17"/>
      <c r="H69" s="17"/>
      <c r="I69" s="17" t="b">
        <f>I2</f>
        <v>1</v>
      </c>
      <c r="J69" s="20" t="b">
        <f>J11</f>
        <v>0</v>
      </c>
      <c r="K69" s="17"/>
      <c r="L69" s="17"/>
      <c r="M69" s="17" t="b">
        <f>M2</f>
        <v>1</v>
      </c>
      <c r="N69" s="20" t="b">
        <f>N2</f>
        <v>1</v>
      </c>
      <c r="O69" s="17"/>
      <c r="P69" s="17" t="b">
        <f>P2</f>
        <v>1</v>
      </c>
      <c r="Q69" s="17" t="b">
        <f>Q2</f>
        <v>1</v>
      </c>
      <c r="R69" s="20" t="b">
        <f>R2</f>
        <v>1</v>
      </c>
      <c r="S69" s="17"/>
      <c r="T69" s="20"/>
      <c r="U69" s="17"/>
      <c r="V69" s="20" t="b">
        <f>V2</f>
        <v>1</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1429</v>
      </c>
    </row>
    <row r="70" spans="1:33">
      <c r="A70" t="b">
        <f>IF(Table29[[#This Row],[Column52]],Table29[[#This Row],[Products]])</f>
        <v>0</v>
      </c>
      <c r="B70" s="20" t="b">
        <f>B2</f>
        <v>1</v>
      </c>
      <c r="C70" s="17"/>
      <c r="D70" s="17"/>
      <c r="E70" s="17"/>
      <c r="F70" s="17"/>
      <c r="G70" s="17"/>
      <c r="H70" s="17"/>
      <c r="I70" s="17" t="b">
        <f>I2</f>
        <v>1</v>
      </c>
      <c r="J70" s="20" t="b">
        <f>J11</f>
        <v>0</v>
      </c>
      <c r="K70" s="17"/>
      <c r="L70" s="17"/>
      <c r="M70" s="17" t="b">
        <f>M2</f>
        <v>1</v>
      </c>
      <c r="N70" s="20" t="b">
        <f>N2</f>
        <v>1</v>
      </c>
      <c r="O70" s="17"/>
      <c r="P70" s="17" t="b">
        <f>P2</f>
        <v>1</v>
      </c>
      <c r="Q70" s="17" t="b">
        <f>Q2</f>
        <v>1</v>
      </c>
      <c r="R70" s="20" t="b">
        <f>R2</f>
        <v>1</v>
      </c>
      <c r="S70" s="17"/>
      <c r="T70" s="20"/>
      <c r="U70" s="20" t="b">
        <f>U8</f>
        <v>0</v>
      </c>
      <c r="V70" s="17"/>
      <c r="W70" s="17"/>
      <c r="X70" s="17"/>
      <c r="Y70" s="17"/>
      <c r="Z70" s="20"/>
      <c r="AA70" s="17" t="b">
        <f>AA2</f>
        <v>1</v>
      </c>
      <c r="AB70" s="17" t="b">
        <f>AB2</f>
        <v>1</v>
      </c>
      <c r="AC70" s="17" t="b">
        <f>AC2</f>
        <v>1</v>
      </c>
      <c r="AD70" s="17" t="b">
        <f>AD2</f>
        <v>1</v>
      </c>
      <c r="AE70" s="17" t="b">
        <f>AE2</f>
        <v>1</v>
      </c>
      <c r="AF70" t="b">
        <f>AND(Table29[[#This Row],[Plaster]:[Hypoallergenic]])</f>
        <v>0</v>
      </c>
      <c r="AG70" s="11" t="s">
        <v>1430</v>
      </c>
    </row>
    <row r="71" spans="1:33">
      <c r="A71" t="b">
        <f>IF(Table29[[#This Row],[Column52]],Table29[[#This Row],[Products]])</f>
        <v>0</v>
      </c>
      <c r="B71" s="20" t="b">
        <f>B2</f>
        <v>1</v>
      </c>
      <c r="C71" s="17"/>
      <c r="D71" s="17"/>
      <c r="E71" s="17"/>
      <c r="F71" s="17"/>
      <c r="G71" s="17"/>
      <c r="H71" s="17"/>
      <c r="I71" s="17" t="b">
        <f>I2</f>
        <v>1</v>
      </c>
      <c r="J71" s="20" t="b">
        <f>J11</f>
        <v>0</v>
      </c>
      <c r="K71" s="17"/>
      <c r="L71" s="17"/>
      <c r="M71" s="17" t="b">
        <f>M2</f>
        <v>1</v>
      </c>
      <c r="N71" s="20" t="b">
        <f>N2</f>
        <v>1</v>
      </c>
      <c r="O71" s="17"/>
      <c r="P71" s="17" t="b">
        <f>P2</f>
        <v>1</v>
      </c>
      <c r="Q71" s="17" t="b">
        <f>Q2</f>
        <v>1</v>
      </c>
      <c r="R71" s="20" t="b">
        <f>R2</f>
        <v>1</v>
      </c>
      <c r="S71" s="17"/>
      <c r="T71" s="20"/>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1431</v>
      </c>
    </row>
    <row r="72" spans="1:33">
      <c r="A72" t="b">
        <f>IF(Table29[[#This Row],[Column52]],Table29[[#This Row],[Products]])</f>
        <v>0</v>
      </c>
      <c r="B72" s="20" t="b">
        <f>B2</f>
        <v>1</v>
      </c>
      <c r="C72" s="17"/>
      <c r="D72" s="17"/>
      <c r="E72" s="17"/>
      <c r="F72" s="17"/>
      <c r="G72" s="17"/>
      <c r="H72" s="17"/>
      <c r="I72" s="17" t="b">
        <f>I2</f>
        <v>1</v>
      </c>
      <c r="J72" s="20" t="b">
        <f>J11</f>
        <v>0</v>
      </c>
      <c r="K72" s="17"/>
      <c r="L72" s="17"/>
      <c r="M72" s="17" t="b">
        <f>M2</f>
        <v>1</v>
      </c>
      <c r="N72" s="20" t="b">
        <f>N2</f>
        <v>1</v>
      </c>
      <c r="O72" s="17"/>
      <c r="P72" s="17" t="b">
        <f>P2</f>
        <v>1</v>
      </c>
      <c r="Q72" s="17" t="b">
        <f>Q2</f>
        <v>1</v>
      </c>
      <c r="R72" s="20" t="b">
        <f>R2</f>
        <v>1</v>
      </c>
      <c r="S72" s="17"/>
      <c r="T72" s="20"/>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1432</v>
      </c>
    </row>
    <row r="73" spans="1:33">
      <c r="A73" t="b">
        <f>IF(Table29[[#This Row],[Column52]],Table29[[#This Row],[Products]])</f>
        <v>0</v>
      </c>
      <c r="B73" s="20" t="b">
        <f>B2</f>
        <v>1</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c r="AC73" s="17" t="b">
        <f>AC2</f>
        <v>1</v>
      </c>
      <c r="AD73" s="17" t="b">
        <f>AD2</f>
        <v>1</v>
      </c>
      <c r="AE73" s="20"/>
      <c r="AF73" t="b">
        <f>AND(Table29[[#This Row],[Plaster]:[Hypoallergenic]])</f>
        <v>0</v>
      </c>
      <c r="AG73" s="11" t="s">
        <v>1433</v>
      </c>
    </row>
    <row r="74" spans="1:33">
      <c r="A74" t="b">
        <f>IF(Table29[[#This Row],[Column52]],Table29[[#This Row],[Products]])</f>
        <v>0</v>
      </c>
      <c r="B74" s="17"/>
      <c r="C74" s="20" t="b">
        <f>C60</f>
        <v>0</v>
      </c>
      <c r="D74" s="17"/>
      <c r="E74" s="17"/>
      <c r="F74" s="17"/>
      <c r="G74" s="17"/>
      <c r="H74" s="17"/>
      <c r="I74" s="17" t="b">
        <f>I2</f>
        <v>1</v>
      </c>
      <c r="J74" s="17"/>
      <c r="K74" s="20" t="b">
        <f>K2</f>
        <v>1</v>
      </c>
      <c r="L74" s="17"/>
      <c r="M74" s="17" t="b">
        <f>M2</f>
        <v>1</v>
      </c>
      <c r="N74" s="20" t="b">
        <f>N2</f>
        <v>1</v>
      </c>
      <c r="O74" s="17"/>
      <c r="P74" s="20"/>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1434</v>
      </c>
    </row>
    <row r="75" spans="1:33">
      <c r="A75" t="b">
        <f>IF(Table29[[#This Row],[Column52]],Table29[[#This Row],[Products]])</f>
        <v>0</v>
      </c>
      <c r="B75" s="20" t="b">
        <f>B2</f>
        <v>1</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c r="AB75" s="20"/>
      <c r="AC75" s="17" t="b">
        <f>AC2</f>
        <v>1</v>
      </c>
      <c r="AD75" s="17" t="b">
        <f>AD2</f>
        <v>1</v>
      </c>
      <c r="AE75" s="17" t="b">
        <f>AE2</f>
        <v>1</v>
      </c>
      <c r="AF75" t="b">
        <f>AND(Table29[[#This Row],[Plaster]:[Hypoallergenic]])</f>
        <v>0</v>
      </c>
      <c r="AG75" s="29" t="s">
        <v>1435</v>
      </c>
    </row>
    <row r="76" spans="1:33">
      <c r="A76" t="b">
        <f>IF(Table29[[#This Row],[Column52]],Table29[[#This Row],[Products]])</f>
        <v>0</v>
      </c>
      <c r="B76" s="20" t="b">
        <f>B2</f>
        <v>1</v>
      </c>
      <c r="C76" s="17"/>
      <c r="D76" s="17"/>
      <c r="E76" s="17"/>
      <c r="F76" s="17"/>
      <c r="G76" s="17"/>
      <c r="H76" s="17"/>
      <c r="I76" s="17" t="b">
        <f>I2</f>
        <v>1</v>
      </c>
      <c r="J76" s="20" t="b">
        <f>J11</f>
        <v>0</v>
      </c>
      <c r="K76" s="17"/>
      <c r="L76" s="17"/>
      <c r="M76" s="20"/>
      <c r="N76" s="17"/>
      <c r="O76" s="20" t="b">
        <f>O7</f>
        <v>0</v>
      </c>
      <c r="P76" s="17" t="b">
        <f>P2</f>
        <v>1</v>
      </c>
      <c r="Q76" s="17" t="b">
        <f>Q2</f>
        <v>1</v>
      </c>
      <c r="R76" s="17"/>
      <c r="S76" s="20" t="b">
        <f>S3</f>
        <v>0</v>
      </c>
      <c r="T76" s="17" t="b">
        <f>T7</f>
        <v>1</v>
      </c>
      <c r="U76" s="20" t="b">
        <f>U8</f>
        <v>0</v>
      </c>
      <c r="V76" s="17"/>
      <c r="W76" s="17"/>
      <c r="X76" s="17"/>
      <c r="Y76" s="17"/>
      <c r="Z76" s="17" t="b">
        <f>Z2</f>
        <v>1</v>
      </c>
      <c r="AA76" s="20"/>
      <c r="AB76" s="20"/>
      <c r="AC76" s="17" t="b">
        <f>AC2</f>
        <v>1</v>
      </c>
      <c r="AD76" s="17" t="b">
        <f>AD2</f>
        <v>1</v>
      </c>
      <c r="AE76" s="17" t="b">
        <f>AE2</f>
        <v>1</v>
      </c>
      <c r="AF76" t="b">
        <f>AND(Table29[[#This Row],[Plaster]:[Hypoallergenic]])</f>
        <v>0</v>
      </c>
      <c r="AG76" s="11" t="s">
        <v>1436</v>
      </c>
    </row>
    <row r="77" spans="1:33">
      <c r="A77" t="b">
        <f>IF(Table29[[#This Row],[Column52]],Table29[[#This Row],[Products]])</f>
        <v>0</v>
      </c>
      <c r="B77" s="20" t="b">
        <f>B2</f>
        <v>1</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1</v>
      </c>
      <c r="W77" s="17"/>
      <c r="X77" s="17"/>
      <c r="Y77" s="17"/>
      <c r="Z77" s="17" t="b">
        <f>Z2</f>
        <v>1</v>
      </c>
      <c r="AA77" s="17" t="b">
        <f>AA2</f>
        <v>1</v>
      </c>
      <c r="AB77" s="17" t="b">
        <f>AB2</f>
        <v>1</v>
      </c>
      <c r="AC77" s="17" t="b">
        <f>AC2</f>
        <v>1</v>
      </c>
      <c r="AD77" s="17" t="b">
        <f>AD2</f>
        <v>1</v>
      </c>
      <c r="AE77" s="20"/>
      <c r="AF77" t="b">
        <f>AND(Table29[[#This Row],[Plaster]:[Hypoallergenic]])</f>
        <v>0</v>
      </c>
      <c r="AG77" s="11" t="s">
        <v>1437</v>
      </c>
    </row>
    <row r="78" spans="1:33">
      <c r="A78" t="b">
        <f>IF(Table29[[#This Row],[Column52]],Table29[[#This Row],[Products]])</f>
        <v>0</v>
      </c>
      <c r="B78" s="20" t="b">
        <f>B2</f>
        <v>1</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c r="AA78" s="17" t="b">
        <f>AA2</f>
        <v>1</v>
      </c>
      <c r="AB78" s="17" t="b">
        <f>AB2</f>
        <v>1</v>
      </c>
      <c r="AC78" s="17" t="b">
        <f>AC2</f>
        <v>1</v>
      </c>
      <c r="AD78" s="17" t="b">
        <f>AD2</f>
        <v>1</v>
      </c>
      <c r="AE78" s="17" t="b">
        <f>AE2</f>
        <v>1</v>
      </c>
      <c r="AF78" t="b">
        <f>AND(Table29[[#This Row],[Plaster]:[Hypoallergenic]])</f>
        <v>0</v>
      </c>
      <c r="AG78" s="11" t="s">
        <v>1438</v>
      </c>
    </row>
    <row r="79" spans="1:33">
      <c r="A79" t="b">
        <f>IF(Table29[[#This Row],[Column52]],Table29[[#This Row],[Products]])</f>
        <v>0</v>
      </c>
      <c r="B79" s="20" t="b">
        <f>B2</f>
        <v>1</v>
      </c>
      <c r="C79" s="17"/>
      <c r="D79" s="17"/>
      <c r="E79" s="17"/>
      <c r="F79" s="17"/>
      <c r="G79" s="17"/>
      <c r="H79" s="17"/>
      <c r="I79" s="17" t="b">
        <f>I2</f>
        <v>1</v>
      </c>
      <c r="J79" s="17"/>
      <c r="K79" s="17"/>
      <c r="L79" s="20" t="b">
        <f>L7</f>
        <v>0</v>
      </c>
      <c r="M79" s="20"/>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1439</v>
      </c>
    </row>
    <row r="80" spans="1:33">
      <c r="A80" t="b">
        <f>IF(Table29[[#This Row],[Column52]],Table29[[#This Row],[Products]])</f>
        <v>0</v>
      </c>
      <c r="B80" s="20" t="b">
        <f>B2</f>
        <v>1</v>
      </c>
      <c r="C80" s="17"/>
      <c r="D80" s="17"/>
      <c r="E80" s="17"/>
      <c r="F80" s="17"/>
      <c r="G80" s="17"/>
      <c r="H80" s="17"/>
      <c r="I80" s="20"/>
      <c r="J80" s="20" t="b">
        <f>J11</f>
        <v>0</v>
      </c>
      <c r="K80" s="17"/>
      <c r="L80" s="17"/>
      <c r="M80" s="17" t="b">
        <f>M2</f>
        <v>1</v>
      </c>
      <c r="N80" s="17"/>
      <c r="O80" s="20" t="b">
        <f>O7</f>
        <v>0</v>
      </c>
      <c r="P80" s="20"/>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1440</v>
      </c>
    </row>
    <row r="81" spans="1:33">
      <c r="A81" t="b">
        <f>IF(Table29[[#This Row],[Column52]],Table29[[#This Row],[Products]])</f>
        <v>0</v>
      </c>
      <c r="B81" s="20" t="b">
        <f>B2</f>
        <v>1</v>
      </c>
      <c r="C81" s="17"/>
      <c r="D81" s="17"/>
      <c r="E81" s="17"/>
      <c r="F81" s="17"/>
      <c r="G81" s="17"/>
      <c r="H81" s="17"/>
      <c r="I81" s="20"/>
      <c r="J81" s="20" t="b">
        <f>J11</f>
        <v>0</v>
      </c>
      <c r="K81" s="17"/>
      <c r="L81" s="17"/>
      <c r="M81" s="17" t="b">
        <f>M2</f>
        <v>1</v>
      </c>
      <c r="N81" s="17"/>
      <c r="O81" s="20" t="b">
        <f>O7</f>
        <v>0</v>
      </c>
      <c r="P81" s="20"/>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c r="AF81" t="b">
        <f>AND(Table29[[#This Row],[Plaster]:[Hypoallergenic]])</f>
        <v>0</v>
      </c>
      <c r="AG81" s="11" t="s">
        <v>1441</v>
      </c>
    </row>
    <row r="82" spans="1:33">
      <c r="A82" t="b">
        <f>IF(Table29[[#This Row],[Column52]],Table29[[#This Row],[Products]])</f>
        <v>0</v>
      </c>
      <c r="B82" s="20" t="b">
        <f>B2</f>
        <v>1</v>
      </c>
      <c r="C82" s="17"/>
      <c r="D82" s="17"/>
      <c r="E82" s="17"/>
      <c r="F82" s="17"/>
      <c r="G82" s="17"/>
      <c r="H82" s="17"/>
      <c r="I82" s="20"/>
      <c r="J82" s="17"/>
      <c r="K82" s="20" t="b">
        <f>K2</f>
        <v>1</v>
      </c>
      <c r="L82" s="17"/>
      <c r="M82" s="20"/>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1442</v>
      </c>
    </row>
    <row r="83" spans="1:33">
      <c r="A83" t="b">
        <f>IF(Table29[[#This Row],[Column52]],Table29[[#This Row],[Products]])</f>
        <v>0</v>
      </c>
      <c r="B83" s="20" t="b">
        <f>B2</f>
        <v>1</v>
      </c>
      <c r="C83" s="17"/>
      <c r="D83" s="17"/>
      <c r="E83" s="17"/>
      <c r="F83" s="17"/>
      <c r="G83" s="17"/>
      <c r="H83" s="17"/>
      <c r="I83" s="17" t="b">
        <f>I2</f>
        <v>1</v>
      </c>
      <c r="J83" s="17"/>
      <c r="K83" s="20" t="b">
        <f>K2</f>
        <v>1</v>
      </c>
      <c r="L83" s="17"/>
      <c r="M83" s="20"/>
      <c r="N83" s="17"/>
      <c r="O83" s="20" t="b">
        <f>O7</f>
        <v>0</v>
      </c>
      <c r="P83" s="20"/>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1443</v>
      </c>
    </row>
    <row r="84" spans="1:33">
      <c r="A84" t="b">
        <f>IF(Table29[[#This Row],[Column52]],Table29[[#This Row],[Products]])</f>
        <v>0</v>
      </c>
      <c r="B84" s="20" t="b">
        <f>B2</f>
        <v>1</v>
      </c>
      <c r="C84" s="17"/>
      <c r="D84" s="17"/>
      <c r="E84" s="17"/>
      <c r="F84" s="17"/>
      <c r="G84" s="17"/>
      <c r="H84" s="17"/>
      <c r="I84" s="17" t="b">
        <f>I2</f>
        <v>1</v>
      </c>
      <c r="J84" s="17"/>
      <c r="K84" s="20" t="b">
        <f>K2</f>
        <v>1</v>
      </c>
      <c r="L84" s="17"/>
      <c r="M84" s="20"/>
      <c r="N84" s="17"/>
      <c r="O84" s="20" t="b">
        <f>O7</f>
        <v>0</v>
      </c>
      <c r="P84" s="20"/>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1444</v>
      </c>
    </row>
    <row r="85" spans="1:33">
      <c r="A85" t="b">
        <f>IF(Table29[[#This Row],[Column52]],Table29[[#This Row],[Products]])</f>
        <v>0</v>
      </c>
      <c r="B85" s="20" t="b">
        <f>B2</f>
        <v>1</v>
      </c>
      <c r="C85" s="17"/>
      <c r="D85" s="17"/>
      <c r="E85" s="17"/>
      <c r="F85" s="17"/>
      <c r="G85" s="17"/>
      <c r="H85" s="17"/>
      <c r="I85" s="17" t="b">
        <f>I2</f>
        <v>1</v>
      </c>
      <c r="J85" s="17"/>
      <c r="K85" s="20" t="b">
        <f>K2</f>
        <v>1</v>
      </c>
      <c r="L85" s="17"/>
      <c r="M85" s="17" t="b">
        <f>M2</f>
        <v>1</v>
      </c>
      <c r="N85" s="17"/>
      <c r="O85" s="20" t="b">
        <f>O7</f>
        <v>0</v>
      </c>
      <c r="P85" s="20"/>
      <c r="Q85" s="17" t="b">
        <f>Q2</f>
        <v>1</v>
      </c>
      <c r="R85" s="20" t="b">
        <f>R2</f>
        <v>1</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1445</v>
      </c>
    </row>
    <row r="86" spans="1:33">
      <c r="A86" t="b">
        <f>IF(Table29[[#This Row],[Column52]],Table29[[#This Row],[Products]])</f>
        <v>0</v>
      </c>
      <c r="B86" s="20" t="b">
        <f>B2</f>
        <v>1</v>
      </c>
      <c r="C86" s="17"/>
      <c r="D86" s="17"/>
      <c r="E86" s="17"/>
      <c r="F86" s="17"/>
      <c r="G86" s="17"/>
      <c r="H86" s="17"/>
      <c r="I86" s="17" t="b">
        <f>I2</f>
        <v>1</v>
      </c>
      <c r="J86" s="20" t="b">
        <f>J11</f>
        <v>0</v>
      </c>
      <c r="K86" s="17"/>
      <c r="L86" s="17"/>
      <c r="M86" s="20"/>
      <c r="N86" s="17"/>
      <c r="O86" s="20" t="b">
        <f>O7</f>
        <v>0</v>
      </c>
      <c r="P86" s="20"/>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1446</v>
      </c>
    </row>
    <row r="87" spans="1:33">
      <c r="A87" t="b">
        <f>IF(Table29[[#This Row],[Column52]],Table29[[#This Row],[Products]])</f>
        <v>0</v>
      </c>
      <c r="B87" s="20" t="b">
        <f>B2</f>
        <v>1</v>
      </c>
      <c r="C87" s="17"/>
      <c r="D87" s="17"/>
      <c r="E87" s="17"/>
      <c r="F87" s="17"/>
      <c r="G87" s="17"/>
      <c r="H87" s="17"/>
      <c r="I87" s="17" t="b">
        <f>I2</f>
        <v>1</v>
      </c>
      <c r="J87" s="20" t="b">
        <f>J11</f>
        <v>0</v>
      </c>
      <c r="K87" s="17"/>
      <c r="L87" s="17"/>
      <c r="M87" s="20"/>
      <c r="N87" s="17"/>
      <c r="O87" s="20" t="b">
        <f>O7</f>
        <v>0</v>
      </c>
      <c r="P87" s="20"/>
      <c r="Q87" s="17" t="b">
        <f>Q2</f>
        <v>1</v>
      </c>
      <c r="R87" s="20" t="b">
        <f>R2</f>
        <v>1</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1447</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1448</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c r="Q90" s="17" t="b">
        <f>Q2</f>
        <v>1</v>
      </c>
      <c r="R90" s="20" t="b">
        <f>R2</f>
        <v>1</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1458</v>
      </c>
    </row>
    <row r="91" spans="1:33">
      <c r="A91" t="str">
        <f>IF(Table29[[#This Row],[Column52]],Table29[[#This Row],[Products]])</f>
        <v>Nexcare™ Toe Blister Comfort Cushions, CCT-05</v>
      </c>
      <c r="B91" s="20" t="b">
        <f>B2</f>
        <v>1</v>
      </c>
      <c r="C91" s="17"/>
      <c r="D91" s="17"/>
      <c r="E91" s="17"/>
      <c r="F91" s="17"/>
      <c r="G91" s="17"/>
      <c r="H91" s="17"/>
      <c r="I91" s="17" t="b">
        <f>I2</f>
        <v>1</v>
      </c>
      <c r="J91" s="17"/>
      <c r="K91" s="20" t="b">
        <f>K2</f>
        <v>1</v>
      </c>
      <c r="L91" s="17"/>
      <c r="M91" s="17" t="b">
        <f>M2</f>
        <v>1</v>
      </c>
      <c r="N91" s="20" t="b">
        <f>N2</f>
        <v>1</v>
      </c>
      <c r="O91" s="17"/>
      <c r="P91" s="17" t="b">
        <f>P2</f>
        <v>1</v>
      </c>
      <c r="Q91" s="17" t="b">
        <f>Q2</f>
        <v>1</v>
      </c>
      <c r="R91" s="20" t="b">
        <f>R2</f>
        <v>1</v>
      </c>
      <c r="S91" s="17"/>
      <c r="T91" s="20"/>
      <c r="U91" s="17"/>
      <c r="V91" s="17"/>
      <c r="W91" s="17"/>
      <c r="X91" s="17"/>
      <c r="Y91" s="17"/>
      <c r="Z91" s="17" t="b">
        <f>Z2</f>
        <v>1</v>
      </c>
      <c r="AA91" s="17" t="b">
        <f>AA2</f>
        <v>1</v>
      </c>
      <c r="AB91" s="17" t="b">
        <f>AB2</f>
        <v>1</v>
      </c>
      <c r="AC91" s="17" t="b">
        <f>AC2</f>
        <v>1</v>
      </c>
      <c r="AD91" s="17" t="b">
        <f>AD2</f>
        <v>1</v>
      </c>
      <c r="AE91" s="20"/>
      <c r="AF91" t="b">
        <f>AND(Table29[[#This Row],[Plaster]:[Hypoallergenic]])</f>
        <v>1</v>
      </c>
      <c r="AG91" s="29" t="s">
        <v>1459</v>
      </c>
    </row>
    <row r="92" spans="1:33">
      <c r="A92" t="str">
        <f>IF(Table29[[#This Row],[Column52]],Table29[[#This Row],[Products]])</f>
        <v>Nexcare™ Heel Blister Comfort Cushions, CCH-04</v>
      </c>
      <c r="B92" s="20" t="b">
        <f>B2</f>
        <v>1</v>
      </c>
      <c r="C92" s="17"/>
      <c r="D92" s="17"/>
      <c r="E92" s="17"/>
      <c r="F92" s="17"/>
      <c r="G92" s="17"/>
      <c r="H92" s="17"/>
      <c r="I92" s="17" t="b">
        <f>I2</f>
        <v>1</v>
      </c>
      <c r="J92" s="17"/>
      <c r="K92" s="20" t="b">
        <f>K2</f>
        <v>1</v>
      </c>
      <c r="L92" s="17"/>
      <c r="M92" s="17" t="b">
        <f>M2</f>
        <v>1</v>
      </c>
      <c r="N92" s="20" t="b">
        <f>N2</f>
        <v>1</v>
      </c>
      <c r="O92" s="17"/>
      <c r="P92" s="17" t="b">
        <f>P2</f>
        <v>1</v>
      </c>
      <c r="Q92" s="17" t="b">
        <f>Q2</f>
        <v>1</v>
      </c>
      <c r="R92" s="20" t="b">
        <f>R2</f>
        <v>1</v>
      </c>
      <c r="S92" s="17"/>
      <c r="T92" s="20"/>
      <c r="U92" s="17"/>
      <c r="V92" s="17"/>
      <c r="W92" s="17"/>
      <c r="X92" s="17"/>
      <c r="Y92" s="17"/>
      <c r="Z92" s="17" t="b">
        <f>Z2</f>
        <v>1</v>
      </c>
      <c r="AA92" s="17" t="b">
        <f>AA2</f>
        <v>1</v>
      </c>
      <c r="AB92" s="17" t="b">
        <f>AB2</f>
        <v>1</v>
      </c>
      <c r="AC92" s="17" t="b">
        <f>AC2</f>
        <v>1</v>
      </c>
      <c r="AD92" s="17" t="b">
        <f>AD2</f>
        <v>1</v>
      </c>
      <c r="AE92" s="20"/>
      <c r="AF92" t="b">
        <f>AND(Table29[[#This Row],[Plaster]:[Hypoallergenic]])</f>
        <v>1</v>
      </c>
      <c r="AG92" s="29" t="s">
        <v>1460</v>
      </c>
    </row>
    <row r="93" spans="1:33">
      <c r="A93" t="b">
        <f>IF(Table29[[#This Row],[Column52]],Table29[[#This Row],[Products]])</f>
        <v>0</v>
      </c>
      <c r="B93" s="20" t="b">
        <f>B2</f>
        <v>1</v>
      </c>
      <c r="C93" s="17"/>
      <c r="D93" s="17"/>
      <c r="E93" s="17"/>
      <c r="F93" s="17"/>
      <c r="G93" s="17"/>
      <c r="H93" s="17"/>
      <c r="I93" s="17" t="b">
        <f>I2</f>
        <v>1</v>
      </c>
      <c r="J93" s="17"/>
      <c r="K93" s="17"/>
      <c r="L93" s="20" t="b">
        <f>L7</f>
        <v>0</v>
      </c>
      <c r="M93" s="20"/>
      <c r="N93" s="20" t="b">
        <f>N2</f>
        <v>1</v>
      </c>
      <c r="O93" s="17"/>
      <c r="P93" s="20"/>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1461</v>
      </c>
    </row>
    <row r="94" spans="1:33">
      <c r="A94" t="b">
        <f>IF(Table29[[#This Row],[Column52]],Table29[[#This Row],[Products]])</f>
        <v>0</v>
      </c>
      <c r="B94" s="20" t="b">
        <f>B2</f>
        <v>1</v>
      </c>
      <c r="C94" s="17"/>
      <c r="D94" s="17"/>
      <c r="E94" s="17"/>
      <c r="F94" s="17"/>
      <c r="G94" s="17"/>
      <c r="H94" s="17"/>
      <c r="I94" s="17" t="b">
        <f>I2</f>
        <v>1</v>
      </c>
      <c r="J94" s="17"/>
      <c r="K94" s="20" t="b">
        <f>K2</f>
        <v>1</v>
      </c>
      <c r="L94" s="17"/>
      <c r="M94" s="20"/>
      <c r="N94" s="20" t="b">
        <f>N2</f>
        <v>1</v>
      </c>
      <c r="O94" s="17"/>
      <c r="P94" s="20"/>
      <c r="Q94" s="17" t="b">
        <f>Q2</f>
        <v>1</v>
      </c>
      <c r="R94" s="17"/>
      <c r="S94" s="20" t="b">
        <f>S3</f>
        <v>0</v>
      </c>
      <c r="T94" s="17" t="b">
        <f>T7</f>
        <v>1</v>
      </c>
      <c r="U94" s="17"/>
      <c r="V94" s="17"/>
      <c r="W94" s="17"/>
      <c r="X94" s="20" t="b">
        <f>X3</f>
        <v>0</v>
      </c>
      <c r="Y94" s="17"/>
      <c r="Z94" s="17" t="b">
        <f>Z2</f>
        <v>1</v>
      </c>
      <c r="AA94" s="17" t="b">
        <f>AA2</f>
        <v>1</v>
      </c>
      <c r="AB94" s="20"/>
      <c r="AC94" s="17" t="b">
        <f>AC2</f>
        <v>1</v>
      </c>
      <c r="AD94" s="17" t="b">
        <f>AD2</f>
        <v>1</v>
      </c>
      <c r="AE94" s="20"/>
      <c r="AF94" t="b">
        <f>AND(Table29[[#This Row],[Plaster]:[Hypoallergenic]])</f>
        <v>0</v>
      </c>
      <c r="AG94" s="29" t="s">
        <v>1462</v>
      </c>
    </row>
    <row r="95" spans="1:33">
      <c r="A95" t="b">
        <f>IF(Table29[[#This Row],[Column52]],Table29[[#This Row],[Products]])</f>
        <v>0</v>
      </c>
      <c r="B95" s="20" t="b">
        <f>B2</f>
        <v>1</v>
      </c>
      <c r="C95" s="17"/>
      <c r="D95" s="17"/>
      <c r="E95" s="17"/>
      <c r="F95" s="17"/>
      <c r="G95" s="17"/>
      <c r="H95" s="17"/>
      <c r="I95" s="17" t="b">
        <f>I2</f>
        <v>1</v>
      </c>
      <c r="J95" s="17"/>
      <c r="K95" s="20" t="b">
        <f>K2</f>
        <v>1</v>
      </c>
      <c r="L95" s="17"/>
      <c r="M95" s="20"/>
      <c r="N95" s="20" t="b">
        <f>N2</f>
        <v>1</v>
      </c>
      <c r="O95" s="17"/>
      <c r="P95" s="20"/>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1463</v>
      </c>
    </row>
    <row r="96" spans="1:33">
      <c r="A96" t="b">
        <f>IF(Table29[[#This Row],[Column52]],Table29[[#This Row],[Products]])</f>
        <v>0</v>
      </c>
      <c r="B96" s="20" t="b">
        <f>B2</f>
        <v>1</v>
      </c>
      <c r="C96" s="17"/>
      <c r="D96" s="17"/>
      <c r="E96" s="17"/>
      <c r="F96" s="17"/>
      <c r="G96" s="17"/>
      <c r="H96" s="17"/>
      <c r="I96" s="17" t="b">
        <f>I2</f>
        <v>1</v>
      </c>
      <c r="J96" s="17"/>
      <c r="K96" s="20" t="b">
        <f>K2</f>
        <v>1</v>
      </c>
      <c r="L96" s="17"/>
      <c r="M96" s="17" t="b">
        <f>M2</f>
        <v>1</v>
      </c>
      <c r="N96" s="20" t="b">
        <f>N2</f>
        <v>1</v>
      </c>
      <c r="O96" s="17"/>
      <c r="P96" s="20"/>
      <c r="Q96" s="17" t="b">
        <f>Q2</f>
        <v>1</v>
      </c>
      <c r="R96" s="17"/>
      <c r="S96" s="20" t="b">
        <f>S3</f>
        <v>0</v>
      </c>
      <c r="T96" s="20"/>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1464</v>
      </c>
    </row>
    <row r="97" spans="1:33">
      <c r="A97" t="b">
        <f>IF(Table29[[#This Row],[Column52]],Table29[[#This Row],[Products]])</f>
        <v>0</v>
      </c>
      <c r="B97" s="20" t="b">
        <f>B2</f>
        <v>1</v>
      </c>
      <c r="C97" s="17"/>
      <c r="D97" s="17"/>
      <c r="E97" s="17"/>
      <c r="F97" s="17"/>
      <c r="G97" s="17"/>
      <c r="H97" s="17"/>
      <c r="I97" s="17" t="b">
        <f>I2</f>
        <v>1</v>
      </c>
      <c r="J97" s="17"/>
      <c r="K97" s="17"/>
      <c r="L97" s="20" t="b">
        <f>L7</f>
        <v>0</v>
      </c>
      <c r="M97" s="17" t="b">
        <f>M2</f>
        <v>1</v>
      </c>
      <c r="N97" s="20" t="b">
        <f>N2</f>
        <v>1</v>
      </c>
      <c r="O97" s="17"/>
      <c r="P97" s="20"/>
      <c r="Q97" s="17" t="b">
        <f>Q2</f>
        <v>1</v>
      </c>
      <c r="R97" s="17"/>
      <c r="S97" s="20" t="b">
        <f>S3</f>
        <v>0</v>
      </c>
      <c r="T97" s="17" t="b">
        <f>T7</f>
        <v>1</v>
      </c>
      <c r="U97" s="17"/>
      <c r="V97" s="17"/>
      <c r="W97" s="17"/>
      <c r="X97" s="20" t="b">
        <f>X3</f>
        <v>0</v>
      </c>
      <c r="Y97" s="17"/>
      <c r="Z97" s="17" t="b">
        <f>Z2</f>
        <v>1</v>
      </c>
      <c r="AA97" s="17" t="b">
        <f>AA2</f>
        <v>1</v>
      </c>
      <c r="AB97" s="20"/>
      <c r="AC97" s="17" t="b">
        <f>AC2</f>
        <v>1</v>
      </c>
      <c r="AD97" s="17" t="b">
        <f>AD2</f>
        <v>1</v>
      </c>
      <c r="AE97" s="20"/>
      <c r="AF97" t="b">
        <f>AND(Table29[[#This Row],[Plaster]:[Hypoallergenic]])</f>
        <v>0</v>
      </c>
      <c r="AG97" s="29" t="s">
        <v>1465</v>
      </c>
    </row>
    <row r="98" spans="1:33">
      <c r="A98" t="b">
        <f>IF(Table29[[#This Row],[Column52]],Table29[[#This Row],[Products]])</f>
        <v>0</v>
      </c>
      <c r="B98" s="20" t="b">
        <f>B2</f>
        <v>1</v>
      </c>
      <c r="C98" s="17"/>
      <c r="D98" s="17"/>
      <c r="E98" s="17"/>
      <c r="F98" s="17"/>
      <c r="G98" s="17"/>
      <c r="H98" s="17"/>
      <c r="I98" s="17" t="b">
        <f>I2</f>
        <v>1</v>
      </c>
      <c r="J98" s="17"/>
      <c r="K98" s="20" t="b">
        <f>K2</f>
        <v>1</v>
      </c>
      <c r="L98" s="17"/>
      <c r="M98" s="17" t="b">
        <f>M2</f>
        <v>1</v>
      </c>
      <c r="N98" s="20" t="b">
        <f>N2</f>
        <v>1</v>
      </c>
      <c r="O98" s="17"/>
      <c r="P98" s="20"/>
      <c r="Q98" s="17" t="b">
        <f>Q2</f>
        <v>1</v>
      </c>
      <c r="R98" s="17"/>
      <c r="S98" s="20" t="b">
        <f>S3</f>
        <v>0</v>
      </c>
      <c r="T98" s="17" t="b">
        <f>T7</f>
        <v>1</v>
      </c>
      <c r="U98" s="17"/>
      <c r="V98" s="17"/>
      <c r="W98" s="17"/>
      <c r="X98" s="20" t="b">
        <f>X3</f>
        <v>0</v>
      </c>
      <c r="Y98" s="17"/>
      <c r="Z98" s="17" t="b">
        <f>Z2</f>
        <v>1</v>
      </c>
      <c r="AA98" s="17" t="b">
        <f>AA2</f>
        <v>1</v>
      </c>
      <c r="AB98" s="20"/>
      <c r="AC98" s="17" t="b">
        <f>AC2</f>
        <v>1</v>
      </c>
      <c r="AD98" s="17" t="b">
        <f>AD2</f>
        <v>1</v>
      </c>
      <c r="AE98" s="20"/>
      <c r="AF98" t="b">
        <f>AND(Table29[[#This Row],[Plaster]:[Hypoallergenic]])</f>
        <v>0</v>
      </c>
      <c r="AG98" s="29" t="s">
        <v>1466</v>
      </c>
    </row>
    <row r="99" spans="1:33">
      <c r="A99" t="b">
        <f>IF(Table29[[#This Row],[Column52]],Table29[[#This Row],[Products]])</f>
        <v>0</v>
      </c>
      <c r="B99" s="20" t="b">
        <f>B2</f>
        <v>1</v>
      </c>
      <c r="C99" s="17"/>
      <c r="D99" s="17"/>
      <c r="E99" s="17"/>
      <c r="F99" s="17"/>
      <c r="G99" s="17"/>
      <c r="H99" s="17"/>
      <c r="I99" s="17" t="b">
        <f>I2</f>
        <v>1</v>
      </c>
      <c r="J99" s="20" t="b">
        <f>J11</f>
        <v>0</v>
      </c>
      <c r="K99" s="17"/>
      <c r="L99" s="17"/>
      <c r="M99" s="17" t="b">
        <f>M2</f>
        <v>1</v>
      </c>
      <c r="N99" s="20" t="b">
        <f>N2</f>
        <v>1</v>
      </c>
      <c r="O99" s="17"/>
      <c r="P99" s="20"/>
      <c r="Q99" s="17" t="b">
        <f>Q2</f>
        <v>1</v>
      </c>
      <c r="R99" s="17"/>
      <c r="S99" s="20" t="b">
        <f>S3</f>
        <v>0</v>
      </c>
      <c r="T99" s="17" t="b">
        <f>T7</f>
        <v>1</v>
      </c>
      <c r="U99" s="17"/>
      <c r="V99" s="17"/>
      <c r="W99" s="17"/>
      <c r="X99" s="20" t="b">
        <f>X3</f>
        <v>0</v>
      </c>
      <c r="Y99" s="17"/>
      <c r="Z99" s="17" t="b">
        <f>Z2</f>
        <v>1</v>
      </c>
      <c r="AA99" s="17" t="b">
        <f>AA2</f>
        <v>1</v>
      </c>
      <c r="AB99" s="20"/>
      <c r="AC99" s="17" t="b">
        <f>AC2</f>
        <v>1</v>
      </c>
      <c r="AD99" s="17" t="b">
        <f>AD2</f>
        <v>1</v>
      </c>
      <c r="AE99" s="20"/>
      <c r="AF99" t="b">
        <f>AND(Table29[[#This Row],[Plaster]:[Hypoallergenic]])</f>
        <v>0</v>
      </c>
      <c r="AG99" s="29" t="s">
        <v>1467</v>
      </c>
    </row>
    <row r="100" spans="1:33">
      <c r="A100" t="b">
        <f>IF(Table29[[#This Row],[Column52]],Table29[[#This Row],[Products]])</f>
        <v>0</v>
      </c>
      <c r="B100" s="20" t="b">
        <f>B2</f>
        <v>1</v>
      </c>
      <c r="C100" s="17"/>
      <c r="D100" s="17"/>
      <c r="E100" s="17"/>
      <c r="F100" s="17"/>
      <c r="G100" s="17"/>
      <c r="H100" s="17"/>
      <c r="I100" s="17" t="b">
        <f>I2</f>
        <v>1</v>
      </c>
      <c r="J100" s="20" t="b">
        <f>J11</f>
        <v>0</v>
      </c>
      <c r="K100" s="17"/>
      <c r="L100" s="17"/>
      <c r="M100" s="17" t="b">
        <f>M2</f>
        <v>1</v>
      </c>
      <c r="N100" s="17"/>
      <c r="O100" s="20" t="b">
        <f>O7</f>
        <v>0</v>
      </c>
      <c r="P100" s="20"/>
      <c r="Q100" s="20"/>
      <c r="R100" s="20" t="b">
        <f>R2</f>
        <v>1</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1468</v>
      </c>
    </row>
    <row r="101" spans="1:33">
      <c r="A101" t="b">
        <f>IF(Table29[[#This Row],[Column52]],Table29[[#This Row],[Products]])</f>
        <v>0</v>
      </c>
      <c r="B101" s="20" t="b">
        <f>B2</f>
        <v>1</v>
      </c>
      <c r="C101" s="17"/>
      <c r="D101" s="17"/>
      <c r="E101" s="17"/>
      <c r="F101" s="17"/>
      <c r="G101" s="17"/>
      <c r="H101" s="17"/>
      <c r="I101" s="17" t="b">
        <f>I2</f>
        <v>1</v>
      </c>
      <c r="J101" s="17"/>
      <c r="K101" s="17"/>
      <c r="L101" s="20" t="b">
        <f>L7</f>
        <v>0</v>
      </c>
      <c r="M101" s="17" t="b">
        <f>M2</f>
        <v>1</v>
      </c>
      <c r="N101" s="17"/>
      <c r="O101" s="20" t="b">
        <f>O7</f>
        <v>0</v>
      </c>
      <c r="P101" s="20"/>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1469</v>
      </c>
    </row>
    <row r="102" spans="1:33">
      <c r="A102" t="b">
        <f>IF(Table29[[#This Row],[Column52]],Table29[[#This Row],[Products]])</f>
        <v>0</v>
      </c>
      <c r="B102" s="20" t="b">
        <f>B2</f>
        <v>1</v>
      </c>
      <c r="C102" s="17"/>
      <c r="D102" s="17"/>
      <c r="E102" s="17"/>
      <c r="F102" s="17"/>
      <c r="G102" s="17"/>
      <c r="H102" s="17"/>
      <c r="I102" s="17" t="b">
        <f>I2</f>
        <v>1</v>
      </c>
      <c r="J102" s="17"/>
      <c r="K102" s="20" t="b">
        <f>K2</f>
        <v>1</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1470</v>
      </c>
    </row>
    <row r="103" spans="1:33">
      <c r="A103" t="b">
        <f>IF(Table29[[#This Row],[Column52]],Table29[[#This Row],[Products]])</f>
        <v>0</v>
      </c>
      <c r="B103" s="17"/>
      <c r="C103" s="20" t="b">
        <f>C60</f>
        <v>0</v>
      </c>
      <c r="D103" s="17"/>
      <c r="E103" s="17"/>
      <c r="F103" s="17"/>
      <c r="G103" s="17"/>
      <c r="H103" s="17"/>
      <c r="I103" s="17" t="b">
        <f>I2</f>
        <v>1</v>
      </c>
      <c r="J103" s="17"/>
      <c r="K103" s="20" t="b">
        <f>K2</f>
        <v>1</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1471</v>
      </c>
    </row>
    <row r="104" spans="1:33">
      <c r="A104" t="b">
        <f>IF(Table29[[#This Row],[Column52]],Table29[[#This Row],[Products]])</f>
        <v>0</v>
      </c>
      <c r="B104" s="20" t="b">
        <f>B2</f>
        <v>1</v>
      </c>
      <c r="C104" s="17"/>
      <c r="D104" s="17"/>
      <c r="E104" s="17"/>
      <c r="F104" s="17"/>
      <c r="G104" s="17"/>
      <c r="H104" s="17"/>
      <c r="I104" s="17" t="b">
        <f>I2</f>
        <v>1</v>
      </c>
      <c r="J104" s="17"/>
      <c r="K104" s="20" t="b">
        <f>K2</f>
        <v>1</v>
      </c>
      <c r="L104" s="17"/>
      <c r="M104" s="17" t="b">
        <f>M2</f>
        <v>1</v>
      </c>
      <c r="N104" s="17"/>
      <c r="O104" s="20" t="b">
        <f>O7</f>
        <v>0</v>
      </c>
      <c r="P104" s="17" t="b">
        <f>P2</f>
        <v>1</v>
      </c>
      <c r="Q104" s="17" t="b">
        <f>Q2</f>
        <v>1</v>
      </c>
      <c r="R104" s="20" t="b">
        <f>R2</f>
        <v>1</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1472</v>
      </c>
    </row>
    <row r="105" spans="1:33">
      <c r="A105" t="b">
        <f>IF(Table29[[#This Row],[Column52]],Table29[[#This Row],[Products]])</f>
        <v>0</v>
      </c>
      <c r="B105" s="20" t="b">
        <f>B2</f>
        <v>1</v>
      </c>
      <c r="C105" s="17"/>
      <c r="D105" s="17"/>
      <c r="E105" s="17"/>
      <c r="F105" s="17"/>
      <c r="G105" s="17"/>
      <c r="H105" s="17"/>
      <c r="I105" s="17" t="b">
        <f>I2</f>
        <v>1</v>
      </c>
      <c r="J105" s="17"/>
      <c r="K105" s="20" t="b">
        <f>K2</f>
        <v>1</v>
      </c>
      <c r="L105" s="17"/>
      <c r="M105" s="17" t="b">
        <f>M2</f>
        <v>1</v>
      </c>
      <c r="N105" s="20" t="b">
        <f>N2</f>
        <v>1</v>
      </c>
      <c r="O105" s="17"/>
      <c r="P105" s="20"/>
      <c r="Q105" s="20"/>
      <c r="R105" s="17"/>
      <c r="S105" s="20" t="b">
        <f>S3</f>
        <v>0</v>
      </c>
      <c r="T105" s="17" t="b">
        <f>T7</f>
        <v>1</v>
      </c>
      <c r="U105" s="20" t="b">
        <f>U8</f>
        <v>0</v>
      </c>
      <c r="V105" s="17"/>
      <c r="W105" s="17"/>
      <c r="X105" s="17"/>
      <c r="Y105" s="17"/>
      <c r="Z105" s="20"/>
      <c r="AA105" s="17" t="b">
        <f>AA2</f>
        <v>1</v>
      </c>
      <c r="AB105" s="17" t="b">
        <f>AB2</f>
        <v>1</v>
      </c>
      <c r="AC105" s="17" t="b">
        <f>AC2</f>
        <v>1</v>
      </c>
      <c r="AD105" s="17" t="b">
        <f>AD2</f>
        <v>1</v>
      </c>
      <c r="AE105" s="17" t="b">
        <f>AE2</f>
        <v>1</v>
      </c>
      <c r="AF105" t="b">
        <f>AND(Table29[[#This Row],[Plaster]:[Hypoallergenic]])</f>
        <v>0</v>
      </c>
      <c r="AG105" s="29" t="s">
        <v>1473</v>
      </c>
    </row>
    <row r="106" spans="1:33">
      <c r="A106" t="b">
        <f>IF(Table29[[#This Row],[Column52]],Table29[[#This Row],[Products]])</f>
        <v>0</v>
      </c>
      <c r="B106" s="20" t="b">
        <f>B2</f>
        <v>1</v>
      </c>
      <c r="C106" s="17"/>
      <c r="D106" s="17"/>
      <c r="E106" s="17"/>
      <c r="F106" s="17"/>
      <c r="G106" s="17"/>
      <c r="H106" s="17"/>
      <c r="I106" s="17" t="b">
        <f>I2</f>
        <v>1</v>
      </c>
      <c r="J106" s="17"/>
      <c r="K106" s="20" t="b">
        <f>K2</f>
        <v>1</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c r="AB106" s="17" t="b">
        <f>AB2</f>
        <v>1</v>
      </c>
      <c r="AC106" s="17" t="b">
        <f>AC2</f>
        <v>1</v>
      </c>
      <c r="AD106" s="17" t="b">
        <f>AD2</f>
        <v>1</v>
      </c>
      <c r="AE106" s="17" t="b">
        <f>AE2</f>
        <v>1</v>
      </c>
      <c r="AF106" t="b">
        <f>AND(Table29[[#This Row],[Plaster]:[Hypoallergenic]])</f>
        <v>0</v>
      </c>
      <c r="AG106" s="29" t="s">
        <v>1474</v>
      </c>
    </row>
    <row r="107" spans="1:33">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3">
      <c r="A108" t="e">
        <f>IF(Table29[[#This Row],[Column52]],Table29[[#This Row],[Products]])</f>
        <v>#VALUE!</v>
      </c>
      <c r="AF108"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H24" sqref="H24"/>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1830</v>
      </c>
      <c r="B3" s="33" t="b">
        <v>0</v>
      </c>
      <c r="C3" t="b">
        <f>NOT(B3)</f>
        <v>1</v>
      </c>
    </row>
    <row r="4" spans="1:3" ht="15.75" thickBot="1">
      <c r="A4" s="1" t="s">
        <v>1630</v>
      </c>
      <c r="B4" s="33" t="b">
        <v>0</v>
      </c>
      <c r="C4" t="b">
        <f t="shared" ref="C4:C6" si="0">NOT(B4)</f>
        <v>1</v>
      </c>
    </row>
    <row r="5" spans="1:3" ht="15.75" thickBot="1">
      <c r="A5" s="1" t="s">
        <v>1631</v>
      </c>
      <c r="B5" s="33" t="b">
        <v>0</v>
      </c>
      <c r="C5" t="b">
        <f t="shared" si="0"/>
        <v>1</v>
      </c>
    </row>
    <row r="6" spans="1:3" ht="15.75" thickBot="1">
      <c r="A6" s="174" t="s">
        <v>1956</v>
      </c>
      <c r="B6" s="214" t="b">
        <v>0</v>
      </c>
      <c r="C6" t="b">
        <f t="shared" si="0"/>
        <v>1</v>
      </c>
    </row>
    <row r="7" spans="1:3" ht="15.75" thickBot="1">
      <c r="A7" s="162" t="s">
        <v>1653</v>
      </c>
      <c r="B7" s="183" t="b">
        <v>0</v>
      </c>
      <c r="C7" t="b">
        <f>NOT(B7)</f>
        <v>1</v>
      </c>
    </row>
    <row r="8" spans="1:3" ht="15.75" thickBot="1">
      <c r="A8" s="174" t="s">
        <v>1955</v>
      </c>
      <c r="B8" s="214" t="b">
        <v>0</v>
      </c>
      <c r="C8" t="b">
        <f>NOT(B8)</f>
        <v>1</v>
      </c>
    </row>
    <row r="9" spans="1:3" ht="15.75" thickBot="1">
      <c r="A9" s="161" t="s">
        <v>1632</v>
      </c>
      <c r="B9" s="181" t="b">
        <v>0</v>
      </c>
      <c r="C9" t="b">
        <f>NOT(B9)</f>
        <v>1</v>
      </c>
    </row>
    <row r="10" spans="1:3" ht="15.75" thickBot="1">
      <c r="A10" s="161" t="s">
        <v>1629</v>
      </c>
      <c r="B10" s="181" t="b">
        <v>0</v>
      </c>
      <c r="C10" t="b">
        <f t="shared" ref="C10" si="1">NOT(B10)</f>
        <v>1</v>
      </c>
    </row>
    <row r="11" spans="1:3" ht="15.75" thickBot="1">
      <c r="A11" s="162" t="s">
        <v>1911</v>
      </c>
      <c r="B11" s="183" t="b">
        <v>0</v>
      </c>
      <c r="C11" t="b">
        <f>NOT(B11)</f>
        <v>1</v>
      </c>
    </row>
    <row r="12" spans="1:3" ht="15.75" thickBot="1">
      <c r="A12" s="1" t="s">
        <v>1633</v>
      </c>
      <c r="B12" s="33" t="b">
        <v>0</v>
      </c>
      <c r="C12" t="b">
        <f t="shared" ref="C12:C13" si="2">NOT(B12)</f>
        <v>1</v>
      </c>
    </row>
    <row r="13" spans="1:3" ht="15.75" thickBot="1">
      <c r="A13" s="174" t="s">
        <v>1634</v>
      </c>
      <c r="B13" s="214" t="b">
        <v>0</v>
      </c>
      <c r="C13" t="b">
        <f t="shared" si="2"/>
        <v>1</v>
      </c>
    </row>
    <row r="14" spans="1:3" ht="15.75" thickBot="1">
      <c r="A14" s="55" t="s">
        <v>1635</v>
      </c>
      <c r="B14" s="147" t="b">
        <v>0</v>
      </c>
      <c r="C14" t="b">
        <f>NOT(B14)</f>
        <v>1</v>
      </c>
    </row>
    <row r="15" spans="1:3" ht="15.75" thickBot="1">
      <c r="A15" s="55" t="s">
        <v>1636</v>
      </c>
      <c r="B15" s="147" t="b">
        <v>0</v>
      </c>
      <c r="C15" t="b">
        <f>NOT(B15)</f>
        <v>1</v>
      </c>
    </row>
    <row r="16" spans="1:3" ht="15.75" thickBot="1">
      <c r="A16" s="161" t="s">
        <v>1637</v>
      </c>
      <c r="B16" s="181" t="b">
        <v>0</v>
      </c>
      <c r="C16" t="b">
        <f t="shared" ref="C16:C18" si="3">NOT(B16)</f>
        <v>1</v>
      </c>
    </row>
    <row r="17" spans="1:3" ht="15.75" thickBot="1">
      <c r="A17" s="1" t="s">
        <v>1638</v>
      </c>
      <c r="B17" s="33" t="b">
        <v>0</v>
      </c>
      <c r="C17" t="b">
        <f t="shared" si="3"/>
        <v>1</v>
      </c>
    </row>
    <row r="18" spans="1:3" ht="15.75" thickBot="1">
      <c r="A18" s="1" t="s">
        <v>1639</v>
      </c>
      <c r="B18" s="33" t="b">
        <v>0</v>
      </c>
      <c r="C18" t="b">
        <f t="shared" si="3"/>
        <v>1</v>
      </c>
    </row>
    <row r="19" spans="1:3" ht="15.75" thickBot="1">
      <c r="A19" s="186" t="s">
        <v>1831</v>
      </c>
      <c r="B19" s="187" t="b">
        <v>0</v>
      </c>
      <c r="C19" t="b">
        <f>NOT(B19)</f>
        <v>1</v>
      </c>
    </row>
    <row r="20" spans="1:3" ht="15.75" thickBot="1">
      <c r="A20" s="186" t="s">
        <v>1832</v>
      </c>
      <c r="B20" s="187" t="b">
        <v>0</v>
      </c>
      <c r="C20" t="b">
        <f t="shared" ref="C20:C21" si="4">NOT(B20)</f>
        <v>1</v>
      </c>
    </row>
    <row r="21" spans="1:3" ht="15.75" thickBot="1">
      <c r="A21" s="186" t="s">
        <v>1833</v>
      </c>
      <c r="B21" s="187" t="b">
        <v>0</v>
      </c>
      <c r="C21" t="b">
        <f t="shared" si="4"/>
        <v>1</v>
      </c>
    </row>
    <row r="22" spans="1:3" ht="15.75" thickBot="1">
      <c r="A22" s="188" t="s">
        <v>1640</v>
      </c>
      <c r="B22" s="189" t="b">
        <v>0</v>
      </c>
      <c r="C22" t="b">
        <f>NOT(B22)</f>
        <v>1</v>
      </c>
    </row>
    <row r="23" spans="1:3" ht="15.75" thickBot="1">
      <c r="A23" s="188" t="s">
        <v>1641</v>
      </c>
      <c r="B23" s="189" t="b">
        <v>0</v>
      </c>
      <c r="C23" t="b">
        <f t="shared" ref="C23:C26" si="5">NOT(B23)</f>
        <v>1</v>
      </c>
    </row>
    <row r="24" spans="1:3" ht="15.75" thickBot="1">
      <c r="A24" s="188" t="s">
        <v>1642</v>
      </c>
      <c r="B24" s="189" t="b">
        <v>0</v>
      </c>
      <c r="C24" t="b">
        <f t="shared" si="5"/>
        <v>1</v>
      </c>
    </row>
    <row r="25" spans="1:3" ht="15.75" thickBot="1">
      <c r="A25" s="1" t="s">
        <v>1643</v>
      </c>
      <c r="B25" s="33" t="b">
        <v>0</v>
      </c>
      <c r="C25" t="b">
        <f t="shared" si="5"/>
        <v>1</v>
      </c>
    </row>
    <row r="26" spans="1:3" ht="15.75" thickBot="1">
      <c r="A26" s="1" t="s">
        <v>1644</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40"/>
  <sheetViews>
    <sheetView topLeftCell="F1" workbookViewId="0">
      <selection activeCell="Y2" sqref="Y2"/>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7">
      <c r="A1" s="70" t="s">
        <v>1212</v>
      </c>
      <c r="B1" t="s">
        <v>1553</v>
      </c>
      <c r="C1" t="s">
        <v>1554</v>
      </c>
      <c r="D1" t="s">
        <v>518</v>
      </c>
      <c r="E1" t="s">
        <v>1555</v>
      </c>
      <c r="F1" t="s">
        <v>1556</v>
      </c>
      <c r="G1" t="s">
        <v>1654</v>
      </c>
      <c r="H1" t="s">
        <v>1570</v>
      </c>
      <c r="I1" t="s">
        <v>994</v>
      </c>
      <c r="J1" t="s">
        <v>1558</v>
      </c>
      <c r="K1" t="s">
        <v>1557</v>
      </c>
      <c r="L1" t="s">
        <v>1559</v>
      </c>
      <c r="M1" t="s">
        <v>1567</v>
      </c>
      <c r="N1" t="s">
        <v>1584</v>
      </c>
      <c r="O1" t="s">
        <v>1595</v>
      </c>
      <c r="P1" t="s">
        <v>1576</v>
      </c>
      <c r="Q1" t="s">
        <v>1579</v>
      </c>
      <c r="R1" t="s">
        <v>1560</v>
      </c>
      <c r="S1" t="s">
        <v>1578</v>
      </c>
      <c r="T1" t="s">
        <v>1583</v>
      </c>
      <c r="U1" s="204" t="s">
        <v>1562</v>
      </c>
      <c r="V1" s="204" t="s">
        <v>1563</v>
      </c>
      <c r="W1" s="204" t="s">
        <v>1571</v>
      </c>
      <c r="X1" t="s">
        <v>1651</v>
      </c>
      <c r="Y1" t="s">
        <v>1652</v>
      </c>
      <c r="Z1" t="s">
        <v>590</v>
      </c>
      <c r="AA1" t="s">
        <v>1552</v>
      </c>
    </row>
    <row r="2" spans="1:27">
      <c r="A2" t="b">
        <f>IF(Table32[[#This Row],[Column8]],Table32[[#This Row],[Products2]])</f>
        <v>0</v>
      </c>
      <c r="B2" s="20"/>
      <c r="C2" s="20"/>
      <c r="D2" s="17" t="b">
        <f>AND('Infant Formula Criteria'!C5)</f>
        <v>1</v>
      </c>
      <c r="E2" s="20"/>
      <c r="F2" s="20" t="b">
        <f>AND('Infant Formula Criteria'!B7,'Infant Formula Criteria'!C11)</f>
        <v>0</v>
      </c>
      <c r="G2" s="20"/>
      <c r="H2" s="17" t="b">
        <f>AND('Infant Formula Criteria'!C9)</f>
        <v>1</v>
      </c>
      <c r="I2" s="17" t="b">
        <f>AND('Infant Formula Criteria'!C10)</f>
        <v>1</v>
      </c>
      <c r="J2" s="17"/>
      <c r="K2" s="20"/>
      <c r="L2" s="20"/>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9" t="s">
        <v>1551</v>
      </c>
    </row>
    <row r="3" spans="1:27">
      <c r="A3" t="b">
        <f>IF(Table32[[#This Row],[Column8]],Table32[[#This Row],[Products2]])</f>
        <v>0</v>
      </c>
      <c r="B3" s="17" t="b">
        <f>AND('Infant Formula Criteria'!C3)</f>
        <v>1</v>
      </c>
      <c r="C3" s="20"/>
      <c r="D3" s="17" t="b">
        <f t="shared" ref="D3:I3" si="0">D2</f>
        <v>1</v>
      </c>
      <c r="E3" s="20"/>
      <c r="F3" s="20" t="b">
        <f t="shared" si="0"/>
        <v>0</v>
      </c>
      <c r="G3" s="20"/>
      <c r="H3" s="17" t="b">
        <f t="shared" si="0"/>
        <v>1</v>
      </c>
      <c r="I3" s="17" t="b">
        <f t="shared" si="0"/>
        <v>1</v>
      </c>
      <c r="J3" s="17"/>
      <c r="K3" s="20"/>
      <c r="L3" s="20"/>
      <c r="M3" s="17" t="b">
        <f t="shared" ref="M3:R3" si="1">M2</f>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9" t="s">
        <v>1561</v>
      </c>
    </row>
    <row r="4" spans="1:27">
      <c r="A4" t="b">
        <f>IF(Table32[[#This Row],[Column8]],Table32[[#This Row],[Products2]])</f>
        <v>0</v>
      </c>
      <c r="B4" s="17" t="b">
        <f>B3</f>
        <v>1</v>
      </c>
      <c r="C4" s="20"/>
      <c r="D4" s="17" t="b">
        <f t="shared" ref="D4:I4" si="2">D2</f>
        <v>1</v>
      </c>
      <c r="E4" s="20"/>
      <c r="F4" s="20" t="b">
        <f t="shared" si="2"/>
        <v>0</v>
      </c>
      <c r="G4" s="20"/>
      <c r="H4" s="17" t="b">
        <f t="shared" si="2"/>
        <v>1</v>
      </c>
      <c r="I4" s="17" t="b">
        <f t="shared" si="2"/>
        <v>1</v>
      </c>
      <c r="J4" s="17"/>
      <c r="K4" s="20"/>
      <c r="L4" s="20"/>
      <c r="M4" s="17" t="b">
        <f t="shared" ref="M4:R4" si="3">M2</f>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9" t="s">
        <v>1564</v>
      </c>
    </row>
    <row r="5" spans="1:27">
      <c r="A5" t="b">
        <f>IF(Table32[[#This Row],[Column8]],Table32[[#This Row],[Products2]])</f>
        <v>0</v>
      </c>
      <c r="B5" s="17" t="b">
        <f>B3</f>
        <v>1</v>
      </c>
      <c r="C5" s="17" t="b">
        <f>AND('Infant Formula Criteria'!C4)</f>
        <v>1</v>
      </c>
      <c r="D5" s="17" t="b">
        <f t="shared" ref="D5:I5" si="4">D2</f>
        <v>1</v>
      </c>
      <c r="E5" s="20"/>
      <c r="F5" s="20" t="b">
        <f t="shared" si="4"/>
        <v>0</v>
      </c>
      <c r="G5" s="20"/>
      <c r="H5" s="17" t="b">
        <f t="shared" si="4"/>
        <v>1</v>
      </c>
      <c r="I5" s="17" t="b">
        <f t="shared" si="4"/>
        <v>1</v>
      </c>
      <c r="J5" s="17"/>
      <c r="K5" s="17" t="b">
        <f>AND('Infant Formula Criteria'!C12)</f>
        <v>1</v>
      </c>
      <c r="L5" s="20"/>
      <c r="M5" s="17" t="b">
        <f t="shared" ref="M5:R5" si="5">M2</f>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9" t="s">
        <v>1565</v>
      </c>
    </row>
    <row r="6" spans="1:27">
      <c r="A6" t="b">
        <f>IF(Table32[[#This Row],[Column8]],Table32[[#This Row],[Products2]])</f>
        <v>0</v>
      </c>
      <c r="B6" s="17" t="b">
        <f>B3</f>
        <v>1</v>
      </c>
      <c r="C6" s="17" t="b">
        <f>C5</f>
        <v>1</v>
      </c>
      <c r="D6" s="17" t="b">
        <f t="shared" ref="D6:I6" si="6">D2</f>
        <v>1</v>
      </c>
      <c r="E6" s="20"/>
      <c r="F6" s="20" t="b">
        <f t="shared" si="6"/>
        <v>0</v>
      </c>
      <c r="G6" s="20"/>
      <c r="H6" s="17" t="b">
        <f t="shared" si="6"/>
        <v>1</v>
      </c>
      <c r="I6" s="17" t="b">
        <f t="shared" si="6"/>
        <v>1</v>
      </c>
      <c r="J6" s="17"/>
      <c r="K6" s="17" t="b">
        <f>K5</f>
        <v>1</v>
      </c>
      <c r="L6" s="20"/>
      <c r="M6" s="20"/>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9" t="s">
        <v>1566</v>
      </c>
    </row>
    <row r="7" spans="1:27">
      <c r="A7" t="b">
        <f>IF(Table32[[#This Row],[Column8]],Table32[[#This Row],[Products2]])</f>
        <v>0</v>
      </c>
      <c r="B7" s="17" t="b">
        <f>B3</f>
        <v>1</v>
      </c>
      <c r="C7" s="20"/>
      <c r="D7" s="17" t="b">
        <f t="shared" ref="D7:I7" si="7">D2</f>
        <v>1</v>
      </c>
      <c r="E7" s="20"/>
      <c r="F7" s="20" t="b">
        <f t="shared" si="7"/>
        <v>0</v>
      </c>
      <c r="G7" s="20"/>
      <c r="H7" s="17" t="b">
        <f t="shared" si="7"/>
        <v>1</v>
      </c>
      <c r="I7" s="17" t="b">
        <f t="shared" si="7"/>
        <v>1</v>
      </c>
      <c r="J7" s="17"/>
      <c r="K7" s="17" t="b">
        <f>K5</f>
        <v>1</v>
      </c>
      <c r="L7" s="20"/>
      <c r="M7" s="17" t="b">
        <f>M2</f>
        <v>1</v>
      </c>
      <c r="N7" s="17" t="b">
        <f>N2</f>
        <v>1</v>
      </c>
      <c r="O7" s="20"/>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9" t="s">
        <v>1568</v>
      </c>
    </row>
    <row r="8" spans="1:27">
      <c r="A8" t="b">
        <f>IF(Table32[[#This Row],[Column8]],Table32[[#This Row],[Products2]])</f>
        <v>0</v>
      </c>
      <c r="B8" s="17" t="b">
        <f>B3</f>
        <v>1</v>
      </c>
      <c r="C8" s="17" t="b">
        <f>C5</f>
        <v>1</v>
      </c>
      <c r="D8" s="17" t="b">
        <f>D2</f>
        <v>1</v>
      </c>
      <c r="E8" s="20"/>
      <c r="F8" s="20" t="b">
        <f>F2</f>
        <v>0</v>
      </c>
      <c r="G8" s="20"/>
      <c r="H8" s="20"/>
      <c r="I8" s="17" t="b">
        <f>I2</f>
        <v>1</v>
      </c>
      <c r="J8" s="17"/>
      <c r="K8" s="17" t="b">
        <f>K5</f>
        <v>1</v>
      </c>
      <c r="L8" s="20"/>
      <c r="M8" s="17" t="b">
        <f t="shared" ref="M8:R8" si="8">M2</f>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9" t="s">
        <v>1569</v>
      </c>
    </row>
    <row r="9" spans="1:27">
      <c r="A9" t="b">
        <f>IF(Table32[[#This Row],[Column8]],Table32[[#This Row],[Products2]])</f>
        <v>0</v>
      </c>
      <c r="B9" s="17" t="b">
        <f>B3</f>
        <v>1</v>
      </c>
      <c r="C9" s="20"/>
      <c r="D9" s="17" t="b">
        <f>D2</f>
        <v>1</v>
      </c>
      <c r="E9" s="17" t="b">
        <f>AND('Infant Formula Criteria'!C6)</f>
        <v>1</v>
      </c>
      <c r="F9" s="20" t="b">
        <f>F2</f>
        <v>0</v>
      </c>
      <c r="G9" s="20"/>
      <c r="H9" s="17" t="b">
        <f>H2</f>
        <v>1</v>
      </c>
      <c r="I9" s="20"/>
      <c r="J9" s="17"/>
      <c r="K9" s="17" t="b">
        <f>K5</f>
        <v>1</v>
      </c>
      <c r="L9" s="20"/>
      <c r="M9" s="17" t="b">
        <f t="shared" ref="M9:R9" si="9">M2</f>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9" t="s">
        <v>1572</v>
      </c>
    </row>
    <row r="10" spans="1:27">
      <c r="A10" t="b">
        <f>IF(Table32[[#This Row],[Column8]],Table32[[#This Row],[Products2]])</f>
        <v>0</v>
      </c>
      <c r="B10" s="17" t="b">
        <f>B3</f>
        <v>1</v>
      </c>
      <c r="C10" s="20"/>
      <c r="D10" s="17" t="b">
        <f>D2</f>
        <v>1</v>
      </c>
      <c r="E10" s="20"/>
      <c r="F10" s="17"/>
      <c r="G10" s="17" t="b">
        <f>AND('Infant Formula Criteria'!C8)</f>
        <v>1</v>
      </c>
      <c r="H10" s="17" t="b">
        <f>H2</f>
        <v>1</v>
      </c>
      <c r="I10" s="17" t="b">
        <f>I2</f>
        <v>1</v>
      </c>
      <c r="J10" s="20" t="b">
        <f>AND('Infant Formula Criteria'!B11,'Infant Formula Criteria'!C7)</f>
        <v>0</v>
      </c>
      <c r="K10" s="17" t="b">
        <f>K5</f>
        <v>1</v>
      </c>
      <c r="L10" s="20"/>
      <c r="M10" s="17" t="b">
        <f t="shared" ref="M10:R10" si="10">M2</f>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9" t="s">
        <v>1573</v>
      </c>
    </row>
    <row r="11" spans="1:27">
      <c r="A11" t="b">
        <f>IF(Table32[[#This Row],[Column8]],Table32[[#This Row],[Products2]])</f>
        <v>0</v>
      </c>
      <c r="B11" s="17" t="b">
        <f>B3</f>
        <v>1</v>
      </c>
      <c r="C11" s="20"/>
      <c r="D11" s="17" t="b">
        <f t="shared" ref="D11:I11" si="11">D2</f>
        <v>1</v>
      </c>
      <c r="E11" s="20"/>
      <c r="F11" s="20" t="b">
        <f t="shared" si="11"/>
        <v>0</v>
      </c>
      <c r="G11" s="20"/>
      <c r="H11" s="17" t="b">
        <f t="shared" si="11"/>
        <v>1</v>
      </c>
      <c r="I11" s="17" t="b">
        <f t="shared" si="11"/>
        <v>1</v>
      </c>
      <c r="J11" s="17"/>
      <c r="K11" s="17" t="b">
        <f>K5</f>
        <v>1</v>
      </c>
      <c r="L11" s="20"/>
      <c r="M11" s="17" t="b">
        <f>M2</f>
        <v>1</v>
      </c>
      <c r="N11" s="17" t="b">
        <f>N2</f>
        <v>1</v>
      </c>
      <c r="O11" s="17" t="b">
        <f>O2</f>
        <v>1</v>
      </c>
      <c r="P11" s="20"/>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9" t="s">
        <v>1575</v>
      </c>
    </row>
    <row r="12" spans="1:27">
      <c r="A12" t="b">
        <f>IF(Table32[[#This Row],[Column8]],Table32[[#This Row],[Products2]])</f>
        <v>0</v>
      </c>
      <c r="B12" s="20"/>
      <c r="C12" s="20"/>
      <c r="D12" s="17" t="b">
        <f t="shared" ref="D12:I12" si="12">D2</f>
        <v>1</v>
      </c>
      <c r="E12" s="20"/>
      <c r="F12" s="20" t="b">
        <f t="shared" si="12"/>
        <v>0</v>
      </c>
      <c r="G12" s="20"/>
      <c r="H12" s="17" t="b">
        <f t="shared" si="12"/>
        <v>1</v>
      </c>
      <c r="I12" s="17" t="b">
        <f t="shared" si="12"/>
        <v>1</v>
      </c>
      <c r="J12" s="17"/>
      <c r="K12" s="20"/>
      <c r="L12" s="20"/>
      <c r="M12" s="17" t="b">
        <f t="shared" ref="M12:P12" si="13">M2</f>
        <v>1</v>
      </c>
      <c r="N12" s="17" t="b">
        <f t="shared" si="13"/>
        <v>1</v>
      </c>
      <c r="O12" s="17" t="b">
        <f t="shared" si="13"/>
        <v>1</v>
      </c>
      <c r="P12" s="17" t="b">
        <f t="shared" si="13"/>
        <v>1</v>
      </c>
      <c r="Q12" s="20"/>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9" t="s">
        <v>1577</v>
      </c>
    </row>
    <row r="13" spans="1:27">
      <c r="A13" t="b">
        <f>IF(Table32[[#This Row],[Column8]],Table32[[#This Row],[Products2]])</f>
        <v>0</v>
      </c>
      <c r="B13" s="17" t="b">
        <f>B3</f>
        <v>1</v>
      </c>
      <c r="C13" s="20"/>
      <c r="D13" s="17" t="b">
        <f t="shared" ref="D13:I13" si="14">D2</f>
        <v>1</v>
      </c>
      <c r="E13" s="20"/>
      <c r="F13" s="20" t="b">
        <f t="shared" si="14"/>
        <v>0</v>
      </c>
      <c r="G13" s="20"/>
      <c r="H13" s="17" t="b">
        <f t="shared" si="14"/>
        <v>1</v>
      </c>
      <c r="I13" s="17" t="b">
        <f t="shared" si="14"/>
        <v>1</v>
      </c>
      <c r="J13" s="17"/>
      <c r="K13" s="20"/>
      <c r="L13" s="20"/>
      <c r="M13" s="17" t="b">
        <f t="shared" ref="M13:P13" si="15">M2</f>
        <v>1</v>
      </c>
      <c r="N13" s="17" t="b">
        <f t="shared" si="15"/>
        <v>1</v>
      </c>
      <c r="O13" s="17" t="b">
        <f t="shared" si="15"/>
        <v>1</v>
      </c>
      <c r="P13" s="17" t="b">
        <f t="shared" si="15"/>
        <v>1</v>
      </c>
      <c r="Q13" s="20"/>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9" t="s">
        <v>1580</v>
      </c>
    </row>
    <row r="14" spans="1:27">
      <c r="A14" t="b">
        <f>IF(Table32[[#This Row],[Column8]],Table32[[#This Row],[Products2]])</f>
        <v>0</v>
      </c>
      <c r="B14" s="17" t="b">
        <f>B3</f>
        <v>1</v>
      </c>
      <c r="C14" s="17" t="b">
        <f>C5</f>
        <v>1</v>
      </c>
      <c r="D14" s="17" t="b">
        <f t="shared" ref="D14:I14" si="16">D2</f>
        <v>1</v>
      </c>
      <c r="E14" s="20"/>
      <c r="F14" s="20" t="b">
        <f t="shared" si="16"/>
        <v>0</v>
      </c>
      <c r="G14" s="20"/>
      <c r="H14" s="17" t="b">
        <f t="shared" si="16"/>
        <v>1</v>
      </c>
      <c r="I14" s="17" t="b">
        <f t="shared" si="16"/>
        <v>1</v>
      </c>
      <c r="J14" s="17"/>
      <c r="K14" s="17" t="b">
        <f>K5</f>
        <v>1</v>
      </c>
      <c r="L14" s="20"/>
      <c r="M14" s="17" t="b">
        <f>M2</f>
        <v>1</v>
      </c>
      <c r="N14" s="17" t="b">
        <f>N2</f>
        <v>1</v>
      </c>
      <c r="O14" s="17" t="b">
        <f>O2</f>
        <v>1</v>
      </c>
      <c r="P14" s="17" t="b">
        <f>P2</f>
        <v>1</v>
      </c>
      <c r="Q14" s="20"/>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9" t="s">
        <v>1581</v>
      </c>
    </row>
    <row r="15" spans="1:27">
      <c r="A15" t="b">
        <f>IF(Table32[[#This Row],[Column8]],Table32[[#This Row],[Products2]])</f>
        <v>0</v>
      </c>
      <c r="B15" s="17" t="b">
        <f>B3</f>
        <v>1</v>
      </c>
      <c r="C15" s="20"/>
      <c r="D15" s="17" t="b">
        <f t="shared" ref="D15:I15" si="17">D2</f>
        <v>1</v>
      </c>
      <c r="E15" s="20"/>
      <c r="F15" s="20" t="b">
        <f t="shared" si="17"/>
        <v>0</v>
      </c>
      <c r="G15" s="20"/>
      <c r="H15" s="17" t="b">
        <f t="shared" si="17"/>
        <v>1</v>
      </c>
      <c r="I15" s="17" t="b">
        <f t="shared" si="17"/>
        <v>1</v>
      </c>
      <c r="J15" s="17"/>
      <c r="K15" s="20"/>
      <c r="L15" s="20"/>
      <c r="M15" s="17" t="b">
        <f>M2</f>
        <v>1</v>
      </c>
      <c r="N15" s="20"/>
      <c r="O15" s="17" t="b">
        <f>O2</f>
        <v>1</v>
      </c>
      <c r="P15" s="17" t="b">
        <f>P2</f>
        <v>1</v>
      </c>
      <c r="Q15" s="20"/>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9" t="s">
        <v>1582</v>
      </c>
    </row>
    <row r="16" spans="1:27">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16"/>
    </row>
    <row r="17" spans="1:27">
      <c r="A17" t="b">
        <f>IF(Table32[[#This Row],[Column8]],Table32[[#This Row],[Products2]])</f>
        <v>0</v>
      </c>
      <c r="B17" s="17" t="b">
        <f>B3</f>
        <v>1</v>
      </c>
      <c r="C17" s="20"/>
      <c r="D17" s="20"/>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9" t="s">
        <v>1585</v>
      </c>
    </row>
    <row r="18" spans="1:27">
      <c r="A18" t="b">
        <f>IF(Table32[[#This Row],[Column8]],Table32[[#This Row],[Products2]])</f>
        <v>0</v>
      </c>
      <c r="B18" s="17" t="b">
        <f>B3</f>
        <v>1</v>
      </c>
      <c r="C18" s="20"/>
      <c r="D18" s="17" t="b">
        <f>D2</f>
        <v>1</v>
      </c>
      <c r="E18" s="17" t="b">
        <f>E9</f>
        <v>1</v>
      </c>
      <c r="F18" s="20" t="b">
        <f>F2</f>
        <v>0</v>
      </c>
      <c r="G18" s="17" t="b">
        <f>G10</f>
        <v>1</v>
      </c>
      <c r="H18" s="17" t="b">
        <f>H2</f>
        <v>1</v>
      </c>
      <c r="I18" s="17" t="b">
        <f>I2</f>
        <v>1</v>
      </c>
      <c r="J18" s="17"/>
      <c r="K18" s="17" t="b">
        <f>K5</f>
        <v>1</v>
      </c>
      <c r="L18" s="17" t="b">
        <f>L17</f>
        <v>1</v>
      </c>
      <c r="M18" s="17" t="b">
        <f>M2</f>
        <v>1</v>
      </c>
      <c r="N18" s="17" t="b">
        <f>N2</f>
        <v>1</v>
      </c>
      <c r="O18" s="20"/>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9" t="s">
        <v>1586</v>
      </c>
    </row>
    <row r="19" spans="1:27">
      <c r="A19" t="b">
        <f>IF(Table32[[#This Row],[Column8]],Table32[[#This Row],[Products2]])</f>
        <v>0</v>
      </c>
      <c r="B19" s="17" t="b">
        <f>B3</f>
        <v>1</v>
      </c>
      <c r="C19" s="20"/>
      <c r="D19" s="20"/>
      <c r="E19" s="17" t="b">
        <f>E9</f>
        <v>1</v>
      </c>
      <c r="F19" s="20" t="b">
        <f>F2</f>
        <v>0</v>
      </c>
      <c r="G19" s="17" t="b">
        <f>G10</f>
        <v>1</v>
      </c>
      <c r="H19" s="17" t="b">
        <f>H2</f>
        <v>1</v>
      </c>
      <c r="I19" s="17" t="b">
        <f>I2</f>
        <v>1</v>
      </c>
      <c r="J19" s="17"/>
      <c r="K19" s="17" t="b">
        <f>K5</f>
        <v>1</v>
      </c>
      <c r="L19" s="17" t="b">
        <f>L17</f>
        <v>1</v>
      </c>
      <c r="M19" s="17" t="b">
        <f>M2</f>
        <v>1</v>
      </c>
      <c r="N19" s="17" t="b">
        <f>N2</f>
        <v>1</v>
      </c>
      <c r="O19" s="17" t="b">
        <f>O2</f>
        <v>1</v>
      </c>
      <c r="P19" s="20"/>
      <c r="Q19" s="20"/>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9" t="s">
        <v>1587</v>
      </c>
    </row>
    <row r="20" spans="1:27">
      <c r="A20" t="b">
        <f>IF(Table32[[#This Row],[Column8]],Table32[[#This Row],[Products2]])</f>
        <v>0</v>
      </c>
      <c r="B20" s="17" t="b">
        <f>B3</f>
        <v>1</v>
      </c>
      <c r="C20" s="20"/>
      <c r="D20" s="20"/>
      <c r="E20" s="17" t="b">
        <f>E9</f>
        <v>1</v>
      </c>
      <c r="F20" s="20" t="b">
        <f>F2</f>
        <v>0</v>
      </c>
      <c r="G20" s="17" t="b">
        <f>G10</f>
        <v>1</v>
      </c>
      <c r="H20" s="17" t="b">
        <f>H2</f>
        <v>1</v>
      </c>
      <c r="I20" s="17" t="b">
        <f>I2</f>
        <v>1</v>
      </c>
      <c r="J20" s="17"/>
      <c r="K20" s="17" t="b">
        <f>K5</f>
        <v>1</v>
      </c>
      <c r="L20" s="17" t="b">
        <f>L17</f>
        <v>1</v>
      </c>
      <c r="M20" s="17" t="b">
        <f>M2</f>
        <v>1</v>
      </c>
      <c r="N20" s="17" t="b">
        <f>N2</f>
        <v>1</v>
      </c>
      <c r="O20" s="17" t="b">
        <f>O2</f>
        <v>1</v>
      </c>
      <c r="P20" s="20"/>
      <c r="Q20" s="20"/>
      <c r="R20" s="17"/>
      <c r="S20" s="17"/>
      <c r="T20" s="20" t="b">
        <f>T15</f>
        <v>0</v>
      </c>
      <c r="U20" s="20" t="b">
        <f>U2</f>
        <v>0</v>
      </c>
      <c r="V20" s="20" t="b">
        <f>V2</f>
        <v>0</v>
      </c>
      <c r="W20" s="17"/>
      <c r="X20" s="20"/>
      <c r="Y20" s="17" t="b">
        <f>Y2</f>
        <v>1</v>
      </c>
      <c r="Z20" t="b">
        <f>AND(Table32[[#This Row],[Immune Support]:[12-36 Mnths]],Table32[[#This Row],[Kosher/Halal]:[Organic]],OR(Table32[[#This Row],[Powder]:[Con Liq]]))</f>
        <v>0</v>
      </c>
      <c r="AA20" s="29" t="s">
        <v>1588</v>
      </c>
    </row>
    <row r="21" spans="1:27">
      <c r="A21" t="b">
        <f>IF(Table32[[#This Row],[Column8]],Table32[[#This Row],[Products2]])</f>
        <v>0</v>
      </c>
      <c r="B21" s="17" t="b">
        <f>B3</f>
        <v>1</v>
      </c>
      <c r="C21" s="20"/>
      <c r="D21" s="20"/>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9" t="s">
        <v>1589</v>
      </c>
    </row>
    <row r="22" spans="1:27">
      <c r="A22" t="b">
        <f>IF(Table32[[#This Row],[Column8]],Table32[[#This Row],[Products2]])</f>
        <v>0</v>
      </c>
      <c r="B22" s="17" t="b">
        <f>B3</f>
        <v>1</v>
      </c>
      <c r="C22" s="20"/>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9" t="s">
        <v>1590</v>
      </c>
    </row>
    <row r="23" spans="1:27">
      <c r="A23" t="b">
        <f>IF(Table32[[#This Row],[Column8]],Table32[[#This Row],[Products2]])</f>
        <v>0</v>
      </c>
      <c r="B23" s="20"/>
      <c r="C23" s="17" t="b">
        <f>C5</f>
        <v>1</v>
      </c>
      <c r="D23" s="17" t="b">
        <f>D2</f>
        <v>1</v>
      </c>
      <c r="E23" s="17" t="b">
        <f>E9</f>
        <v>1</v>
      </c>
      <c r="F23" s="20" t="b">
        <f>F2</f>
        <v>0</v>
      </c>
      <c r="G23" s="17" t="b">
        <f>G10</f>
        <v>1</v>
      </c>
      <c r="H23" s="17" t="b">
        <f>H2</f>
        <v>1</v>
      </c>
      <c r="I23" s="20"/>
      <c r="J23" s="17"/>
      <c r="K23" s="17" t="b">
        <f>K5</f>
        <v>1</v>
      </c>
      <c r="L23" s="17" t="b">
        <f>L17</f>
        <v>1</v>
      </c>
      <c r="M23" s="17" t="b">
        <f>M2</f>
        <v>1</v>
      </c>
      <c r="N23" s="17" t="b">
        <f>N2</f>
        <v>1</v>
      </c>
      <c r="O23" s="20"/>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9" t="s">
        <v>1591</v>
      </c>
    </row>
    <row r="24" spans="1:27">
      <c r="A24" t="b">
        <f>IF(Table32[[#This Row],[Column8]],Table32[[#This Row],[Products2]])</f>
        <v>0</v>
      </c>
      <c r="B24" s="17" t="b">
        <f>B3</f>
        <v>1</v>
      </c>
      <c r="C24" s="20"/>
      <c r="D24" s="17" t="b">
        <f>D2</f>
        <v>1</v>
      </c>
      <c r="E24" s="17" t="b">
        <f>E9</f>
        <v>1</v>
      </c>
      <c r="F24" s="17"/>
      <c r="G24" s="17" t="b">
        <f>G10</f>
        <v>1</v>
      </c>
      <c r="H24" s="17" t="b">
        <f>H2</f>
        <v>1</v>
      </c>
      <c r="I24" s="20"/>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9" t="s">
        <v>1592</v>
      </c>
    </row>
    <row r="25" spans="1:27">
      <c r="A25" t="b">
        <f>IF(Table32[[#This Row],[Column8]],Table32[[#This Row],[Products2]])</f>
        <v>0</v>
      </c>
      <c r="B25" s="17" t="b">
        <f>B3</f>
        <v>1</v>
      </c>
      <c r="C25" s="20"/>
      <c r="D25" s="17" t="b">
        <f>D2</f>
        <v>1</v>
      </c>
      <c r="E25" s="17" t="b">
        <f>E9</f>
        <v>1</v>
      </c>
      <c r="F25" s="17"/>
      <c r="G25" s="17" t="b">
        <f>G10</f>
        <v>1</v>
      </c>
      <c r="H25" s="17" t="b">
        <f>H2</f>
        <v>1</v>
      </c>
      <c r="I25" s="20"/>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9" t="s">
        <v>1593</v>
      </c>
    </row>
    <row r="26" spans="1:27">
      <c r="A26" t="b">
        <f>IF(Table32[[#This Row],[Column8]],Table32[[#This Row],[Products2]])</f>
        <v>0</v>
      </c>
      <c r="B26" s="17" t="b">
        <f>B3</f>
        <v>1</v>
      </c>
      <c r="C26" s="20"/>
      <c r="D26" s="17" t="b">
        <f>D2</f>
        <v>1</v>
      </c>
      <c r="E26" s="17" t="b">
        <f>E9</f>
        <v>1</v>
      </c>
      <c r="F26" s="20" t="b">
        <f>F2</f>
        <v>0</v>
      </c>
      <c r="G26" s="17" t="b">
        <f>G10</f>
        <v>1</v>
      </c>
      <c r="H26" s="17" t="b">
        <f>H2</f>
        <v>1</v>
      </c>
      <c r="I26" s="20"/>
      <c r="J26" s="17"/>
      <c r="K26" s="17" t="b">
        <f>K5</f>
        <v>1</v>
      </c>
      <c r="L26" s="17" t="b">
        <f>L17</f>
        <v>1</v>
      </c>
      <c r="M26" s="17" t="b">
        <f>M2</f>
        <v>1</v>
      </c>
      <c r="N26" s="17" t="b">
        <f>N2</f>
        <v>1</v>
      </c>
      <c r="O26" s="20"/>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9" t="s">
        <v>1594</v>
      </c>
    </row>
    <row r="27" spans="1:27">
      <c r="A27" t="b">
        <f>IF(Table32[[#This Row],[Column8]],Table32[[#This Row],[Products2]])</f>
        <v>0</v>
      </c>
      <c r="B27" s="17" t="b">
        <f>B3</f>
        <v>1</v>
      </c>
      <c r="C27" s="20"/>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9" t="s">
        <v>1596</v>
      </c>
    </row>
    <row r="28" spans="1:27">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9" t="s">
        <v>1597</v>
      </c>
    </row>
    <row r="29" spans="1:27">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9" t="s">
        <v>1598</v>
      </c>
    </row>
    <row r="30" spans="1:27">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c r="O30" s="17" t="b">
        <f>O2</f>
        <v>1</v>
      </c>
      <c r="P30" s="17" t="b">
        <f>P2</f>
        <v>1</v>
      </c>
      <c r="Q30" s="20"/>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9" t="s">
        <v>1599</v>
      </c>
    </row>
    <row r="31" spans="1:27">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16"/>
    </row>
    <row r="32" spans="1:27">
      <c r="A32" t="b">
        <f>IF(Table32[[#This Row],[Column8]],Table32[[#This Row],[Products2]])</f>
        <v>0</v>
      </c>
      <c r="B32" s="20"/>
      <c r="C32" s="20"/>
      <c r="D32" s="17" t="b">
        <f>D2</f>
        <v>1</v>
      </c>
      <c r="E32" s="20"/>
      <c r="F32" s="20" t="b">
        <f>F2</f>
        <v>0</v>
      </c>
      <c r="G32" s="17" t="b">
        <f>G10</f>
        <v>1</v>
      </c>
      <c r="H32" s="20"/>
      <c r="I32" s="17" t="b">
        <f>I2</f>
        <v>1</v>
      </c>
      <c r="J32" s="17"/>
      <c r="K32" s="17" t="b">
        <f>K5</f>
        <v>1</v>
      </c>
      <c r="L32" s="20"/>
      <c r="M32" s="17" t="b">
        <f>M2</f>
        <v>1</v>
      </c>
      <c r="N32" s="17" t="b">
        <f>N2</f>
        <v>1</v>
      </c>
      <c r="O32" s="20"/>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9" t="s">
        <v>1601</v>
      </c>
    </row>
    <row r="33" spans="1:27">
      <c r="A33" t="b">
        <f>IF(Table32[[#This Row],[Column8]],Table32[[#This Row],[Products2]])</f>
        <v>0</v>
      </c>
      <c r="B33" s="20"/>
      <c r="C33" s="20"/>
      <c r="D33" s="20"/>
      <c r="E33" s="20"/>
      <c r="F33" s="20" t="b">
        <f>F2</f>
        <v>0</v>
      </c>
      <c r="G33" s="17" t="b">
        <f>G10</f>
        <v>1</v>
      </c>
      <c r="H33" s="17" t="b">
        <f>H2</f>
        <v>1</v>
      </c>
      <c r="I33" s="17" t="b">
        <f>I2</f>
        <v>1</v>
      </c>
      <c r="J33" s="17"/>
      <c r="K33" s="17" t="b">
        <f>K5</f>
        <v>1</v>
      </c>
      <c r="L33" s="20"/>
      <c r="M33" s="17" t="b">
        <f>M2</f>
        <v>1</v>
      </c>
      <c r="N33" s="17" t="b">
        <f>N2</f>
        <v>1</v>
      </c>
      <c r="O33" s="20"/>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9" t="s">
        <v>1602</v>
      </c>
    </row>
    <row r="34" spans="1:27">
      <c r="A34" t="b">
        <f>IF(Table32[[#This Row],[Column8]],Table32[[#This Row],[Products2]])</f>
        <v>0</v>
      </c>
      <c r="B34" s="20"/>
      <c r="C34" s="20"/>
      <c r="D34" s="20"/>
      <c r="E34" s="20"/>
      <c r="F34" s="20" t="b">
        <f>F2</f>
        <v>0</v>
      </c>
      <c r="G34" s="17" t="b">
        <f>G10</f>
        <v>1</v>
      </c>
      <c r="H34" s="17" t="b">
        <f>H2</f>
        <v>1</v>
      </c>
      <c r="I34" s="17" t="b">
        <f>I2</f>
        <v>1</v>
      </c>
      <c r="J34" s="17"/>
      <c r="K34" s="17" t="b">
        <f>K5</f>
        <v>1</v>
      </c>
      <c r="L34" s="20"/>
      <c r="M34" s="17" t="b">
        <f>M2</f>
        <v>1</v>
      </c>
      <c r="N34" s="20"/>
      <c r="O34" s="20"/>
      <c r="P34" s="17" t="b">
        <f>P2</f>
        <v>1</v>
      </c>
      <c r="Q34" s="20"/>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9" t="s">
        <v>1603</v>
      </c>
    </row>
    <row r="35" spans="1:27">
      <c r="A35" t="b">
        <f>IF(Table32[[#This Row],[Column8]],Table32[[#This Row],[Products2]])</f>
        <v>0</v>
      </c>
      <c r="B35" s="20"/>
      <c r="C35" s="20"/>
      <c r="D35" s="17" t="b">
        <f>D2</f>
        <v>1</v>
      </c>
      <c r="E35" s="17" t="b">
        <f>E9</f>
        <v>1</v>
      </c>
      <c r="F35" s="20" t="b">
        <f>F2</f>
        <v>0</v>
      </c>
      <c r="G35" s="17" t="b">
        <f>G10</f>
        <v>1</v>
      </c>
      <c r="H35" s="17" t="b">
        <f>H2</f>
        <v>1</v>
      </c>
      <c r="I35" s="17" t="b">
        <f>I2</f>
        <v>1</v>
      </c>
      <c r="J35" s="17"/>
      <c r="K35" s="17" t="b">
        <f>K5</f>
        <v>1</v>
      </c>
      <c r="L35" s="20"/>
      <c r="M35" s="17" t="b">
        <f>M2</f>
        <v>1</v>
      </c>
      <c r="N35" s="20"/>
      <c r="O35" s="17" t="b">
        <f>O2</f>
        <v>1</v>
      </c>
      <c r="P35" s="17" t="b">
        <f>P2</f>
        <v>1</v>
      </c>
      <c r="Q35" s="20"/>
      <c r="R35" s="17"/>
      <c r="S35" s="17"/>
      <c r="T35" s="20" t="b">
        <f>T15</f>
        <v>0</v>
      </c>
      <c r="U35" s="20" t="b">
        <f>U2</f>
        <v>0</v>
      </c>
      <c r="V35" s="17"/>
      <c r="W35" s="17"/>
      <c r="X35" s="20"/>
      <c r="Y35" s="17" t="b">
        <f>Y2</f>
        <v>1</v>
      </c>
      <c r="Z35" t="b">
        <f>AND(Table32[[#This Row],[Immune Support]:[12-36 Mnths]],Table32[[#This Row],[Kosher/Halal]:[Organic]],OR(Table32[[#This Row],[Powder]:[Con Liq]]))</f>
        <v>0</v>
      </c>
      <c r="AA35" s="11" t="s">
        <v>1604</v>
      </c>
    </row>
    <row r="36" spans="1:27">
      <c r="A36" t="b">
        <f>IF(Table32[[#This Row],[Column8]],Table32[[#This Row],[Products2]])</f>
        <v>0</v>
      </c>
      <c r="B36" s="17" t="b">
        <f>B3</f>
        <v>1</v>
      </c>
      <c r="C36" s="20"/>
      <c r="D36" s="17" t="b">
        <f t="shared" ref="D36:I36" si="22">D2</f>
        <v>1</v>
      </c>
      <c r="E36" s="20"/>
      <c r="F36" s="20" t="b">
        <f t="shared" si="22"/>
        <v>0</v>
      </c>
      <c r="G36" s="20"/>
      <c r="H36" s="17" t="b">
        <f t="shared" si="22"/>
        <v>1</v>
      </c>
      <c r="I36" s="17" t="b">
        <f t="shared" si="22"/>
        <v>1</v>
      </c>
      <c r="J36" s="17"/>
      <c r="K36" s="17" t="b">
        <f>K5</f>
        <v>1</v>
      </c>
      <c r="L36" s="20"/>
      <c r="M36" s="17" t="b">
        <f t="shared" ref="M36:R36" si="23">M2</f>
        <v>1</v>
      </c>
      <c r="N36" s="17" t="b">
        <f t="shared" si="23"/>
        <v>1</v>
      </c>
      <c r="O36" s="17" t="b">
        <f t="shared" si="23"/>
        <v>1</v>
      </c>
      <c r="P36" s="17" t="b">
        <f t="shared" si="23"/>
        <v>1</v>
      </c>
      <c r="Q36" s="17" t="b">
        <f t="shared" si="23"/>
        <v>1</v>
      </c>
      <c r="R36" s="20" t="b">
        <f t="shared" si="23"/>
        <v>0</v>
      </c>
      <c r="S36" s="17"/>
      <c r="T36" s="17"/>
      <c r="U36" s="20" t="b">
        <f>U2</f>
        <v>0</v>
      </c>
      <c r="V36" s="17"/>
      <c r="W36" s="17"/>
      <c r="X36" s="20"/>
      <c r="Y36" s="20"/>
      <c r="Z36" t="b">
        <f>AND(Table32[[#This Row],[Immune Support]:[12-36 Mnths]],Table32[[#This Row],[Kosher/Halal]:[Organic]],OR(Table32[[#This Row],[Powder]:[Con Liq]]))</f>
        <v>0</v>
      </c>
      <c r="AA36" s="29" t="s">
        <v>1605</v>
      </c>
    </row>
    <row r="37" spans="1:27">
      <c r="A37" t="b">
        <f>IF(Table32[[#This Row],[Column8]],Table32[[#This Row],[Products2]])</f>
        <v>0</v>
      </c>
      <c r="B37" s="17" t="b">
        <f>B3</f>
        <v>1</v>
      </c>
      <c r="C37" s="20"/>
      <c r="D37" s="17" t="b">
        <f>D2</f>
        <v>1</v>
      </c>
      <c r="E37" s="20"/>
      <c r="F37" s="17"/>
      <c r="G37" s="17" t="b">
        <f>G10</f>
        <v>1</v>
      </c>
      <c r="H37" s="17" t="b">
        <f>H2</f>
        <v>1</v>
      </c>
      <c r="I37" s="17" t="b">
        <f>I2</f>
        <v>1</v>
      </c>
      <c r="J37" s="20" t="b">
        <f>J10</f>
        <v>0</v>
      </c>
      <c r="K37" s="17" t="b">
        <f>K5</f>
        <v>1</v>
      </c>
      <c r="L37" s="20"/>
      <c r="M37" s="17" t="b">
        <f t="shared" ref="M37:R37" si="24">M2</f>
        <v>1</v>
      </c>
      <c r="N37" s="17" t="b">
        <f t="shared" si="24"/>
        <v>1</v>
      </c>
      <c r="O37" s="17" t="b">
        <f t="shared" si="24"/>
        <v>1</v>
      </c>
      <c r="P37" s="17" t="b">
        <f t="shared" si="24"/>
        <v>1</v>
      </c>
      <c r="Q37" s="17" t="b">
        <f t="shared" si="24"/>
        <v>1</v>
      </c>
      <c r="R37" s="20" t="b">
        <f t="shared" si="24"/>
        <v>0</v>
      </c>
      <c r="S37" s="17"/>
      <c r="T37" s="17"/>
      <c r="U37" s="20" t="b">
        <f>U2</f>
        <v>0</v>
      </c>
      <c r="V37" s="17"/>
      <c r="W37" s="17"/>
      <c r="X37" s="20"/>
      <c r="Y37" s="17" t="b">
        <f>Y2</f>
        <v>1</v>
      </c>
      <c r="Z37" t="b">
        <f>AND(Table32[[#This Row],[Immune Support]:[12-36 Mnths]],Table32[[#This Row],[Kosher/Halal]:[Organic]],OR(Table32[[#This Row],[Powder]:[Con Liq]]))</f>
        <v>0</v>
      </c>
      <c r="AA37" s="29" t="s">
        <v>1606</v>
      </c>
    </row>
    <row r="38" spans="1:27">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16"/>
    </row>
    <row r="39" spans="1:27">
      <c r="A39" t="e">
        <f>IF(Table32[[#This Row],[Column8]],Table32[[#This Row],[Products2]])</f>
        <v>#VALUE!</v>
      </c>
      <c r="Z39" t="e">
        <f>AND(Table32[[#This Row],[Immune Support]:[12-36 Mnths]],Table32[[#This Row],[Kosher/Halal]:[Organic]],OR(Table32[[#This Row],[Powder]:[Con Liq]]))</f>
        <v>#VALUE!</v>
      </c>
    </row>
    <row r="40" spans="1:27">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B30" sqref="B30"/>
    </sheetView>
  </sheetViews>
  <sheetFormatPr defaultRowHeight="15"/>
  <cols>
    <col min="1" max="1" width="52.5703125" customWidth="1"/>
  </cols>
  <sheetData>
    <row r="1" spans="1:3" ht="15.75" thickTop="1">
      <c r="A1" s="3" t="s">
        <v>15</v>
      </c>
      <c r="B1" s="7" t="s">
        <v>18</v>
      </c>
    </row>
    <row r="2" spans="1:3" ht="15.75" thickBot="1">
      <c r="B2" s="4"/>
    </row>
    <row r="3" spans="1:3" ht="15.75" thickBot="1">
      <c r="A3" s="161" t="s">
        <v>1526</v>
      </c>
      <c r="B3" s="181" t="b">
        <v>0</v>
      </c>
      <c r="C3" t="b">
        <f>NOT(B3)</f>
        <v>1</v>
      </c>
    </row>
    <row r="4" spans="1:3" ht="15.75" thickBot="1">
      <c r="A4" s="161" t="s">
        <v>1527</v>
      </c>
      <c r="B4" s="181" t="b">
        <v>0</v>
      </c>
      <c r="C4" t="b">
        <f>NOT(B4)</f>
        <v>1</v>
      </c>
    </row>
    <row r="5" spans="1:3" ht="15.75" thickBot="1">
      <c r="A5" s="158" t="s">
        <v>1656</v>
      </c>
      <c r="B5" s="182" t="b">
        <v>0</v>
      </c>
      <c r="C5" t="b">
        <f t="shared" ref="C5:C6" si="0">NOT(B5)</f>
        <v>1</v>
      </c>
    </row>
    <row r="6" spans="1:3" ht="15.75" thickBot="1">
      <c r="A6" s="158" t="s">
        <v>1657</v>
      </c>
      <c r="B6" s="182" t="b">
        <v>0</v>
      </c>
      <c r="C6" t="b">
        <f t="shared" si="0"/>
        <v>1</v>
      </c>
    </row>
    <row r="7" spans="1:3" ht="15.75" thickBot="1">
      <c r="A7" s="158" t="s">
        <v>1645</v>
      </c>
      <c r="B7" s="182" t="b">
        <v>0</v>
      </c>
      <c r="C7" t="b">
        <f>NOT(B7)</f>
        <v>1</v>
      </c>
    </row>
    <row r="8" spans="1:3" ht="15.75" thickBot="1">
      <c r="A8" s="158" t="s">
        <v>1655</v>
      </c>
      <c r="B8" s="182" t="b">
        <v>0</v>
      </c>
      <c r="C8" t="b">
        <f>NOT(B8)</f>
        <v>1</v>
      </c>
    </row>
    <row r="9" spans="1:3" ht="15.75" thickBot="1">
      <c r="A9" s="1" t="s">
        <v>1528</v>
      </c>
      <c r="B9" s="33" t="b">
        <v>0</v>
      </c>
      <c r="C9" t="b">
        <f t="shared" ref="C9:C24" si="1">NOT(B9)</f>
        <v>1</v>
      </c>
    </row>
    <row r="10" spans="1:3" ht="15.75" thickBot="1">
      <c r="A10" s="1" t="s">
        <v>1529</v>
      </c>
      <c r="B10" s="33" t="b">
        <v>0</v>
      </c>
      <c r="C10" t="b">
        <f t="shared" si="1"/>
        <v>1</v>
      </c>
    </row>
    <row r="11" spans="1:3" ht="15.75" thickBot="1">
      <c r="A11" s="177" t="s">
        <v>1532</v>
      </c>
      <c r="B11" s="218" t="b">
        <v>0</v>
      </c>
      <c r="C11" t="b">
        <f t="shared" si="1"/>
        <v>1</v>
      </c>
    </row>
    <row r="12" spans="1:3" ht="15.75" thickBot="1">
      <c r="A12" s="1" t="s">
        <v>1649</v>
      </c>
      <c r="B12" s="33" t="b">
        <v>0</v>
      </c>
      <c r="C12" t="b">
        <f t="shared" si="1"/>
        <v>1</v>
      </c>
    </row>
    <row r="13" spans="1:3" ht="15.75" thickBot="1">
      <c r="A13" s="1" t="s">
        <v>1530</v>
      </c>
      <c r="B13" s="33" t="b">
        <v>0</v>
      </c>
      <c r="C13" t="b">
        <f t="shared" si="1"/>
        <v>1</v>
      </c>
    </row>
    <row r="14" spans="1:3" ht="15.75" thickBot="1">
      <c r="A14" s="1" t="s">
        <v>1531</v>
      </c>
      <c r="B14" s="33" t="b">
        <v>0</v>
      </c>
      <c r="C14" t="b">
        <f t="shared" si="1"/>
        <v>1</v>
      </c>
    </row>
    <row r="15" spans="1:3" ht="15.75" thickBot="1">
      <c r="A15" s="177" t="s">
        <v>1533</v>
      </c>
      <c r="B15" s="218" t="b">
        <v>0</v>
      </c>
      <c r="C15" t="b">
        <f t="shared" si="1"/>
        <v>1</v>
      </c>
    </row>
    <row r="16" spans="1:3" ht="15.75" thickBot="1">
      <c r="A16" s="177" t="s">
        <v>1534</v>
      </c>
      <c r="B16" s="218" t="b">
        <v>0</v>
      </c>
      <c r="C16" t="b">
        <f t="shared" si="1"/>
        <v>1</v>
      </c>
    </row>
    <row r="17" spans="1:3" ht="15.75" thickBot="1">
      <c r="A17" s="55" t="s">
        <v>1535</v>
      </c>
      <c r="B17" s="147" t="b">
        <v>0</v>
      </c>
      <c r="C17" t="b">
        <f t="shared" si="1"/>
        <v>1</v>
      </c>
    </row>
    <row r="18" spans="1:3" ht="15.75" thickBot="1">
      <c r="A18" s="55" t="s">
        <v>1536</v>
      </c>
      <c r="B18" s="147" t="b">
        <v>0</v>
      </c>
      <c r="C18" t="b">
        <f t="shared" si="1"/>
        <v>1</v>
      </c>
    </row>
    <row r="19" spans="1:3" ht="15.75" thickBot="1">
      <c r="A19" s="177" t="s">
        <v>1537</v>
      </c>
      <c r="B19" s="218" t="b">
        <v>0</v>
      </c>
      <c r="C19" t="b">
        <f t="shared" si="1"/>
        <v>1</v>
      </c>
    </row>
    <row r="20" spans="1:3" ht="15.75" thickBot="1">
      <c r="A20" s="1" t="s">
        <v>1538</v>
      </c>
      <c r="B20" s="33" t="b">
        <v>0</v>
      </c>
      <c r="C20" t="b">
        <f t="shared" si="1"/>
        <v>1</v>
      </c>
    </row>
    <row r="21" spans="1:3" ht="15.75" thickBot="1">
      <c r="A21" s="1" t="s">
        <v>1539</v>
      </c>
      <c r="B21" s="33" t="b">
        <v>0</v>
      </c>
      <c r="C21" t="b">
        <f t="shared" si="1"/>
        <v>1</v>
      </c>
    </row>
    <row r="22" spans="1:3" ht="15.75" thickBot="1">
      <c r="A22" s="55" t="s">
        <v>1540</v>
      </c>
      <c r="B22" s="147" t="b">
        <v>0</v>
      </c>
      <c r="C22" t="b">
        <f t="shared" si="1"/>
        <v>1</v>
      </c>
    </row>
    <row r="23" spans="1:3" ht="15.75" thickBot="1">
      <c r="A23" s="55" t="s">
        <v>1541</v>
      </c>
      <c r="B23" s="147" t="b">
        <v>0</v>
      </c>
      <c r="C23" t="b">
        <f>NOT(B23)</f>
        <v>1</v>
      </c>
    </row>
    <row r="24" spans="1:3" ht="15.75" thickBot="1">
      <c r="A24" s="55" t="s">
        <v>1542</v>
      </c>
      <c r="B24" s="147" t="b">
        <v>0</v>
      </c>
      <c r="C24" t="b">
        <f t="shared" si="1"/>
        <v>1</v>
      </c>
    </row>
    <row r="25" spans="1:3" ht="15.75" thickBot="1">
      <c r="A25" s="170" t="s">
        <v>1545</v>
      </c>
      <c r="B25" s="180" t="b">
        <v>0</v>
      </c>
      <c r="C25" t="b">
        <f>NOT(B25)</f>
        <v>1</v>
      </c>
    </row>
    <row r="26" spans="1:3" ht="15.75" thickBot="1">
      <c r="A26" s="170" t="s">
        <v>1546</v>
      </c>
      <c r="B26" s="180" t="b">
        <v>0</v>
      </c>
      <c r="C26" t="b">
        <f t="shared" ref="C26:C30" si="2">NOT(B26)</f>
        <v>1</v>
      </c>
    </row>
    <row r="27" spans="1:3" ht="15.75" thickBot="1">
      <c r="A27" s="170" t="s">
        <v>1543</v>
      </c>
      <c r="B27" s="180" t="b">
        <v>0</v>
      </c>
      <c r="C27" t="b">
        <f t="shared" si="2"/>
        <v>1</v>
      </c>
    </row>
    <row r="28" spans="1:3" ht="15.75" thickBot="1">
      <c r="A28" s="170" t="s">
        <v>1544</v>
      </c>
      <c r="B28" s="180" t="b">
        <v>0</v>
      </c>
      <c r="C28" t="b">
        <f t="shared" si="2"/>
        <v>1</v>
      </c>
    </row>
    <row r="29" spans="1:3" ht="15.75" thickBot="1">
      <c r="A29" s="1" t="s">
        <v>1547</v>
      </c>
      <c r="B29" s="33" t="b">
        <v>0</v>
      </c>
      <c r="C29" t="b">
        <f t="shared" si="2"/>
        <v>1</v>
      </c>
    </row>
    <row r="30" spans="1:3" ht="15.75" thickBot="1">
      <c r="A30" s="1" t="s">
        <v>1627</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39"/>
  <sheetViews>
    <sheetView topLeftCell="G1" workbookViewId="0">
      <selection activeCell="AC2" sqref="AC2"/>
    </sheetView>
  </sheetViews>
  <sheetFormatPr defaultRowHeight="15"/>
  <cols>
    <col min="1" max="1" width="37" customWidth="1"/>
    <col min="2" max="30" width="11" customWidth="1"/>
    <col min="31" max="31" width="45.140625" customWidth="1"/>
  </cols>
  <sheetData>
    <row r="1" spans="1:31" ht="14.25" customHeight="1">
      <c r="A1" s="70" t="s">
        <v>1212</v>
      </c>
      <c r="B1" t="s">
        <v>1485</v>
      </c>
      <c r="C1" t="s">
        <v>1658</v>
      </c>
      <c r="D1" t="s">
        <v>1499</v>
      </c>
      <c r="E1" t="s">
        <v>1500</v>
      </c>
      <c r="F1" t="s">
        <v>906</v>
      </c>
      <c r="G1" t="s">
        <v>1516</v>
      </c>
      <c r="H1" t="s">
        <v>1489</v>
      </c>
      <c r="I1" t="s">
        <v>1497</v>
      </c>
      <c r="J1" t="s">
        <v>1475</v>
      </c>
      <c r="K1" t="s">
        <v>518</v>
      </c>
      <c r="L1" t="s">
        <v>1476</v>
      </c>
      <c r="M1" t="s">
        <v>1495</v>
      </c>
      <c r="N1" t="s">
        <v>1481</v>
      </c>
      <c r="O1" t="s">
        <v>1482</v>
      </c>
      <c r="P1" t="s">
        <v>1483</v>
      </c>
      <c r="Q1" t="s">
        <v>1574</v>
      </c>
      <c r="R1" t="s">
        <v>1486</v>
      </c>
      <c r="S1" t="s">
        <v>1487</v>
      </c>
      <c r="T1" t="s">
        <v>1524</v>
      </c>
      <c r="U1" t="s">
        <v>1491</v>
      </c>
      <c r="V1" t="s">
        <v>1503</v>
      </c>
      <c r="W1" t="s">
        <v>1492</v>
      </c>
      <c r="X1" t="s">
        <v>1646</v>
      </c>
      <c r="Y1" t="s">
        <v>1562</v>
      </c>
      <c r="Z1" t="s">
        <v>1647</v>
      </c>
      <c r="AA1" t="s">
        <v>1648</v>
      </c>
      <c r="AB1" t="s">
        <v>1623</v>
      </c>
      <c r="AC1" t="s">
        <v>1650</v>
      </c>
      <c r="AD1" t="s">
        <v>1075</v>
      </c>
      <c r="AE1" t="s">
        <v>1477</v>
      </c>
    </row>
    <row r="2" spans="1:31">
      <c r="A2" t="b">
        <f>IF(Table30[[#This Row],[Column7]],Table30[[#This Row],[Product2]])</f>
        <v>0</v>
      </c>
      <c r="B2" s="20"/>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c r="O2" s="20"/>
      <c r="P2" s="20"/>
      <c r="Q2" s="20"/>
      <c r="R2" s="20"/>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8" t="s">
        <v>1480</v>
      </c>
    </row>
    <row r="3" spans="1:31">
      <c r="A3" t="b">
        <f>IF(Table30[[#This Row],[Column7]],Table30[[#This Row],[Product2]])</f>
        <v>0</v>
      </c>
      <c r="B3" s="20"/>
      <c r="C3" s="20" t="b">
        <f>C2</f>
        <v>0</v>
      </c>
      <c r="D3" s="17"/>
      <c r="E3" s="17"/>
      <c r="F3" s="17"/>
      <c r="G3" s="17"/>
      <c r="H3" s="20" t="b">
        <f>H2</f>
        <v>0</v>
      </c>
      <c r="I3" s="17" t="b">
        <f>I2</f>
        <v>1</v>
      </c>
      <c r="J3" s="17" t="b">
        <f>J2</f>
        <v>1</v>
      </c>
      <c r="K3" s="17" t="b">
        <f>K2</f>
        <v>1</v>
      </c>
      <c r="L3" s="20"/>
      <c r="M3" s="17" t="b">
        <f>M2</f>
        <v>1</v>
      </c>
      <c r="N3" s="20"/>
      <c r="O3" s="20"/>
      <c r="P3" s="20"/>
      <c r="Q3" s="20"/>
      <c r="R3" s="17" t="b">
        <f>AND('Meal Replacement Criteria'!C20)</f>
        <v>1</v>
      </c>
      <c r="S3" s="20"/>
      <c r="T3" s="17" t="b">
        <f>T2</f>
        <v>1</v>
      </c>
      <c r="U3" s="17" t="b">
        <f>U2</f>
        <v>1</v>
      </c>
      <c r="V3" s="17" t="b">
        <f>V2</f>
        <v>1</v>
      </c>
      <c r="W3" s="17" t="b">
        <f>W2</f>
        <v>1</v>
      </c>
      <c r="X3" s="20" t="b">
        <f>X2</f>
        <v>0</v>
      </c>
      <c r="Y3" s="17"/>
      <c r="Z3" s="17"/>
      <c r="AA3" s="17"/>
      <c r="AB3" s="17" t="b">
        <f>AB2</f>
        <v>1</v>
      </c>
      <c r="AC3" s="17" t="b">
        <f>AC2</f>
        <v>1</v>
      </c>
      <c r="AD3" t="b">
        <f>AND(Table30[[#This Row],[Flavours]:[Soothe]])</f>
        <v>0</v>
      </c>
      <c r="AE3" s="28" t="s">
        <v>1484</v>
      </c>
    </row>
    <row r="4" spans="1:31">
      <c r="A4" t="b">
        <f>IF(Table30[[#This Row],[Column7]],Table30[[#This Row],[Product2]])</f>
        <v>0</v>
      </c>
      <c r="B4" s="20"/>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c r="O4" s="20"/>
      <c r="P4" s="20"/>
      <c r="Q4" s="20"/>
      <c r="R4" s="20"/>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8" t="s">
        <v>1488</v>
      </c>
    </row>
    <row r="5" spans="1:31">
      <c r="A5" t="b">
        <f>IF(Table30[[#This Row],[Column7]],Table30[[#This Row],[Product2]])</f>
        <v>0</v>
      </c>
      <c r="B5" s="17" t="b">
        <f>AND('Meal Replacement Criteria'!C9)</f>
        <v>1</v>
      </c>
      <c r="C5" s="20" t="b">
        <f>C2</f>
        <v>0</v>
      </c>
      <c r="D5" s="17"/>
      <c r="E5" s="17"/>
      <c r="F5" s="17"/>
      <c r="G5" s="17"/>
      <c r="H5" s="20" t="b">
        <f t="shared" ref="H5:M5" si="1">H2</f>
        <v>0</v>
      </c>
      <c r="I5" s="17" t="b">
        <f t="shared" si="1"/>
        <v>1</v>
      </c>
      <c r="J5" s="17" t="b">
        <f t="shared" si="1"/>
        <v>1</v>
      </c>
      <c r="K5" s="17" t="b">
        <f t="shared" si="1"/>
        <v>1</v>
      </c>
      <c r="L5" s="17" t="b">
        <f t="shared" si="1"/>
        <v>1</v>
      </c>
      <c r="M5" s="17" t="b">
        <f t="shared" si="1"/>
        <v>1</v>
      </c>
      <c r="N5" s="20"/>
      <c r="O5" s="17" t="b">
        <f>AND('Meal Replacement Criteria'!C17)</f>
        <v>1</v>
      </c>
      <c r="P5" s="17" t="b">
        <f>AND('Meal Replacement Criteria'!C18)</f>
        <v>1</v>
      </c>
      <c r="Q5" s="20"/>
      <c r="R5" s="17" t="b">
        <f>R3</f>
        <v>1</v>
      </c>
      <c r="S5" s="17" t="b">
        <f>S2</f>
        <v>1</v>
      </c>
      <c r="T5" s="17" t="b">
        <f>T2</f>
        <v>1</v>
      </c>
      <c r="U5" s="20"/>
      <c r="V5" s="17" t="b">
        <f>V2</f>
        <v>1</v>
      </c>
      <c r="W5" s="67"/>
      <c r="X5" s="67" t="b">
        <f>X2</f>
        <v>0</v>
      </c>
      <c r="Y5" s="19"/>
      <c r="Z5" s="19"/>
      <c r="AA5" s="19"/>
      <c r="AB5" s="207" t="b">
        <f>AB2</f>
        <v>1</v>
      </c>
      <c r="AC5" s="207" t="b">
        <f>AC2</f>
        <v>1</v>
      </c>
      <c r="AD5" t="b">
        <f>AND(Table30[[#This Row],[Flavours]:[Soothe]])</f>
        <v>0</v>
      </c>
      <c r="AE5" s="28" t="s">
        <v>1490</v>
      </c>
    </row>
    <row r="6" spans="1:31">
      <c r="A6" t="b">
        <f>IF(Table30[[#This Row],[Column7]],Table30[[#This Row],[Product2]])</f>
        <v>0</v>
      </c>
      <c r="B6" s="20"/>
      <c r="C6" s="20" t="b">
        <f>C2</f>
        <v>0</v>
      </c>
      <c r="D6" s="17"/>
      <c r="E6" s="17"/>
      <c r="F6" s="17"/>
      <c r="G6" s="17"/>
      <c r="H6" s="20" t="b">
        <f>H2</f>
        <v>0</v>
      </c>
      <c r="I6" s="17" t="b">
        <f>I2</f>
        <v>1</v>
      </c>
      <c r="J6" s="20"/>
      <c r="K6" s="17" t="b">
        <f>K2</f>
        <v>1</v>
      </c>
      <c r="L6" s="17" t="b">
        <f>L2</f>
        <v>1</v>
      </c>
      <c r="M6" s="17" t="b">
        <f>M2</f>
        <v>1</v>
      </c>
      <c r="N6" s="20"/>
      <c r="O6" s="20"/>
      <c r="P6" s="17" t="b">
        <f>P5</f>
        <v>1</v>
      </c>
      <c r="Q6" s="20"/>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8" t="s">
        <v>1493</v>
      </c>
    </row>
    <row r="7" spans="1:31">
      <c r="A7" t="b">
        <f>IF(Table30[[#This Row],[Column7]],Table30[[#This Row],[Product2]])</f>
        <v>0</v>
      </c>
      <c r="B7" s="20"/>
      <c r="C7" s="20" t="b">
        <f>C2</f>
        <v>0</v>
      </c>
      <c r="D7" s="17"/>
      <c r="E7" s="17"/>
      <c r="F7" s="17"/>
      <c r="G7" s="17"/>
      <c r="H7" s="20" t="b">
        <f>H2</f>
        <v>0</v>
      </c>
      <c r="I7" s="17" t="b">
        <f>I2</f>
        <v>1</v>
      </c>
      <c r="J7" s="17" t="b">
        <f>J2</f>
        <v>1</v>
      </c>
      <c r="K7" s="17" t="b">
        <f>K2</f>
        <v>1</v>
      </c>
      <c r="L7" s="20"/>
      <c r="M7" s="20" t="b">
        <f>OR('Meal Replacement Criteria'!B15:C15)</f>
        <v>1</v>
      </c>
      <c r="N7" s="20"/>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8" t="s">
        <v>1494</v>
      </c>
    </row>
    <row r="8" spans="1:31">
      <c r="A8" t="b">
        <f>IF(Table30[[#This Row],[Column7]],Table30[[#This Row],[Product2]])</f>
        <v>0</v>
      </c>
      <c r="B8" s="17" t="b">
        <f>B5</f>
        <v>1</v>
      </c>
      <c r="C8" s="20" t="b">
        <f>C2</f>
        <v>0</v>
      </c>
      <c r="D8" s="17"/>
      <c r="E8" s="17"/>
      <c r="F8" s="17"/>
      <c r="G8" s="17"/>
      <c r="H8" s="20" t="b">
        <f>H2</f>
        <v>0</v>
      </c>
      <c r="I8" s="20"/>
      <c r="J8" s="17" t="b">
        <f>J2</f>
        <v>1</v>
      </c>
      <c r="K8" s="17" t="b">
        <f>K2</f>
        <v>1</v>
      </c>
      <c r="L8" s="20"/>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8" t="s">
        <v>1496</v>
      </c>
    </row>
    <row r="9" spans="1:31">
      <c r="A9" t="b">
        <f>IF(Table30[[#This Row],[Column7]],Table30[[#This Row],[Product2]])</f>
        <v>0</v>
      </c>
      <c r="B9" s="20"/>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8" t="s">
        <v>1498</v>
      </c>
    </row>
    <row r="10" spans="1:31">
      <c r="A10" t="b">
        <f>IF(Table30[[#This Row],[Column7]],Table30[[#This Row],[Product2]])</f>
        <v>0</v>
      </c>
      <c r="B10" s="17" t="b">
        <f>B5</f>
        <v>1</v>
      </c>
      <c r="C10" s="17"/>
      <c r="D10" s="17"/>
      <c r="E10" s="20" t="b">
        <f>AND('Meal Replacement Criteria'!B5,'Meal Replacement Criteria'!C6:C8)</f>
        <v>0</v>
      </c>
      <c r="F10" s="17"/>
      <c r="G10" s="17"/>
      <c r="H10" s="20" t="b">
        <f t="shared" ref="H10:M10" si="7">H2</f>
        <v>0</v>
      </c>
      <c r="I10" s="17" t="b">
        <f t="shared" si="7"/>
        <v>1</v>
      </c>
      <c r="J10" s="17" t="b">
        <f t="shared" si="7"/>
        <v>1</v>
      </c>
      <c r="K10" s="17" t="b">
        <f t="shared" si="7"/>
        <v>1</v>
      </c>
      <c r="L10" s="17" t="b">
        <f t="shared" si="7"/>
        <v>1</v>
      </c>
      <c r="M10" s="17" t="b">
        <f t="shared" si="7"/>
        <v>1</v>
      </c>
      <c r="N10" s="20"/>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8" t="s">
        <v>1501</v>
      </c>
    </row>
    <row r="11" spans="1:31">
      <c r="A11" t="b">
        <f>IF(Table30[[#This Row],[Column7]],Table30[[#This Row],[Product2]])</f>
        <v>0</v>
      </c>
      <c r="B11" s="20"/>
      <c r="C11" s="20" t="b">
        <f>C2</f>
        <v>0</v>
      </c>
      <c r="D11" s="17"/>
      <c r="E11" s="17"/>
      <c r="F11" s="17"/>
      <c r="G11" s="17"/>
      <c r="H11" s="20" t="b">
        <f t="shared" ref="H11:M11" si="9">H2</f>
        <v>0</v>
      </c>
      <c r="I11" s="17" t="b">
        <f t="shared" si="9"/>
        <v>1</v>
      </c>
      <c r="J11" s="17" t="b">
        <f t="shared" si="9"/>
        <v>1</v>
      </c>
      <c r="K11" s="17" t="b">
        <f t="shared" si="9"/>
        <v>1</v>
      </c>
      <c r="L11" s="17" t="b">
        <f t="shared" si="9"/>
        <v>1</v>
      </c>
      <c r="M11" s="17" t="b">
        <f t="shared" si="9"/>
        <v>1</v>
      </c>
      <c r="N11" s="20"/>
      <c r="O11" s="17" t="b">
        <f>O5</f>
        <v>1</v>
      </c>
      <c r="P11" s="17" t="b">
        <f>P5</f>
        <v>1</v>
      </c>
      <c r="Q11" s="20"/>
      <c r="R11" s="17" t="b">
        <f>R3</f>
        <v>1</v>
      </c>
      <c r="S11" s="17" t="b">
        <f>S2</f>
        <v>1</v>
      </c>
      <c r="T11" s="17" t="b">
        <f>T2</f>
        <v>1</v>
      </c>
      <c r="U11" s="20"/>
      <c r="V11" s="20"/>
      <c r="W11" s="20"/>
      <c r="X11" s="20" t="b">
        <f>X2</f>
        <v>0</v>
      </c>
      <c r="Y11" s="17"/>
      <c r="Z11" s="17"/>
      <c r="AA11" s="17"/>
      <c r="AB11" s="20"/>
      <c r="AC11" s="17" t="b">
        <f>AC2</f>
        <v>1</v>
      </c>
      <c r="AD11" t="b">
        <f>AND(Table30[[#This Row],[Flavours]:[Soothe]])</f>
        <v>0</v>
      </c>
      <c r="AE11" s="28" t="s">
        <v>1502</v>
      </c>
    </row>
    <row r="12" spans="1:31">
      <c r="A12" t="b">
        <f>IF(Table30[[#This Row],[Column7]],Table30[[#This Row],[Product2]])</f>
        <v>0</v>
      </c>
      <c r="B12" s="20"/>
      <c r="C12" s="20" t="b">
        <f>C2</f>
        <v>0</v>
      </c>
      <c r="D12" s="17"/>
      <c r="E12" s="17"/>
      <c r="F12" s="17"/>
      <c r="G12" s="17"/>
      <c r="H12" s="20" t="b">
        <f>H2</f>
        <v>0</v>
      </c>
      <c r="I12" s="17" t="b">
        <f>I2</f>
        <v>1</v>
      </c>
      <c r="J12" s="20"/>
      <c r="K12" s="17" t="b">
        <f>K2</f>
        <v>1</v>
      </c>
      <c r="L12" s="20"/>
      <c r="M12" s="20" t="b">
        <f>M7</f>
        <v>1</v>
      </c>
      <c r="N12" s="20"/>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8" t="s">
        <v>1504</v>
      </c>
    </row>
    <row r="13" spans="1:31">
      <c r="A13" t="b">
        <f>IF(Table30[[#This Row],[Column7]],Table30[[#This Row],[Product2]])</f>
        <v>0</v>
      </c>
      <c r="B13" s="17" t="b">
        <f>B5</f>
        <v>1</v>
      </c>
      <c r="C13" s="20" t="b">
        <f>C2</f>
        <v>0</v>
      </c>
      <c r="D13" s="17"/>
      <c r="E13" s="17"/>
      <c r="F13" s="17"/>
      <c r="G13" s="17"/>
      <c r="H13" s="20" t="b">
        <f>H2</f>
        <v>0</v>
      </c>
      <c r="I13" s="17" t="b">
        <f>I2</f>
        <v>1</v>
      </c>
      <c r="J13" s="17" t="b">
        <f>J2</f>
        <v>1</v>
      </c>
      <c r="K13" s="17" t="b">
        <f>K2</f>
        <v>1</v>
      </c>
      <c r="L13" s="20"/>
      <c r="M13" s="17" t="b">
        <f>M2</f>
        <v>1</v>
      </c>
      <c r="N13" s="17" t="b">
        <f>N8</f>
        <v>1</v>
      </c>
      <c r="O13" s="17" t="b">
        <f>O5</f>
        <v>1</v>
      </c>
      <c r="P13" s="17" t="b">
        <f>P5</f>
        <v>1</v>
      </c>
      <c r="Q13" s="17" t="b">
        <f>Q7</f>
        <v>1</v>
      </c>
      <c r="R13" s="17" t="b">
        <f>R3</f>
        <v>1</v>
      </c>
      <c r="S13" s="20"/>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8" t="s">
        <v>1505</v>
      </c>
    </row>
    <row r="14" spans="1:31">
      <c r="A14" t="b">
        <f>IF(Table30[[#This Row],[Column7]],Table30[[#This Row],[Product2]])</f>
        <v>0</v>
      </c>
      <c r="B14" s="20"/>
      <c r="C14" s="20" t="b">
        <f>C2</f>
        <v>0</v>
      </c>
      <c r="D14" s="17"/>
      <c r="E14" s="17"/>
      <c r="F14" s="17"/>
      <c r="G14" s="17"/>
      <c r="H14" s="20" t="b">
        <f t="shared" ref="H14:M14" si="11">H2</f>
        <v>0</v>
      </c>
      <c r="I14" s="17" t="b">
        <f t="shared" si="11"/>
        <v>1</v>
      </c>
      <c r="J14" s="17" t="b">
        <f t="shared" si="11"/>
        <v>1</v>
      </c>
      <c r="K14" s="17" t="b">
        <f t="shared" si="11"/>
        <v>1</v>
      </c>
      <c r="L14" s="17" t="b">
        <f t="shared" si="11"/>
        <v>1</v>
      </c>
      <c r="M14" s="17" t="b">
        <f t="shared" si="11"/>
        <v>1</v>
      </c>
      <c r="N14" s="20"/>
      <c r="O14" s="17" t="b">
        <f>O5</f>
        <v>1</v>
      </c>
      <c r="P14" s="17" t="b">
        <f>P5</f>
        <v>1</v>
      </c>
      <c r="Q14" s="20"/>
      <c r="R14" s="17" t="b">
        <f>R3</f>
        <v>1</v>
      </c>
      <c r="S14" s="17" t="b">
        <f>S2</f>
        <v>1</v>
      </c>
      <c r="T14" s="17" t="b">
        <f>T2</f>
        <v>1</v>
      </c>
      <c r="U14" s="20"/>
      <c r="V14" s="17" t="b">
        <f>V2</f>
        <v>1</v>
      </c>
      <c r="W14" s="20"/>
      <c r="X14" s="17"/>
      <c r="Y14" s="17"/>
      <c r="Z14" s="17"/>
      <c r="AA14" s="20" t="b">
        <f>AND('Meal Replacement Criteria'!B28,'Meal Replacement Criteria'!C25:C27)</f>
        <v>0</v>
      </c>
      <c r="AB14" s="17" t="b">
        <f>AB2</f>
        <v>1</v>
      </c>
      <c r="AC14" s="17" t="b">
        <f>AC2</f>
        <v>1</v>
      </c>
      <c r="AD14" t="b">
        <f>AND(Table30[[#This Row],[Flavours]:[Soothe]])</f>
        <v>0</v>
      </c>
      <c r="AE14" s="28" t="s">
        <v>1506</v>
      </c>
    </row>
    <row r="15" spans="1:31">
      <c r="A15" t="b">
        <f>IF(Table30[[#This Row],[Column7]],Table30[[#This Row],[Product2]])</f>
        <v>0</v>
      </c>
      <c r="B15" s="20"/>
      <c r="C15" s="20" t="b">
        <f>C2</f>
        <v>0</v>
      </c>
      <c r="D15" s="17"/>
      <c r="E15" s="17"/>
      <c r="F15" s="17"/>
      <c r="G15" s="17"/>
      <c r="H15" s="20" t="b">
        <f t="shared" ref="H15:M15" si="12">H2</f>
        <v>0</v>
      </c>
      <c r="I15" s="17" t="b">
        <f t="shared" si="12"/>
        <v>1</v>
      </c>
      <c r="J15" s="17" t="b">
        <f t="shared" si="12"/>
        <v>1</v>
      </c>
      <c r="K15" s="17" t="b">
        <f t="shared" si="12"/>
        <v>1</v>
      </c>
      <c r="L15" s="17" t="b">
        <f t="shared" si="12"/>
        <v>1</v>
      </c>
      <c r="M15" s="17" t="b">
        <f t="shared" si="12"/>
        <v>1</v>
      </c>
      <c r="N15" s="20"/>
      <c r="O15" s="17" t="b">
        <f>O5</f>
        <v>1</v>
      </c>
      <c r="P15" s="17" t="b">
        <f>P5</f>
        <v>1</v>
      </c>
      <c r="Q15" s="20"/>
      <c r="R15" s="17" t="b">
        <f>R3</f>
        <v>1</v>
      </c>
      <c r="S15" s="17" t="b">
        <f>S2</f>
        <v>1</v>
      </c>
      <c r="T15" s="17" t="b">
        <f>T2</f>
        <v>1</v>
      </c>
      <c r="U15" s="20"/>
      <c r="V15" s="17" t="b">
        <f>V2</f>
        <v>1</v>
      </c>
      <c r="W15" s="17" t="b">
        <f>W2</f>
        <v>1</v>
      </c>
      <c r="X15" s="20" t="b">
        <f>X2</f>
        <v>0</v>
      </c>
      <c r="Y15" s="17"/>
      <c r="Z15" s="17"/>
      <c r="AA15" s="17"/>
      <c r="AB15" s="20"/>
      <c r="AC15" s="20"/>
      <c r="AD15" t="b">
        <f>AND(Table30[[#This Row],[Flavours]:[Soothe]])</f>
        <v>0</v>
      </c>
      <c r="AE15" s="28" t="s">
        <v>1507</v>
      </c>
    </row>
    <row r="16" spans="1:31">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16"/>
    </row>
    <row r="17" spans="1:31">
      <c r="A17" t="b">
        <f>IF(Table30[[#This Row],[Column7]],Table30[[#This Row],[Product2]])</f>
        <v>0</v>
      </c>
      <c r="B17" s="20"/>
      <c r="C17" s="20" t="b">
        <f>C2</f>
        <v>0</v>
      </c>
      <c r="D17" s="17"/>
      <c r="E17" s="17"/>
      <c r="F17" s="17"/>
      <c r="G17" s="17"/>
      <c r="H17" s="20" t="b">
        <f>H2</f>
        <v>0</v>
      </c>
      <c r="I17" s="17" t="b">
        <f>I2</f>
        <v>1</v>
      </c>
      <c r="J17" s="17" t="b">
        <f>J2</f>
        <v>1</v>
      </c>
      <c r="K17" s="17" t="b">
        <f>K2</f>
        <v>1</v>
      </c>
      <c r="L17" s="20"/>
      <c r="M17" s="17" t="b">
        <f>M2</f>
        <v>1</v>
      </c>
      <c r="N17" s="20"/>
      <c r="O17" s="17" t="b">
        <f>O5</f>
        <v>1</v>
      </c>
      <c r="P17" s="17" t="b">
        <f>P5</f>
        <v>1</v>
      </c>
      <c r="Q17" s="20"/>
      <c r="R17" s="17" t="b">
        <f>R3</f>
        <v>1</v>
      </c>
      <c r="S17" s="17" t="b">
        <f>S2</f>
        <v>1</v>
      </c>
      <c r="T17" s="17" t="b">
        <f>T2</f>
        <v>1</v>
      </c>
      <c r="U17" s="20"/>
      <c r="V17" s="17" t="b">
        <f>V2</f>
        <v>1</v>
      </c>
      <c r="W17" s="17" t="b">
        <f>W2</f>
        <v>1</v>
      </c>
      <c r="X17" s="20" t="b">
        <f>X2</f>
        <v>0</v>
      </c>
      <c r="Y17" s="17"/>
      <c r="Z17" s="17"/>
      <c r="AA17" s="17"/>
      <c r="AB17" s="17" t="b">
        <f>AB2</f>
        <v>1</v>
      </c>
      <c r="AC17" s="17" t="b">
        <f>AC2</f>
        <v>1</v>
      </c>
      <c r="AD17" t="b">
        <f>AND(Table30[[#This Row],[Flavours]:[Soothe]])</f>
        <v>0</v>
      </c>
      <c r="AE17" s="28" t="s">
        <v>1508</v>
      </c>
    </row>
    <row r="18" spans="1:31">
      <c r="A18" t="b">
        <f>IF(Table30[[#This Row],[Column7]],Table30[[#This Row],[Product2]])</f>
        <v>0</v>
      </c>
      <c r="B18" s="20"/>
      <c r="C18" s="20" t="b">
        <f>C2</f>
        <v>0</v>
      </c>
      <c r="D18" s="17"/>
      <c r="E18" s="17"/>
      <c r="F18" s="17"/>
      <c r="G18" s="17"/>
      <c r="H18" s="20" t="b">
        <f t="shared" ref="H18:M18" si="13">H2</f>
        <v>0</v>
      </c>
      <c r="I18" s="17" t="b">
        <f t="shared" si="13"/>
        <v>1</v>
      </c>
      <c r="J18" s="17" t="b">
        <f t="shared" si="13"/>
        <v>1</v>
      </c>
      <c r="K18" s="17" t="b">
        <f t="shared" si="13"/>
        <v>1</v>
      </c>
      <c r="L18" s="17" t="b">
        <f t="shared" si="13"/>
        <v>1</v>
      </c>
      <c r="M18" s="17" t="b">
        <f t="shared" si="13"/>
        <v>1</v>
      </c>
      <c r="N18" s="20"/>
      <c r="O18" s="17" t="b">
        <f>O5</f>
        <v>1</v>
      </c>
      <c r="P18" s="17" t="b">
        <f>P5</f>
        <v>1</v>
      </c>
      <c r="Q18" s="20"/>
      <c r="R18" s="17" t="b">
        <f>R3</f>
        <v>1</v>
      </c>
      <c r="S18" s="17" t="b">
        <f>S2</f>
        <v>1</v>
      </c>
      <c r="T18" s="17" t="b">
        <f>T2</f>
        <v>1</v>
      </c>
      <c r="U18" s="20"/>
      <c r="V18" s="17" t="b">
        <f>V2</f>
        <v>1</v>
      </c>
      <c r="W18" s="17" t="b">
        <f>W2</f>
        <v>1</v>
      </c>
      <c r="X18" s="20" t="b">
        <f>X2</f>
        <v>0</v>
      </c>
      <c r="Y18" s="17"/>
      <c r="Z18" s="17"/>
      <c r="AA18" s="17"/>
      <c r="AB18" s="17" t="b">
        <f>AB2</f>
        <v>1</v>
      </c>
      <c r="AC18" s="17" t="b">
        <f>AC2</f>
        <v>1</v>
      </c>
      <c r="AD18" t="b">
        <f>AND(Table30[[#This Row],[Flavours]:[Soothe]])</f>
        <v>0</v>
      </c>
      <c r="AE18" s="28" t="s">
        <v>1509</v>
      </c>
    </row>
    <row r="19" spans="1:31">
      <c r="A19" t="b">
        <f>IF(Table30[[#This Row],[Column7]],Table30[[#This Row],[Product2]])</f>
        <v>0</v>
      </c>
      <c r="B19" s="20"/>
      <c r="C19" s="20" t="b">
        <f>C2</f>
        <v>0</v>
      </c>
      <c r="D19" s="17"/>
      <c r="E19" s="17"/>
      <c r="F19" s="17"/>
      <c r="G19" s="17"/>
      <c r="H19" s="20" t="b">
        <f>H2</f>
        <v>0</v>
      </c>
      <c r="I19" s="17" t="b">
        <f>I2</f>
        <v>1</v>
      </c>
      <c r="J19" s="17" t="b">
        <f>J2</f>
        <v>1</v>
      </c>
      <c r="K19" s="17" t="b">
        <f>K2</f>
        <v>1</v>
      </c>
      <c r="L19" s="20"/>
      <c r="M19" s="17" t="b">
        <f>M2</f>
        <v>1</v>
      </c>
      <c r="N19" s="20"/>
      <c r="O19" s="17" t="b">
        <f>O5</f>
        <v>1</v>
      </c>
      <c r="P19" s="17" t="b">
        <f>P5</f>
        <v>1</v>
      </c>
      <c r="Q19" s="17" t="b">
        <f>Q7</f>
        <v>1</v>
      </c>
      <c r="R19" s="17" t="b">
        <f>R3</f>
        <v>1</v>
      </c>
      <c r="S19" s="17" t="b">
        <f>S2</f>
        <v>1</v>
      </c>
      <c r="T19" s="17" t="b">
        <f>T2</f>
        <v>1</v>
      </c>
      <c r="U19" s="20"/>
      <c r="V19" s="20"/>
      <c r="W19" s="17" t="b">
        <f>W2</f>
        <v>1</v>
      </c>
      <c r="X19" s="20" t="b">
        <f>X2</f>
        <v>0</v>
      </c>
      <c r="Y19" s="17"/>
      <c r="Z19" s="17"/>
      <c r="AA19" s="17"/>
      <c r="AB19" s="17" t="b">
        <f>AB2</f>
        <v>1</v>
      </c>
      <c r="AC19" s="17" t="b">
        <f>AC2</f>
        <v>1</v>
      </c>
      <c r="AD19" t="b">
        <f>AND(Table30[[#This Row],[Flavours]:[Soothe]])</f>
        <v>0</v>
      </c>
      <c r="AE19" s="29" t="s">
        <v>1510</v>
      </c>
    </row>
    <row r="20" spans="1:31">
      <c r="A20" t="b">
        <f>IF(Table30[[#This Row],[Column7]],Table30[[#This Row],[Product2]])</f>
        <v>0</v>
      </c>
      <c r="B20" s="20"/>
      <c r="C20" s="20" t="b">
        <f>C2</f>
        <v>0</v>
      </c>
      <c r="D20" s="17"/>
      <c r="E20" s="17"/>
      <c r="F20" s="17"/>
      <c r="G20" s="17"/>
      <c r="H20" s="20" t="b">
        <f>H2</f>
        <v>0</v>
      </c>
      <c r="I20" s="17" t="b">
        <f>I2</f>
        <v>1</v>
      </c>
      <c r="J20" s="17" t="b">
        <f>J2</f>
        <v>1</v>
      </c>
      <c r="K20" s="20" t="b">
        <f>OR('Meal Replacement Criteria'!B14:C14)</f>
        <v>1</v>
      </c>
      <c r="L20" s="20"/>
      <c r="M20" s="17" t="b">
        <f>M2</f>
        <v>1</v>
      </c>
      <c r="N20" s="20"/>
      <c r="O20" s="17" t="b">
        <f>O5</f>
        <v>1</v>
      </c>
      <c r="P20" s="17" t="b">
        <f>P5</f>
        <v>1</v>
      </c>
      <c r="Q20" s="20"/>
      <c r="R20" s="20"/>
      <c r="S20" s="17" t="b">
        <f>S2</f>
        <v>1</v>
      </c>
      <c r="T20" s="17" t="b">
        <f>T2</f>
        <v>1</v>
      </c>
      <c r="U20" s="20"/>
      <c r="V20" s="17" t="b">
        <f>V2</f>
        <v>1</v>
      </c>
      <c r="W20" s="17" t="b">
        <f>W2</f>
        <v>1</v>
      </c>
      <c r="X20" s="20" t="b">
        <f>X2</f>
        <v>0</v>
      </c>
      <c r="Y20" s="17"/>
      <c r="Z20" s="17"/>
      <c r="AA20" s="17"/>
      <c r="AB20" s="17" t="b">
        <f>AB2</f>
        <v>1</v>
      </c>
      <c r="AC20" s="17" t="b">
        <f>AC2</f>
        <v>1</v>
      </c>
      <c r="AD20" t="b">
        <f>AND(Table30[[#This Row],[Flavours]:[Soothe]])</f>
        <v>0</v>
      </c>
      <c r="AE20" s="29" t="s">
        <v>1511</v>
      </c>
    </row>
    <row r="21" spans="1:31">
      <c r="A21" t="b">
        <f>IF(Table30[[#This Row],[Column7]],Table30[[#This Row],[Product2]])</f>
        <v>0</v>
      </c>
      <c r="B21" s="20"/>
      <c r="C21" s="20" t="b">
        <f>C2</f>
        <v>0</v>
      </c>
      <c r="D21" s="17"/>
      <c r="E21" s="17"/>
      <c r="F21" s="17"/>
      <c r="G21" s="17"/>
      <c r="H21" s="20" t="b">
        <f t="shared" ref="H21:M21" si="14">H2</f>
        <v>0</v>
      </c>
      <c r="I21" s="17" t="b">
        <f t="shared" si="14"/>
        <v>1</v>
      </c>
      <c r="J21" s="17" t="b">
        <f t="shared" si="14"/>
        <v>1</v>
      </c>
      <c r="K21" s="17" t="b">
        <f t="shared" si="14"/>
        <v>1</v>
      </c>
      <c r="L21" s="17" t="b">
        <f t="shared" si="14"/>
        <v>1</v>
      </c>
      <c r="M21" s="17" t="b">
        <f t="shared" si="14"/>
        <v>1</v>
      </c>
      <c r="N21" s="20"/>
      <c r="O21" s="17" t="b">
        <f>O5</f>
        <v>1</v>
      </c>
      <c r="P21" s="17" t="b">
        <f>P5</f>
        <v>1</v>
      </c>
      <c r="Q21" s="20"/>
      <c r="R21" s="17" t="b">
        <f>R3</f>
        <v>1</v>
      </c>
      <c r="S21" s="17" t="b">
        <f>S2</f>
        <v>1</v>
      </c>
      <c r="T21" s="17" t="b">
        <f>T2</f>
        <v>1</v>
      </c>
      <c r="U21" s="20"/>
      <c r="V21" s="17" t="b">
        <f>V2</f>
        <v>1</v>
      </c>
      <c r="W21" s="17" t="b">
        <f>W2</f>
        <v>1</v>
      </c>
      <c r="X21" s="20" t="b">
        <f>X2</f>
        <v>0</v>
      </c>
      <c r="Y21" s="17"/>
      <c r="Z21" s="17"/>
      <c r="AA21" s="17"/>
      <c r="AB21" s="17" t="b">
        <f>AB2</f>
        <v>1</v>
      </c>
      <c r="AC21" s="17" t="b">
        <f>AC2</f>
        <v>1</v>
      </c>
      <c r="AD21" t="b">
        <f>AND(Table30[[#This Row],[Flavours]:[Soothe]])</f>
        <v>0</v>
      </c>
      <c r="AE21" s="28" t="s">
        <v>1512</v>
      </c>
    </row>
    <row r="22" spans="1:31">
      <c r="A22" t="b">
        <f>IF(Table30[[#This Row],[Column7]],Table30[[#This Row],[Product2]])</f>
        <v>0</v>
      </c>
      <c r="B22" s="20"/>
      <c r="C22" s="20" t="b">
        <f>C2</f>
        <v>0</v>
      </c>
      <c r="D22" s="17"/>
      <c r="E22" s="17"/>
      <c r="F22" s="17"/>
      <c r="G22" s="17"/>
      <c r="H22" s="20" t="b">
        <f>H2</f>
        <v>0</v>
      </c>
      <c r="I22" s="17" t="b">
        <f>I2</f>
        <v>1</v>
      </c>
      <c r="J22" s="17" t="b">
        <f>J2</f>
        <v>1</v>
      </c>
      <c r="K22" s="20" t="b">
        <f>K20</f>
        <v>1</v>
      </c>
      <c r="L22" s="17" t="b">
        <f>L2</f>
        <v>1</v>
      </c>
      <c r="M22" s="17" t="b">
        <f>M2</f>
        <v>1</v>
      </c>
      <c r="N22" s="20"/>
      <c r="O22" s="17" t="b">
        <f>O5</f>
        <v>1</v>
      </c>
      <c r="P22" s="17" t="b">
        <f>P5</f>
        <v>1</v>
      </c>
      <c r="Q22" s="20"/>
      <c r="R22" s="20"/>
      <c r="S22" s="17" t="b">
        <f t="shared" ref="S22:X22" si="15">S2</f>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8" t="s">
        <v>1513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16"/>
    </row>
    <row r="24" spans="1:31">
      <c r="A24" t="b">
        <f>IF(Table30[[#This Row],[Column7]],Table30[[#This Row],[Product2]])</f>
        <v>0</v>
      </c>
      <c r="B24" s="20"/>
      <c r="C24" s="20" t="b">
        <f>C2</f>
        <v>0</v>
      </c>
      <c r="D24" s="17"/>
      <c r="E24" s="17"/>
      <c r="F24" s="17"/>
      <c r="G24" s="17"/>
      <c r="H24" s="20" t="b">
        <f>H2</f>
        <v>0</v>
      </c>
      <c r="I24" s="17" t="b">
        <f>I2</f>
        <v>1</v>
      </c>
      <c r="J24" s="20"/>
      <c r="K24" s="17" t="b">
        <f>K2</f>
        <v>1</v>
      </c>
      <c r="L24" s="17" t="b">
        <f>L2</f>
        <v>1</v>
      </c>
      <c r="M24" s="17" t="b">
        <f>M2</f>
        <v>1</v>
      </c>
      <c r="N24" s="20"/>
      <c r="O24" s="17" t="b">
        <f>O5</f>
        <v>1</v>
      </c>
      <c r="P24" s="17" t="b">
        <f>P5</f>
        <v>1</v>
      </c>
      <c r="Q24" s="17" t="b">
        <f>Q7</f>
        <v>1</v>
      </c>
      <c r="R24" s="17" t="b">
        <f>R3</f>
        <v>1</v>
      </c>
      <c r="S24" s="17" t="b">
        <f>S2</f>
        <v>1</v>
      </c>
      <c r="T24" s="17" t="b">
        <f>T2</f>
        <v>1</v>
      </c>
      <c r="U24" s="20"/>
      <c r="V24" s="20"/>
      <c r="W24" s="17" t="b">
        <f>W2</f>
        <v>1</v>
      </c>
      <c r="X24" s="20" t="b">
        <f>X2</f>
        <v>0</v>
      </c>
      <c r="Y24" s="17"/>
      <c r="Z24" s="17"/>
      <c r="AA24" s="17"/>
      <c r="AB24" s="17" t="b">
        <f>AB2</f>
        <v>1</v>
      </c>
      <c r="AC24" s="17" t="b">
        <f>AC2</f>
        <v>1</v>
      </c>
      <c r="AD24" t="b">
        <f>AND(Table30[[#This Row],[Flavours]:[Soothe]])</f>
        <v>0</v>
      </c>
      <c r="AE24" s="29" t="s">
        <v>1514</v>
      </c>
    </row>
    <row r="25" spans="1:31">
      <c r="A25" t="b">
        <f>IF(Table30[[#This Row],[Column7]],Table30[[#This Row],[Product2]])</f>
        <v>0</v>
      </c>
      <c r="B25" s="20"/>
      <c r="C25" s="20" t="b">
        <f>C2</f>
        <v>0</v>
      </c>
      <c r="D25" s="17"/>
      <c r="E25" s="17"/>
      <c r="F25" s="17"/>
      <c r="G25" s="17"/>
      <c r="H25" s="20" t="b">
        <f>H2</f>
        <v>0</v>
      </c>
      <c r="I25" s="17" t="b">
        <f>I2</f>
        <v>1</v>
      </c>
      <c r="J25" s="20"/>
      <c r="K25" s="17" t="b">
        <f>K2</f>
        <v>1</v>
      </c>
      <c r="L25" s="17" t="b">
        <f>L2</f>
        <v>1</v>
      </c>
      <c r="M25" s="17" t="b">
        <f>M2</f>
        <v>1</v>
      </c>
      <c r="N25" s="20"/>
      <c r="O25" s="17" t="b">
        <f>O5</f>
        <v>1</v>
      </c>
      <c r="P25" s="17" t="b">
        <f>P5</f>
        <v>1</v>
      </c>
      <c r="Q25" s="17" t="b">
        <f>Q7</f>
        <v>1</v>
      </c>
      <c r="R25" s="17" t="b">
        <f>R3</f>
        <v>1</v>
      </c>
      <c r="S25" s="17" t="b">
        <f>S2</f>
        <v>1</v>
      </c>
      <c r="T25" s="17" t="b">
        <f>T2</f>
        <v>1</v>
      </c>
      <c r="U25" s="20"/>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9" t="s">
        <v>1515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16"/>
    </row>
    <row r="27" spans="1:31">
      <c r="A27" t="b">
        <f>IF(Table30[[#This Row],[Column7]],Table30[[#This Row],[Product2]])</f>
        <v>0</v>
      </c>
      <c r="B27" s="20"/>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9" t="s">
        <v>1517</v>
      </c>
    </row>
    <row r="28" spans="1:31">
      <c r="A28" t="b">
        <f>IF(Table30[[#This Row],[Column7]],Table30[[#This Row],[Product2]])</f>
        <v>0</v>
      </c>
      <c r="B28" s="20"/>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9" t="s">
        <v>1518</v>
      </c>
    </row>
    <row r="29" spans="1:31">
      <c r="A29" t="b">
        <f>IF(Table30[[#This Row],[Column7]],Table30[[#This Row],[Product2]])</f>
        <v>0</v>
      </c>
      <c r="B29" s="20"/>
      <c r="C29" s="20" t="b">
        <f>C2</f>
        <v>0</v>
      </c>
      <c r="D29" s="17"/>
      <c r="E29" s="17"/>
      <c r="F29" s="17"/>
      <c r="G29" s="20" t="b">
        <f>G27</f>
        <v>0</v>
      </c>
      <c r="H29" s="17"/>
      <c r="I29" s="17" t="b">
        <f>I2</f>
        <v>1</v>
      </c>
      <c r="J29" s="17" t="b">
        <f>J2</f>
        <v>1</v>
      </c>
      <c r="K29" s="17" t="b">
        <f>K2</f>
        <v>1</v>
      </c>
      <c r="L29" s="20"/>
      <c r="M29" s="17" t="b">
        <f>M2</f>
        <v>1</v>
      </c>
      <c r="N29" s="20"/>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9" t="s">
        <v>1519</v>
      </c>
    </row>
    <row r="30" spans="1:31">
      <c r="A30" t="b">
        <f>IF(Table30[[#This Row],[Column7]],Table30[[#This Row],[Product2]])</f>
        <v>0</v>
      </c>
      <c r="B30" s="20"/>
      <c r="C30" s="20" t="b">
        <f>C2</f>
        <v>0</v>
      </c>
      <c r="D30" s="17"/>
      <c r="E30" s="17"/>
      <c r="F30" s="17"/>
      <c r="G30" s="20" t="b">
        <f>G27</f>
        <v>0</v>
      </c>
      <c r="H30" s="17"/>
      <c r="I30" s="17" t="b">
        <f>I2</f>
        <v>1</v>
      </c>
      <c r="J30" s="17" t="b">
        <f>J2</f>
        <v>1</v>
      </c>
      <c r="K30" s="17" t="b">
        <f>K2</f>
        <v>1</v>
      </c>
      <c r="L30" s="20"/>
      <c r="M30" s="17" t="b">
        <f>M2</f>
        <v>1</v>
      </c>
      <c r="N30" s="20"/>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9" t="s">
        <v>1520</v>
      </c>
    </row>
    <row r="31" spans="1:31">
      <c r="A31" t="b">
        <f>IF(Table30[[#This Row],[Column7]],Table30[[#This Row],[Product2]])</f>
        <v>0</v>
      </c>
      <c r="B31" s="20"/>
      <c r="C31" s="20" t="b">
        <f>C2</f>
        <v>0</v>
      </c>
      <c r="D31" s="17"/>
      <c r="E31" s="17"/>
      <c r="F31" s="17"/>
      <c r="G31" s="20" t="b">
        <f>G27</f>
        <v>0</v>
      </c>
      <c r="H31" s="17"/>
      <c r="I31" s="17" t="b">
        <f t="shared" ref="I31:M31" si="18">I2</f>
        <v>1</v>
      </c>
      <c r="J31" s="17" t="b">
        <f t="shared" si="18"/>
        <v>1</v>
      </c>
      <c r="K31" s="17" t="b">
        <f t="shared" si="18"/>
        <v>1</v>
      </c>
      <c r="L31" s="17" t="b">
        <f t="shared" si="18"/>
        <v>1</v>
      </c>
      <c r="M31" s="17" t="b">
        <f t="shared" si="18"/>
        <v>1</v>
      </c>
      <c r="N31" s="20"/>
      <c r="O31" s="20"/>
      <c r="P31" s="20"/>
      <c r="Q31" s="17" t="b">
        <f>Q7</f>
        <v>1</v>
      </c>
      <c r="R31" s="17" t="b">
        <f>R3</f>
        <v>1</v>
      </c>
      <c r="S31" s="17" t="b">
        <f>S2</f>
        <v>1</v>
      </c>
      <c r="T31" s="20"/>
      <c r="U31" s="17" t="b">
        <f>U2</f>
        <v>1</v>
      </c>
      <c r="V31" s="17" t="b">
        <f>V2</f>
        <v>1</v>
      </c>
      <c r="W31" s="17" t="b">
        <f>W2</f>
        <v>1</v>
      </c>
      <c r="X31" s="17"/>
      <c r="Y31" s="20" t="b">
        <f>Y13</f>
        <v>0</v>
      </c>
      <c r="Z31" s="17"/>
      <c r="AA31" s="17"/>
      <c r="AB31" s="17" t="b">
        <f>AB2</f>
        <v>1</v>
      </c>
      <c r="AC31" s="17" t="b">
        <f>AC2</f>
        <v>1</v>
      </c>
      <c r="AD31" t="b">
        <f>AND(Table30[[#This Row],[Flavours]:[Soothe]])</f>
        <v>0</v>
      </c>
      <c r="AE31" s="29" t="s">
        <v>1521</v>
      </c>
    </row>
    <row r="32" spans="1:31">
      <c r="A32" t="b">
        <f>IF(Table30[[#This Row],[Column7]],Table30[[#This Row],[Product2]])</f>
        <v>0</v>
      </c>
      <c r="B32" s="20"/>
      <c r="C32" s="20" t="b">
        <f>C2</f>
        <v>0</v>
      </c>
      <c r="D32" s="17"/>
      <c r="E32" s="17"/>
      <c r="F32" s="17"/>
      <c r="G32" s="20" t="b">
        <f>G27</f>
        <v>0</v>
      </c>
      <c r="H32" s="17"/>
      <c r="I32" s="17" t="b">
        <f t="shared" ref="I32:M32" si="19">I2</f>
        <v>1</v>
      </c>
      <c r="J32" s="17" t="b">
        <f t="shared" si="19"/>
        <v>1</v>
      </c>
      <c r="K32" s="17" t="b">
        <f t="shared" si="19"/>
        <v>1</v>
      </c>
      <c r="L32" s="17" t="b">
        <f t="shared" si="19"/>
        <v>1</v>
      </c>
      <c r="M32" s="17" t="b">
        <f t="shared" si="19"/>
        <v>1</v>
      </c>
      <c r="N32" s="20"/>
      <c r="O32" s="20"/>
      <c r="P32" s="20"/>
      <c r="Q32" s="17" t="b">
        <f>Q7</f>
        <v>1</v>
      </c>
      <c r="R32" s="17" t="b">
        <f>R3</f>
        <v>1</v>
      </c>
      <c r="S32" s="17" t="b">
        <f>S2</f>
        <v>1</v>
      </c>
      <c r="T32" s="20"/>
      <c r="U32" s="17" t="b">
        <f>U2</f>
        <v>1</v>
      </c>
      <c r="V32" s="17" t="b">
        <f>V2</f>
        <v>1</v>
      </c>
      <c r="W32" s="17" t="b">
        <f>W2</f>
        <v>1</v>
      </c>
      <c r="X32" s="17"/>
      <c r="Y32" s="17"/>
      <c r="Z32" s="20" t="b">
        <f>Z25</f>
        <v>0</v>
      </c>
      <c r="AA32" s="17"/>
      <c r="AB32" s="17" t="b">
        <f>AB2</f>
        <v>1</v>
      </c>
      <c r="AC32" s="17" t="b">
        <f>AC2</f>
        <v>1</v>
      </c>
      <c r="AD32" t="b">
        <f>AND(Table30[[#This Row],[Flavours]:[Soothe]])</f>
        <v>0</v>
      </c>
      <c r="AE32" s="29" t="s">
        <v>1522</v>
      </c>
    </row>
    <row r="33" spans="1:31">
      <c r="A33" t="b">
        <f>IF(Table30[[#This Row],[Column7]],Table30[[#This Row],[Product2]])</f>
        <v>0</v>
      </c>
      <c r="B33" s="20"/>
      <c r="C33" s="20" t="b">
        <f>C2</f>
        <v>0</v>
      </c>
      <c r="D33" s="17"/>
      <c r="E33" s="17"/>
      <c r="F33" s="17"/>
      <c r="G33" s="20" t="b">
        <f>G27</f>
        <v>0</v>
      </c>
      <c r="H33" s="17"/>
      <c r="I33" s="17" t="b">
        <f t="shared" ref="I33:M33" si="20">I2</f>
        <v>1</v>
      </c>
      <c r="J33" s="17" t="b">
        <f t="shared" si="20"/>
        <v>1</v>
      </c>
      <c r="K33" s="17" t="b">
        <f t="shared" si="20"/>
        <v>1</v>
      </c>
      <c r="L33" s="17" t="b">
        <f t="shared" si="20"/>
        <v>1</v>
      </c>
      <c r="M33" s="17" t="b">
        <f t="shared" si="20"/>
        <v>1</v>
      </c>
      <c r="N33" s="20"/>
      <c r="O33" s="20"/>
      <c r="P33" s="20"/>
      <c r="Q33" s="17" t="b">
        <f>Q7</f>
        <v>1</v>
      </c>
      <c r="R33" s="17" t="b">
        <f>R3</f>
        <v>1</v>
      </c>
      <c r="S33" s="17" t="b">
        <f>S2</f>
        <v>1</v>
      </c>
      <c r="T33" s="20"/>
      <c r="U33" s="17" t="b">
        <f>U2</f>
        <v>1</v>
      </c>
      <c r="V33" s="17" t="b">
        <f>V2</f>
        <v>1</v>
      </c>
      <c r="W33" s="17" t="b">
        <f>W2</f>
        <v>1</v>
      </c>
      <c r="X33" s="17"/>
      <c r="Y33" s="17"/>
      <c r="Z33" s="20" t="b">
        <f>Z25</f>
        <v>0</v>
      </c>
      <c r="AA33" s="17"/>
      <c r="AB33" s="17" t="b">
        <f>AB2</f>
        <v>1</v>
      </c>
      <c r="AC33" s="17" t="b">
        <f>AC2</f>
        <v>1</v>
      </c>
      <c r="AD33" t="b">
        <f>AND(Table30[[#This Row],[Flavours]:[Soothe]])</f>
        <v>0</v>
      </c>
      <c r="AE33" s="29" t="s">
        <v>1523</v>
      </c>
    </row>
    <row r="34" spans="1:31">
      <c r="A34" t="b">
        <f>IF(Table30[[#This Row],[Column7]],Table30[[#This Row],[Product2]])</f>
        <v>0</v>
      </c>
      <c r="B34" s="20"/>
      <c r="C34" s="20" t="b">
        <f>C2</f>
        <v>0</v>
      </c>
      <c r="D34" s="17"/>
      <c r="E34" s="17"/>
      <c r="F34" s="17"/>
      <c r="G34" s="20" t="b">
        <f>G27</f>
        <v>0</v>
      </c>
      <c r="H34" s="17"/>
      <c r="I34" s="17" t="b">
        <f>I2</f>
        <v>1</v>
      </c>
      <c r="J34" s="17" t="b">
        <f>J2</f>
        <v>1</v>
      </c>
      <c r="K34" s="20" t="b">
        <f>K20</f>
        <v>1</v>
      </c>
      <c r="L34" s="20"/>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11" t="s">
        <v>1525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16"/>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11" t="s">
        <v>1600</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16"/>
    </row>
    <row r="38" spans="1:31">
      <c r="A38" t="e">
        <f>IF(Table30[[#This Row],[Column7]],Table30[[#This Row],[Product2]])</f>
        <v>#VALUE!</v>
      </c>
      <c r="AD38" t="e">
        <f>AND(Table30[[#This Row],[Flavours]:[Soothe]])</f>
        <v>#VALUE!</v>
      </c>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
  <sheetViews>
    <sheetView workbookViewId="0">
      <selection activeCell="F31" sqref="F31"/>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48" t="s">
        <v>1212</v>
      </c>
      <c r="B1" s="151" t="s">
        <v>1946</v>
      </c>
      <c r="C1" s="151" t="s">
        <v>1945</v>
      </c>
      <c r="D1" s="151" t="s">
        <v>81</v>
      </c>
      <c r="E1" s="151" t="s">
        <v>1280</v>
      </c>
      <c r="F1" s="151" t="s">
        <v>1944</v>
      </c>
      <c r="G1" s="151" t="s">
        <v>1050</v>
      </c>
      <c r="H1" s="151" t="s">
        <v>629</v>
      </c>
      <c r="I1" s="151" t="s">
        <v>1942</v>
      </c>
      <c r="J1" s="155" t="s">
        <v>1306</v>
      </c>
      <c r="K1" s="155" t="s">
        <v>593</v>
      </c>
      <c r="L1" s="155" t="s">
        <v>1941</v>
      </c>
      <c r="M1" s="155" t="s">
        <v>1307</v>
      </c>
      <c r="N1" s="151" t="s">
        <v>25</v>
      </c>
      <c r="O1" s="152" t="s">
        <v>26</v>
      </c>
    </row>
    <row r="2" spans="1:15" ht="15.75" thickTop="1">
      <c r="A2" t="b">
        <f>IF(N2=TRUE,O2)</f>
        <v>0</v>
      </c>
      <c r="B2" s="20" t="b">
        <f>AND('Hemorrhoid Criteria'!B5,'Hemorrhoid Criteria'!B12)</f>
        <v>1</v>
      </c>
      <c r="C2" s="20" t="b">
        <f>AND(OR('Hemorrhoid Criteria'!B3,'Hemorrhoid Criteria'!B5),'Hemorrhoid Criteria'!B11)</f>
        <v>1</v>
      </c>
      <c r="D2" s="17"/>
      <c r="E2" s="17"/>
      <c r="F2" s="20" t="b">
        <f>AND(OR('Hemorrhoid Criteria'!B3,'Hemorrhoid Criteria'!B5),'Hemorrhoid Criteria'!B13)</f>
        <v>1</v>
      </c>
      <c r="G2" s="20" t="b">
        <f>AND('Hemorrhoid Criteria'!C17)</f>
        <v>0</v>
      </c>
      <c r="H2" s="17"/>
      <c r="I2" s="17"/>
      <c r="J2" s="17"/>
      <c r="K2" s="20" t="b">
        <f>AND('Hemorrhoid Criteria'!B7,'Hemorrhoid Criteria'!C6,'Hemorrhoid Criteria'!C8:C10)</f>
        <v>0</v>
      </c>
      <c r="L2" s="17"/>
      <c r="M2" s="17"/>
      <c r="N2" t="b">
        <f>AND(B2:M2)</f>
        <v>0</v>
      </c>
      <c r="O2" s="11" t="s">
        <v>1263</v>
      </c>
    </row>
    <row r="3" spans="1:15">
      <c r="A3" t="b">
        <f t="shared" ref="A3:A25" si="0">IF(N3=TRUE,O3)</f>
        <v>0</v>
      </c>
      <c r="B3" s="17"/>
      <c r="C3" s="20" t="b">
        <f>C2</f>
        <v>1</v>
      </c>
      <c r="D3" s="17"/>
      <c r="E3" s="17"/>
      <c r="F3" s="20" t="b">
        <f>F2</f>
        <v>1</v>
      </c>
      <c r="G3" s="20" t="b">
        <f>G2</f>
        <v>0</v>
      </c>
      <c r="H3" s="17"/>
      <c r="I3" s="17"/>
      <c r="J3" s="17"/>
      <c r="K3" s="20" t="b">
        <f>K2</f>
        <v>0</v>
      </c>
      <c r="L3" s="17"/>
      <c r="M3" s="17"/>
      <c r="N3" t="b">
        <f t="shared" ref="N3:N26" si="1">AND(B3:M3)</f>
        <v>0</v>
      </c>
      <c r="O3" s="11" t="s">
        <v>1264</v>
      </c>
    </row>
    <row r="4" spans="1:15">
      <c r="A4" t="b">
        <f t="shared" si="0"/>
        <v>0</v>
      </c>
      <c r="B4" s="17"/>
      <c r="C4" s="20" t="b">
        <f>C2</f>
        <v>1</v>
      </c>
      <c r="D4" s="17"/>
      <c r="E4" s="17"/>
      <c r="F4" s="17"/>
      <c r="G4" s="17"/>
      <c r="H4" s="17"/>
      <c r="I4" s="17"/>
      <c r="J4" s="17"/>
      <c r="K4" s="17"/>
      <c r="L4" s="17"/>
      <c r="M4" s="20" t="b">
        <f>AND('Hemorrhoid Criteria'!B9,'Hemorrhoid Criteria'!C6:C8,'Hemorrhoid Criteria'!C10)</f>
        <v>0</v>
      </c>
      <c r="N4" t="b">
        <f t="shared" si="1"/>
        <v>0</v>
      </c>
      <c r="O4" s="11" t="s">
        <v>1265</v>
      </c>
    </row>
    <row r="5" spans="1:15">
      <c r="A5" t="b">
        <f t="shared" si="0"/>
        <v>0</v>
      </c>
      <c r="B5" s="20" t="b">
        <f>B2</f>
        <v>1</v>
      </c>
      <c r="C5" s="20" t="b">
        <f>C2</f>
        <v>1</v>
      </c>
      <c r="D5" s="17"/>
      <c r="E5" s="17"/>
      <c r="F5" s="20" t="b">
        <f>F2</f>
        <v>1</v>
      </c>
      <c r="G5" s="20" t="b">
        <f>G2</f>
        <v>0</v>
      </c>
      <c r="H5" s="17"/>
      <c r="I5" s="17"/>
      <c r="J5" s="20" t="b">
        <f>AND('Hemorrhoid Criteria'!B8,'Hemorrhoid Criteria'!C6:C7,'Hemorrhoid Criteria'!C9:C10)</f>
        <v>0</v>
      </c>
      <c r="K5" s="17"/>
      <c r="L5" s="17"/>
      <c r="M5" s="17"/>
      <c r="N5" t="b">
        <f t="shared" si="1"/>
        <v>0</v>
      </c>
      <c r="O5" s="11" t="s">
        <v>1266</v>
      </c>
    </row>
    <row r="6" spans="1:15">
      <c r="A6" t="b">
        <f t="shared" si="0"/>
        <v>0</v>
      </c>
      <c r="B6" s="17"/>
      <c r="C6" s="20" t="b">
        <f>C2</f>
        <v>1</v>
      </c>
      <c r="D6" s="17"/>
      <c r="E6" s="17"/>
      <c r="F6" s="20" t="b">
        <f>F2</f>
        <v>1</v>
      </c>
      <c r="G6" s="20" t="b">
        <f>G2</f>
        <v>0</v>
      </c>
      <c r="H6" s="17"/>
      <c r="I6" s="17"/>
      <c r="J6" s="20" t="b">
        <f>J5</f>
        <v>0</v>
      </c>
      <c r="K6" s="17"/>
      <c r="L6" s="17"/>
      <c r="M6" s="17"/>
      <c r="N6" t="b">
        <f t="shared" si="1"/>
        <v>0</v>
      </c>
      <c r="O6" s="11" t="s">
        <v>1267</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1</v>
      </c>
      <c r="D8" s="17"/>
      <c r="E8" s="17"/>
      <c r="F8" s="17"/>
      <c r="G8" s="17"/>
      <c r="H8" s="17"/>
      <c r="I8" s="17"/>
      <c r="J8" s="17"/>
      <c r="K8" s="17"/>
      <c r="L8" s="17"/>
      <c r="M8" s="20" t="b">
        <f>M4</f>
        <v>0</v>
      </c>
      <c r="N8" t="b">
        <f t="shared" si="1"/>
        <v>0</v>
      </c>
      <c r="O8" s="28" t="s">
        <v>1268</v>
      </c>
    </row>
    <row r="9" spans="1:15">
      <c r="A9" t="b">
        <f t="shared" si="0"/>
        <v>0</v>
      </c>
      <c r="B9" s="17"/>
      <c r="C9" s="17"/>
      <c r="D9" s="20" t="b">
        <f>AND(OR('Hemorrhoid Criteria'!B3,'Hemorrhoid Criteria'!B4,'Hemorrhoid Criteria'!B5),'Hemorrhoid Criteria'!B14)</f>
        <v>1</v>
      </c>
      <c r="E9" s="17"/>
      <c r="F9" s="20" t="b">
        <f>F2</f>
        <v>1</v>
      </c>
      <c r="G9" s="20" t="b">
        <f>G2</f>
        <v>0</v>
      </c>
      <c r="H9" s="17"/>
      <c r="I9" s="17"/>
      <c r="J9" s="17"/>
      <c r="K9" s="17"/>
      <c r="L9" s="20" t="b">
        <f>AND('Hemorrhoid Criteria'!B6,'Hemorrhoid Criteria'!C7:C10)</f>
        <v>0</v>
      </c>
      <c r="M9" s="17"/>
      <c r="N9" t="b">
        <f t="shared" si="1"/>
        <v>0</v>
      </c>
      <c r="O9" s="28" t="s">
        <v>1269</v>
      </c>
    </row>
    <row r="10" spans="1:15">
      <c r="A10" t="b">
        <f t="shared" si="0"/>
        <v>0</v>
      </c>
      <c r="B10" s="20" t="b">
        <f>B2</f>
        <v>1</v>
      </c>
      <c r="C10" s="17"/>
      <c r="D10" s="17"/>
      <c r="E10" s="20" t="b">
        <f>AND('Hemorrhoid Criteria'!B15,'Hemorrhoid Criteria'!B4)</f>
        <v>1</v>
      </c>
      <c r="F10" s="20" t="b">
        <f>F2</f>
        <v>1</v>
      </c>
      <c r="G10" s="20" t="b">
        <f>G2</f>
        <v>0</v>
      </c>
      <c r="H10" s="17"/>
      <c r="I10" s="17"/>
      <c r="J10" s="17"/>
      <c r="K10" s="17"/>
      <c r="L10" s="20" t="b">
        <f>L9</f>
        <v>0</v>
      </c>
      <c r="M10" s="17"/>
      <c r="N10" t="b">
        <f t="shared" si="1"/>
        <v>0</v>
      </c>
      <c r="O10" s="28" t="s">
        <v>1270</v>
      </c>
    </row>
    <row r="11" spans="1:15">
      <c r="A11" t="b">
        <f t="shared" si="0"/>
        <v>0</v>
      </c>
      <c r="B11" s="20" t="b">
        <f>B2</f>
        <v>1</v>
      </c>
      <c r="C11" s="17"/>
      <c r="D11" s="17"/>
      <c r="E11" s="20" t="b">
        <f>E10</f>
        <v>1</v>
      </c>
      <c r="F11" s="17"/>
      <c r="G11" s="20" t="b">
        <f>G2</f>
        <v>0</v>
      </c>
      <c r="H11" s="17"/>
      <c r="I11" s="17"/>
      <c r="J11" s="17"/>
      <c r="K11" s="17"/>
      <c r="L11" s="17"/>
      <c r="M11" s="20" t="b">
        <f>M4</f>
        <v>0</v>
      </c>
      <c r="N11" t="b">
        <f t="shared" si="1"/>
        <v>0</v>
      </c>
      <c r="O11" s="28" t="s">
        <v>1271</v>
      </c>
    </row>
    <row r="12" spans="1:15">
      <c r="A12" t="b">
        <f t="shared" si="0"/>
        <v>0</v>
      </c>
      <c r="B12" s="17"/>
      <c r="C12" s="17"/>
      <c r="D12" s="17"/>
      <c r="E12" s="20" t="b">
        <f>E10</f>
        <v>1</v>
      </c>
      <c r="F12" s="20" t="b">
        <f>F2</f>
        <v>1</v>
      </c>
      <c r="G12" s="20" t="b">
        <f>G2</f>
        <v>0</v>
      </c>
      <c r="H12" s="20" t="b">
        <f>AND('Hemorrhoid Criteria'!C16)</f>
        <v>0</v>
      </c>
      <c r="I12" s="17"/>
      <c r="J12" s="17"/>
      <c r="K12" s="20" t="b">
        <f>K2</f>
        <v>0</v>
      </c>
      <c r="L12" s="17"/>
      <c r="M12" s="17"/>
      <c r="N12" t="b">
        <f t="shared" si="1"/>
        <v>0</v>
      </c>
      <c r="O12" s="28" t="s">
        <v>1272</v>
      </c>
    </row>
    <row r="13" spans="1:15">
      <c r="A13" t="b">
        <f t="shared" si="0"/>
        <v>0</v>
      </c>
      <c r="B13" s="20" t="b">
        <f>B2</f>
        <v>1</v>
      </c>
      <c r="C13" s="17"/>
      <c r="D13" s="17"/>
      <c r="E13" s="20" t="b">
        <f>E10</f>
        <v>1</v>
      </c>
      <c r="F13" s="20" t="b">
        <f>F2</f>
        <v>1</v>
      </c>
      <c r="G13" s="20" t="b">
        <f>G2</f>
        <v>0</v>
      </c>
      <c r="H13" s="17"/>
      <c r="I13" s="17"/>
      <c r="J13" s="17"/>
      <c r="K13" s="17"/>
      <c r="L13" s="20" t="b">
        <f>L9</f>
        <v>0</v>
      </c>
      <c r="M13" s="17"/>
      <c r="N13" t="b">
        <f t="shared" si="1"/>
        <v>0</v>
      </c>
      <c r="O13" s="28" t="s">
        <v>1273</v>
      </c>
    </row>
    <row r="14" spans="1:15">
      <c r="A14" t="b">
        <f t="shared" si="0"/>
        <v>0</v>
      </c>
      <c r="B14" s="17"/>
      <c r="C14" s="20" t="b">
        <f>C2</f>
        <v>1</v>
      </c>
      <c r="D14" s="17"/>
      <c r="E14" s="20" t="b">
        <f>E10</f>
        <v>1</v>
      </c>
      <c r="F14" s="20" t="b">
        <f>F2</f>
        <v>1</v>
      </c>
      <c r="G14" s="20" t="b">
        <f>G2</f>
        <v>0</v>
      </c>
      <c r="H14" s="17"/>
      <c r="I14" s="17"/>
      <c r="J14" s="17"/>
      <c r="K14" s="17"/>
      <c r="L14" s="20" t="b">
        <f>L9</f>
        <v>0</v>
      </c>
      <c r="M14" s="17"/>
      <c r="N14" t="b">
        <f t="shared" si="1"/>
        <v>0</v>
      </c>
      <c r="O14" s="28" t="s">
        <v>1274</v>
      </c>
    </row>
    <row r="15" spans="1:15">
      <c r="A15" t="b">
        <f t="shared" si="0"/>
        <v>0</v>
      </c>
      <c r="B15" s="17"/>
      <c r="C15" s="17"/>
      <c r="D15" s="20" t="b">
        <f>D9</f>
        <v>1</v>
      </c>
      <c r="E15" s="17"/>
      <c r="F15" s="20" t="b">
        <f>F2</f>
        <v>1</v>
      </c>
      <c r="G15" s="20" t="b">
        <f>G2</f>
        <v>0</v>
      </c>
      <c r="H15" s="20" t="b">
        <f>H12</f>
        <v>0</v>
      </c>
      <c r="I15" s="17"/>
      <c r="J15" s="17"/>
      <c r="K15" s="17"/>
      <c r="L15" s="20" t="b">
        <f>L9</f>
        <v>0</v>
      </c>
      <c r="M15" s="17"/>
      <c r="N15" t="b">
        <f t="shared" si="1"/>
        <v>0</v>
      </c>
      <c r="O15" s="28" t="s">
        <v>1275</v>
      </c>
    </row>
    <row r="16" spans="1:15">
      <c r="A16" t="b">
        <f t="shared" si="0"/>
        <v>0</v>
      </c>
      <c r="B16" s="17"/>
      <c r="C16" s="17"/>
      <c r="D16" s="17"/>
      <c r="E16" s="20" t="b">
        <f>E10</f>
        <v>1</v>
      </c>
      <c r="F16" s="20" t="b">
        <f>F2</f>
        <v>1</v>
      </c>
      <c r="G16" s="20" t="b">
        <f>G2</f>
        <v>0</v>
      </c>
      <c r="H16" s="17"/>
      <c r="I16" s="17"/>
      <c r="J16" s="20" t="b">
        <f>J5</f>
        <v>0</v>
      </c>
      <c r="K16" s="17"/>
      <c r="L16" s="17"/>
      <c r="M16" s="17"/>
      <c r="N16" t="b">
        <f t="shared" si="1"/>
        <v>0</v>
      </c>
      <c r="O16" s="28" t="s">
        <v>1276</v>
      </c>
    </row>
    <row r="17" spans="1:15">
      <c r="A17" t="b">
        <f t="shared" si="0"/>
        <v>0</v>
      </c>
      <c r="B17" s="17"/>
      <c r="C17" s="20" t="b">
        <f>C2</f>
        <v>1</v>
      </c>
      <c r="D17" s="17"/>
      <c r="E17" s="17"/>
      <c r="F17" s="17"/>
      <c r="G17" s="20" t="b">
        <f>G2</f>
        <v>0</v>
      </c>
      <c r="H17" s="17"/>
      <c r="I17" s="17"/>
      <c r="J17" s="17"/>
      <c r="K17" s="17"/>
      <c r="L17" s="17"/>
      <c r="M17" s="20" t="b">
        <f>M4</f>
        <v>0</v>
      </c>
      <c r="N17" t="b">
        <f t="shared" si="1"/>
        <v>0</v>
      </c>
      <c r="O17" s="28" t="s">
        <v>1277</v>
      </c>
    </row>
    <row r="18" spans="1:15">
      <c r="A18" t="b">
        <f t="shared" si="0"/>
        <v>0</v>
      </c>
      <c r="B18" s="17"/>
      <c r="C18" s="20" t="b">
        <f>C2</f>
        <v>1</v>
      </c>
      <c r="D18" s="17"/>
      <c r="E18" s="17"/>
      <c r="F18" s="17"/>
      <c r="G18" s="20" t="b">
        <f>G2</f>
        <v>0</v>
      </c>
      <c r="H18" s="17"/>
      <c r="I18" s="17"/>
      <c r="J18" s="17"/>
      <c r="K18" s="17"/>
      <c r="L18" s="17"/>
      <c r="M18" s="20" t="b">
        <f>M4</f>
        <v>0</v>
      </c>
      <c r="N18" t="b">
        <f t="shared" si="1"/>
        <v>0</v>
      </c>
      <c r="O18" s="28" t="s">
        <v>1278</v>
      </c>
    </row>
    <row r="19" spans="1:15">
      <c r="A19" t="b">
        <f t="shared" si="0"/>
        <v>0</v>
      </c>
      <c r="B19" s="17"/>
      <c r="C19" s="20" t="b">
        <f>C2</f>
        <v>1</v>
      </c>
      <c r="D19" s="17"/>
      <c r="E19" s="17"/>
      <c r="F19" s="17"/>
      <c r="G19" s="20" t="b">
        <f>G2</f>
        <v>0</v>
      </c>
      <c r="H19" s="17"/>
      <c r="I19" s="17"/>
      <c r="J19" s="17"/>
      <c r="K19" s="17"/>
      <c r="L19" s="17"/>
      <c r="M19" s="20" t="b">
        <f>M4</f>
        <v>0</v>
      </c>
      <c r="N19" t="b">
        <f t="shared" si="1"/>
        <v>0</v>
      </c>
      <c r="O19" s="28" t="s">
        <v>1279</v>
      </c>
    </row>
    <row r="20" spans="1:15">
      <c r="A20" s="16" t="e">
        <f t="shared" si="0"/>
        <v>#VALUE!</v>
      </c>
      <c r="B20" s="16"/>
      <c r="C20" s="16"/>
      <c r="D20" s="16"/>
      <c r="E20" s="16"/>
      <c r="F20" s="16"/>
      <c r="G20" s="16"/>
      <c r="H20" s="16"/>
      <c r="I20" s="16"/>
      <c r="J20" s="16"/>
      <c r="K20" s="16"/>
      <c r="L20" s="16"/>
      <c r="M20" s="16"/>
      <c r="N20" s="16" t="e">
        <f t="shared" si="1"/>
        <v>#VALUE!</v>
      </c>
      <c r="O20" s="16"/>
    </row>
    <row r="21" spans="1:15">
      <c r="A21" t="str">
        <f t="shared" si="0"/>
        <v>TUCKS® Medicated Cooling Pads</v>
      </c>
      <c r="B21" s="17"/>
      <c r="C21" s="20" t="b">
        <f>C2</f>
        <v>1</v>
      </c>
      <c r="D21" s="17"/>
      <c r="E21" s="17"/>
      <c r="F21" s="17"/>
      <c r="G21" s="17"/>
      <c r="H21" s="17"/>
      <c r="I21" s="17"/>
      <c r="J21" s="17"/>
      <c r="K21" s="17"/>
      <c r="L21" s="17"/>
      <c r="M21" s="17"/>
      <c r="N21" t="b">
        <f t="shared" si="1"/>
        <v>1</v>
      </c>
      <c r="O21" s="29" t="s">
        <v>1283</v>
      </c>
    </row>
    <row r="22" spans="1:15">
      <c r="A22" s="16" t="e">
        <f t="shared" si="0"/>
        <v>#VALUE!</v>
      </c>
      <c r="B22" s="16"/>
      <c r="C22" s="16"/>
      <c r="D22" s="16"/>
      <c r="E22" s="16"/>
      <c r="F22" s="16"/>
      <c r="G22" s="16"/>
      <c r="H22" s="16"/>
      <c r="I22" s="16"/>
      <c r="J22" s="16"/>
      <c r="K22" s="16"/>
      <c r="L22" s="16"/>
      <c r="M22" s="16"/>
      <c r="N22" s="16" t="e">
        <f t="shared" si="1"/>
        <v>#VALUE!</v>
      </c>
      <c r="O22" s="16"/>
    </row>
    <row r="23" spans="1:15">
      <c r="A23" t="b">
        <f t="shared" si="0"/>
        <v>0</v>
      </c>
      <c r="B23" s="17"/>
      <c r="C23" s="17"/>
      <c r="D23" s="17"/>
      <c r="E23" s="17"/>
      <c r="F23" s="17"/>
      <c r="G23" s="17"/>
      <c r="H23" s="17"/>
      <c r="I23" s="20" t="b">
        <f>AND('Hemorrhoid Criteria'!B10,'Hemorrhoid Criteria'!C6:C9)</f>
        <v>0</v>
      </c>
      <c r="J23" s="17"/>
      <c r="K23" s="17"/>
      <c r="L23" s="17"/>
      <c r="M23" s="17"/>
      <c r="N23" t="b">
        <f t="shared" si="1"/>
        <v>0</v>
      </c>
      <c r="O23" s="11" t="s">
        <v>1281</v>
      </c>
    </row>
    <row r="24" spans="1:15">
      <c r="A24" s="16" t="e">
        <f t="shared" si="0"/>
        <v>#VALUE!</v>
      </c>
      <c r="B24" s="16"/>
      <c r="C24" s="16"/>
      <c r="D24" s="16"/>
      <c r="E24" s="16"/>
      <c r="F24" s="16"/>
      <c r="G24" s="16"/>
      <c r="H24" s="16"/>
      <c r="I24" s="16"/>
      <c r="J24" s="16"/>
      <c r="K24" s="16"/>
      <c r="L24" s="16"/>
      <c r="M24" s="16"/>
      <c r="N24" s="16" t="e">
        <f t="shared" si="1"/>
        <v>#VALUE!</v>
      </c>
      <c r="O24" s="16"/>
    </row>
    <row r="25" spans="1:15">
      <c r="A25" t="b">
        <f t="shared" si="0"/>
        <v>0</v>
      </c>
      <c r="B25" s="17"/>
      <c r="C25" s="17"/>
      <c r="D25" s="17"/>
      <c r="E25" s="17"/>
      <c r="F25" s="17"/>
      <c r="G25" s="17"/>
      <c r="H25" s="17"/>
      <c r="I25" s="20" t="b">
        <f>I23</f>
        <v>0</v>
      </c>
      <c r="J25" s="17"/>
      <c r="K25" s="17"/>
      <c r="L25" s="17"/>
      <c r="M25" s="17"/>
      <c r="N25" t="b">
        <f t="shared" si="1"/>
        <v>0</v>
      </c>
      <c r="O25" s="11" t="s">
        <v>1282</v>
      </c>
    </row>
    <row r="26" spans="1:15">
      <c r="A26" s="16"/>
      <c r="B26" s="16"/>
      <c r="C26" s="16"/>
      <c r="D26" s="16"/>
      <c r="E26" s="16"/>
      <c r="F26" s="16"/>
      <c r="G26" s="16"/>
      <c r="H26" s="16"/>
      <c r="I26" s="16"/>
      <c r="J26" s="16"/>
      <c r="K26" s="16"/>
      <c r="L26" s="16"/>
      <c r="M26" s="16"/>
      <c r="N26" s="16" t="e">
        <f t="shared" si="1"/>
        <v>#VALUE!</v>
      </c>
      <c r="O26" s="16"/>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I25" sqref="I25"/>
    </sheetView>
  </sheetViews>
  <sheetFormatPr defaultRowHeight="15"/>
  <cols>
    <col min="1" max="1" width="60.5703125" customWidth="1"/>
  </cols>
  <sheetData>
    <row r="1" spans="1:3" ht="15.75" thickTop="1">
      <c r="A1" s="3" t="s">
        <v>15</v>
      </c>
      <c r="B1" s="7" t="s">
        <v>18</v>
      </c>
    </row>
    <row r="2" spans="1:3" ht="15.75" thickBot="1">
      <c r="B2" s="4"/>
    </row>
    <row r="3" spans="1:3" ht="15.75" thickBot="1">
      <c r="A3" s="170" t="s">
        <v>1798</v>
      </c>
      <c r="B3" s="180" t="b">
        <v>0</v>
      </c>
      <c r="C3" t="b">
        <f>NOT(B3)</f>
        <v>1</v>
      </c>
    </row>
    <row r="4" spans="1:3" ht="15.75" thickBot="1">
      <c r="A4" s="170" t="s">
        <v>1799</v>
      </c>
      <c r="B4" s="180" t="b">
        <v>0</v>
      </c>
      <c r="C4" t="b">
        <f>NOT(B4)</f>
        <v>1</v>
      </c>
    </row>
    <row r="5" spans="1:3" ht="15.75" thickBot="1">
      <c r="A5" s="170" t="s">
        <v>1800</v>
      </c>
      <c r="B5" s="180" t="b">
        <v>0</v>
      </c>
      <c r="C5" t="b">
        <f t="shared" ref="C5:C10" si="0">NOT(B5)</f>
        <v>1</v>
      </c>
    </row>
    <row r="6" spans="1:3" ht="15.75" thickBot="1">
      <c r="A6" s="161" t="s">
        <v>1801</v>
      </c>
      <c r="B6" s="181" t="b">
        <v>0</v>
      </c>
      <c r="C6" t="b">
        <f t="shared" si="0"/>
        <v>1</v>
      </c>
    </row>
    <row r="7" spans="1:3" ht="15.75" thickBot="1">
      <c r="A7" s="161" t="s">
        <v>1802</v>
      </c>
      <c r="B7" s="181" t="b">
        <v>0</v>
      </c>
      <c r="C7" t="b">
        <f t="shared" si="0"/>
        <v>1</v>
      </c>
    </row>
    <row r="8" spans="1:3" ht="15.75" thickBot="1">
      <c r="A8" s="1" t="s">
        <v>1803</v>
      </c>
      <c r="B8" s="33" t="b">
        <v>0</v>
      </c>
      <c r="C8" t="b">
        <f t="shared" si="0"/>
        <v>1</v>
      </c>
    </row>
    <row r="9" spans="1:3" ht="15.75" thickBot="1">
      <c r="A9" s="1" t="s">
        <v>1912</v>
      </c>
      <c r="B9" s="33" t="b">
        <v>0</v>
      </c>
      <c r="C9" t="b">
        <f t="shared" si="0"/>
        <v>1</v>
      </c>
    </row>
    <row r="10" spans="1:3" ht="15.75" thickBot="1">
      <c r="A10" s="1" t="s">
        <v>1915</v>
      </c>
      <c r="B10" s="33" t="b">
        <v>0</v>
      </c>
      <c r="C10" t="b">
        <f t="shared" si="0"/>
        <v>1</v>
      </c>
    </row>
    <row r="11" spans="1:3" ht="15.75" thickBot="1">
      <c r="A11" s="186" t="s">
        <v>1804</v>
      </c>
      <c r="B11" s="187" t="b">
        <v>0</v>
      </c>
      <c r="C11" t="b">
        <f>NOT(B11)</f>
        <v>1</v>
      </c>
    </row>
    <row r="12" spans="1:3" ht="15.75" thickBot="1">
      <c r="A12" s="186" t="s">
        <v>1805</v>
      </c>
      <c r="B12" s="187" t="b">
        <v>0</v>
      </c>
      <c r="C12" t="b">
        <f t="shared" ref="C12:C28" si="1">NOT(B12)</f>
        <v>1</v>
      </c>
    </row>
    <row r="13" spans="1:3" ht="15.75" thickBot="1">
      <c r="A13" s="186" t="s">
        <v>1806</v>
      </c>
      <c r="B13" s="187" t="b">
        <v>0</v>
      </c>
      <c r="C13" t="b">
        <f t="shared" si="1"/>
        <v>1</v>
      </c>
    </row>
    <row r="14" spans="1:3" ht="15.75" thickBot="1">
      <c r="A14" s="186" t="s">
        <v>1807</v>
      </c>
      <c r="B14" s="187" t="b">
        <v>0</v>
      </c>
      <c r="C14" t="b">
        <f t="shared" si="1"/>
        <v>1</v>
      </c>
    </row>
    <row r="15" spans="1:3" ht="15.75" thickBot="1">
      <c r="A15" s="186" t="s">
        <v>1808</v>
      </c>
      <c r="B15" s="187" t="b">
        <v>0</v>
      </c>
      <c r="C15" t="b">
        <f t="shared" si="1"/>
        <v>1</v>
      </c>
    </row>
    <row r="16" spans="1:3" ht="15.75" thickBot="1">
      <c r="A16" s="165" t="s">
        <v>1809</v>
      </c>
      <c r="B16" s="191" t="b">
        <v>0</v>
      </c>
      <c r="C16" t="b">
        <f t="shared" si="1"/>
        <v>1</v>
      </c>
    </row>
    <row r="17" spans="1:3" ht="15.75" thickBot="1">
      <c r="A17" s="165" t="s">
        <v>1810</v>
      </c>
      <c r="B17" s="191" t="b">
        <v>0</v>
      </c>
      <c r="C17" t="b">
        <f t="shared" si="1"/>
        <v>1</v>
      </c>
    </row>
    <row r="18" spans="1:3" ht="15.75" thickBot="1">
      <c r="A18" s="165" t="s">
        <v>1811</v>
      </c>
      <c r="B18" s="191" t="b">
        <v>0</v>
      </c>
      <c r="C18" t="b">
        <f t="shared" si="1"/>
        <v>1</v>
      </c>
    </row>
    <row r="19" spans="1:3" ht="15.75" thickBot="1">
      <c r="A19" s="165" t="s">
        <v>1812</v>
      </c>
      <c r="B19" s="191" t="b">
        <v>0</v>
      </c>
      <c r="C19" t="b">
        <f t="shared" si="1"/>
        <v>1</v>
      </c>
    </row>
    <row r="20" spans="1:3" ht="15.75" thickBot="1">
      <c r="A20" s="165" t="s">
        <v>1813</v>
      </c>
      <c r="B20" s="191" t="b">
        <v>0</v>
      </c>
      <c r="C20" t="b">
        <f t="shared" si="1"/>
        <v>1</v>
      </c>
    </row>
    <row r="21" spans="1:3" ht="15.75" thickBot="1">
      <c r="A21" s="192" t="s">
        <v>1814</v>
      </c>
      <c r="B21" s="193" t="b">
        <v>0</v>
      </c>
      <c r="C21" t="b">
        <f t="shared" si="1"/>
        <v>1</v>
      </c>
    </row>
    <row r="22" spans="1:3" ht="15.75" thickBot="1">
      <c r="A22" s="192" t="s">
        <v>1815</v>
      </c>
      <c r="B22" s="193" t="b">
        <v>0</v>
      </c>
      <c r="C22" t="b">
        <f t="shared" si="1"/>
        <v>1</v>
      </c>
    </row>
    <row r="23" spans="1:3" ht="15.75" thickBot="1">
      <c r="A23" s="194" t="s">
        <v>1816</v>
      </c>
      <c r="B23" s="195" t="b">
        <v>0</v>
      </c>
      <c r="C23" t="b">
        <f t="shared" si="1"/>
        <v>1</v>
      </c>
    </row>
    <row r="24" spans="1:3" ht="15.75" thickBot="1">
      <c r="A24" s="194" t="s">
        <v>1817</v>
      </c>
      <c r="B24" s="195" t="b">
        <v>0</v>
      </c>
      <c r="C24" t="b">
        <f t="shared" si="1"/>
        <v>1</v>
      </c>
    </row>
    <row r="25" spans="1:3" ht="15.75" thickBot="1">
      <c r="A25" s="194" t="s">
        <v>1818</v>
      </c>
      <c r="B25" s="195" t="b">
        <v>0</v>
      </c>
      <c r="C25" t="b">
        <f t="shared" si="1"/>
        <v>1</v>
      </c>
    </row>
    <row r="26" spans="1:3" ht="15.75" thickBot="1">
      <c r="A26" s="194" t="s">
        <v>1819</v>
      </c>
      <c r="B26" s="195" t="b">
        <v>0</v>
      </c>
      <c r="C26" t="b">
        <f t="shared" si="1"/>
        <v>1</v>
      </c>
    </row>
    <row r="27" spans="1:3" ht="15.75" thickBot="1">
      <c r="A27" s="194" t="s">
        <v>1821</v>
      </c>
      <c r="B27" s="195" t="b">
        <v>0</v>
      </c>
      <c r="C27" t="b">
        <f t="shared" si="1"/>
        <v>1</v>
      </c>
    </row>
    <row r="28" spans="1:3" ht="15.75" thickBot="1">
      <c r="A28" s="194" t="s">
        <v>1820</v>
      </c>
      <c r="B28" s="195"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2"/>
  <sheetViews>
    <sheetView topLeftCell="J1" workbookViewId="0">
      <selection activeCell="AB30" sqref="AB30"/>
    </sheetView>
  </sheetViews>
  <sheetFormatPr defaultRowHeight="15"/>
  <cols>
    <col min="1" max="1" width="33.140625" customWidth="1"/>
    <col min="2" max="16" width="11" customWidth="1"/>
    <col min="17" max="18" width="12.28515625" customWidth="1"/>
    <col min="19" max="29" width="11" customWidth="1"/>
    <col min="30" max="30" width="58.7109375" customWidth="1"/>
    <col min="31" max="31" width="24.42578125" customWidth="1"/>
  </cols>
  <sheetData>
    <row r="1" spans="1:30">
      <c r="A1" s="70" t="s">
        <v>1212</v>
      </c>
      <c r="B1" t="s">
        <v>1822</v>
      </c>
      <c r="C1" t="s">
        <v>1662</v>
      </c>
      <c r="D1" t="s">
        <v>1663</v>
      </c>
      <c r="E1" t="s">
        <v>1672</v>
      </c>
      <c r="F1" t="s">
        <v>1673</v>
      </c>
      <c r="G1" t="s">
        <v>1679</v>
      </c>
      <c r="H1" t="s">
        <v>1913</v>
      </c>
      <c r="I1" t="s">
        <v>1914</v>
      </c>
      <c r="J1" t="s">
        <v>1478</v>
      </c>
      <c r="K1" t="s">
        <v>1479</v>
      </c>
      <c r="L1" t="s">
        <v>1664</v>
      </c>
      <c r="M1" t="s">
        <v>1711</v>
      </c>
      <c r="N1" t="s">
        <v>1659</v>
      </c>
      <c r="O1" t="s">
        <v>1660</v>
      </c>
      <c r="P1" t="s">
        <v>1684</v>
      </c>
      <c r="Q1" t="s">
        <v>1669</v>
      </c>
      <c r="R1" t="s">
        <v>1681</v>
      </c>
      <c r="S1" t="s">
        <v>1678</v>
      </c>
      <c r="T1" t="s">
        <v>1696</v>
      </c>
      <c r="U1" t="s">
        <v>1665</v>
      </c>
      <c r="V1" t="s">
        <v>1667</v>
      </c>
      <c r="W1" t="s">
        <v>1354</v>
      </c>
      <c r="X1" t="s">
        <v>1355</v>
      </c>
      <c r="Y1" t="s">
        <v>1356</v>
      </c>
      <c r="Z1" t="s">
        <v>1697</v>
      </c>
      <c r="AA1" t="s">
        <v>1698</v>
      </c>
      <c r="AB1" t="s">
        <v>1704</v>
      </c>
      <c r="AC1" s="9" t="s">
        <v>590</v>
      </c>
      <c r="AD1" s="124" t="s">
        <v>591</v>
      </c>
    </row>
    <row r="2" spans="1:30">
      <c r="A2" s="70"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9" t="s">
        <v>1661</v>
      </c>
    </row>
    <row r="3" spans="1:30">
      <c r="A3" s="70"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9" t="s">
        <v>1666</v>
      </c>
    </row>
    <row r="4" spans="1:30">
      <c r="A4" s="70"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9" t="s">
        <v>1668</v>
      </c>
    </row>
    <row r="5" spans="1:30">
      <c r="A5" s="70"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9" t="s">
        <v>1670</v>
      </c>
    </row>
    <row r="6" spans="1:30">
      <c r="A6" s="70"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9" t="s">
        <v>1671</v>
      </c>
    </row>
    <row r="7" spans="1:30">
      <c r="A7" s="70"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9" t="s">
        <v>1674</v>
      </c>
    </row>
    <row r="8" spans="1:30">
      <c r="A8" s="70"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9" t="s">
        <v>1675</v>
      </c>
    </row>
    <row r="9" spans="1:30">
      <c r="A9" s="70"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9" t="s">
        <v>1676</v>
      </c>
    </row>
    <row r="10" spans="1:30">
      <c r="A10" s="70"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9" t="s">
        <v>1677</v>
      </c>
    </row>
    <row r="11" spans="1:30">
      <c r="A11" s="70"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9" t="s">
        <v>1680</v>
      </c>
    </row>
    <row r="12" spans="1:30">
      <c r="A12" s="70"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9" t="s">
        <v>1682</v>
      </c>
    </row>
    <row r="13" spans="1:30">
      <c r="A13" s="70"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9" t="s">
        <v>1683</v>
      </c>
    </row>
    <row r="14" spans="1:30">
      <c r="A14" s="70"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9" t="s">
        <v>1685</v>
      </c>
    </row>
    <row r="15" spans="1:30">
      <c r="A15" s="70"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9" t="s">
        <v>1686</v>
      </c>
    </row>
    <row r="16" spans="1:30">
      <c r="A16" s="70"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9" t="s">
        <v>1687</v>
      </c>
    </row>
    <row r="17" spans="1:30">
      <c r="A17" s="70"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9" t="s">
        <v>1688</v>
      </c>
    </row>
    <row r="18" spans="1:30">
      <c r="A18" s="70"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9" t="s">
        <v>1689</v>
      </c>
    </row>
    <row r="19" spans="1:30">
      <c r="A19" s="70"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9" t="s">
        <v>1690</v>
      </c>
    </row>
    <row r="20" spans="1:30">
      <c r="A20" s="70"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9" t="s">
        <v>1691</v>
      </c>
    </row>
    <row r="21" spans="1:30">
      <c r="A21" s="70"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9" t="s">
        <v>1692</v>
      </c>
    </row>
    <row r="22" spans="1:30">
      <c r="A22" s="70"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9" t="s">
        <v>1689</v>
      </c>
    </row>
    <row r="23" spans="1:30">
      <c r="A23" s="70"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9" t="s">
        <v>1693</v>
      </c>
    </row>
    <row r="24" spans="1:30">
      <c r="A24" s="70"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9" t="s">
        <v>1694</v>
      </c>
    </row>
    <row r="25" spans="1:30">
      <c r="A25" s="70"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6" t="b">
        <f>AND((Table31[[#This Row],[Unisex]:[Regular]]),OR(Table31[[#This Row],[Small]:[Bariatric (XXXL)]]))</f>
        <v>0</v>
      </c>
      <c r="AD25" s="29" t="s">
        <v>1695</v>
      </c>
    </row>
    <row r="26" spans="1:30">
      <c r="A26" s="70"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6" t="b">
        <f>AND((Table31[[#This Row],[Unisex]:[Regular]]),OR(Table31[[#This Row],[Small]:[Bariatric (XXXL)]]))</f>
        <v>0</v>
      </c>
      <c r="AD26" s="29" t="s">
        <v>1699</v>
      </c>
    </row>
    <row r="27" spans="1:30">
      <c r="A27" s="70"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6" t="b">
        <f>AND((Table31[[#This Row],[Unisex]:[Regular]]),OR(Table31[[#This Row],[Small]:[Bariatric (XXXL)]]))</f>
        <v>0</v>
      </c>
      <c r="AD27" s="29" t="s">
        <v>1700</v>
      </c>
    </row>
    <row r="28" spans="1:30">
      <c r="A28" s="70"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6" t="b">
        <f>AND((Table31[[#This Row],[Unisex]:[Regular]]),OR(Table31[[#This Row],[Small]:[Bariatric (XXXL)]]))</f>
        <v>0</v>
      </c>
      <c r="AD28" s="29" t="s">
        <v>1701</v>
      </c>
    </row>
    <row r="29" spans="1:30">
      <c r="A29" s="70"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6" t="b">
        <f>AND((Table31[[#This Row],[Unisex]:[Regular]]),OR(Table31[[#This Row],[Small]:[Bariatric (XXXL)]]))</f>
        <v>0</v>
      </c>
      <c r="AD29" s="29" t="s">
        <v>1702</v>
      </c>
    </row>
    <row r="30" spans="1:30">
      <c r="A30" s="70"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6" t="b">
        <f>AND((Table31[[#This Row],[Unisex]:[Regular]]),OR(Table31[[#This Row],[Small]:[Bariatric (XXXL)]]))</f>
        <v>0</v>
      </c>
      <c r="AD30" s="29" t="s">
        <v>1703</v>
      </c>
    </row>
    <row r="31" spans="1:30">
      <c r="A31" s="70"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6" t="b">
        <f>AND((Table31[[#This Row],[Unisex]:[Regular]]),OR(Table31[[#This Row],[Small]:[Bariatric (XXXL)]]))</f>
        <v>0</v>
      </c>
      <c r="AD31" s="29" t="s">
        <v>1705</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90"/>
    </row>
    <row r="33" spans="1:30">
      <c r="A33" s="70"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6" t="b">
        <f>AND((Table31[[#This Row],[Unisex]:[Regular]]),OR(Table31[[#This Row],[Small]:[Bariatric (XXXL)]]))</f>
        <v>0</v>
      </c>
      <c r="AD33" s="29" t="s">
        <v>1706</v>
      </c>
    </row>
    <row r="34" spans="1:30">
      <c r="A34" s="70"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6" t="b">
        <f>AND((Table31[[#This Row],[Unisex]:[Regular]]),OR(Table31[[#This Row],[Small]:[Bariatric (XXXL)]]))</f>
        <v>0</v>
      </c>
      <c r="AD34" s="29" t="s">
        <v>1707</v>
      </c>
    </row>
    <row r="35" spans="1:30">
      <c r="A35" s="70"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6" t="b">
        <f>AND((Table31[[#This Row],[Unisex]:[Regular]]),OR(Table31[[#This Row],[Small]:[Bariatric (XXXL)]]))</f>
        <v>0</v>
      </c>
      <c r="AD35" s="29" t="s">
        <v>1708</v>
      </c>
    </row>
    <row r="36" spans="1:30">
      <c r="A36" s="70"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6" t="b">
        <f>AND((Table31[[#This Row],[Unisex]:[Regular]]),OR(Table31[[#This Row],[Small]:[Bariatric (XXXL)]]))</f>
        <v>0</v>
      </c>
      <c r="AD36" s="29" t="s">
        <v>1709</v>
      </c>
    </row>
    <row r="37" spans="1:30">
      <c r="A37" s="70"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9" t="s">
        <v>1710</v>
      </c>
    </row>
    <row r="38" spans="1:30">
      <c r="A38" s="70"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9" t="s">
        <v>1712</v>
      </c>
    </row>
    <row r="39" spans="1:30">
      <c r="A39" s="70"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6" t="b">
        <f>AND((Table31[[#This Row],[Unisex]:[Regular]]),OR(Table31[[#This Row],[Small]:[Bariatric (XXXL)]]))</f>
        <v>0</v>
      </c>
      <c r="AD39" s="29" t="s">
        <v>1713</v>
      </c>
    </row>
    <row r="40" spans="1:30">
      <c r="A40" s="70"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6" t="b">
        <f>AND((Table31[[#This Row],[Unisex]:[Regular]]),OR(Table31[[#This Row],[Small]:[Bariatric (XXXL)]]))</f>
        <v>0</v>
      </c>
      <c r="AD40" s="29" t="s">
        <v>1714</v>
      </c>
    </row>
    <row r="41" spans="1:30">
      <c r="A41" s="70"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6" t="b">
        <f>AND((Table31[[#This Row],[Unisex]:[Regular]]),OR(Table31[[#This Row],[Small]:[Bariatric (XXXL)]]))</f>
        <v>0</v>
      </c>
      <c r="AD41" s="29" t="s">
        <v>1715</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90"/>
    </row>
    <row r="43" spans="1:30">
      <c r="A43" s="70"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9" t="s">
        <v>1716</v>
      </c>
    </row>
    <row r="44" spans="1:30">
      <c r="A44" s="70"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9" t="s">
        <v>1717</v>
      </c>
    </row>
    <row r="45" spans="1:30">
      <c r="A45" s="70"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9" t="s">
        <v>1718</v>
      </c>
    </row>
    <row r="46" spans="1:30">
      <c r="A46" s="70"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9" t="s">
        <v>1720</v>
      </c>
    </row>
    <row r="47" spans="1:30">
      <c r="A47" s="70"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9" t="s">
        <v>1722</v>
      </c>
    </row>
    <row r="48" spans="1:30">
      <c r="A48" s="70"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9" t="s">
        <v>1719</v>
      </c>
    </row>
    <row r="49" spans="1:30">
      <c r="A49" s="70"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9" t="s">
        <v>1721</v>
      </c>
    </row>
    <row r="50" spans="1:30">
      <c r="A50" s="70"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9" t="s">
        <v>1723</v>
      </c>
    </row>
    <row r="51" spans="1:30">
      <c r="A51" s="70"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9" t="s">
        <v>1724</v>
      </c>
    </row>
    <row r="52" spans="1:30">
      <c r="A52" s="70"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9" t="s">
        <v>1725</v>
      </c>
    </row>
    <row r="53" spans="1:30">
      <c r="A53" s="70"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9" t="s">
        <v>1726</v>
      </c>
    </row>
    <row r="54" spans="1:30">
      <c r="A54" s="70"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9" t="s">
        <v>1727</v>
      </c>
    </row>
    <row r="55" spans="1:30">
      <c r="A55" s="70"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9" t="s">
        <v>1728</v>
      </c>
    </row>
    <row r="56" spans="1:30">
      <c r="A56" s="70"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9" t="s">
        <v>1729</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70"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9" t="s">
        <v>1731</v>
      </c>
    </row>
    <row r="59" spans="1:30">
      <c r="A59" s="70"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9" t="s">
        <v>1730</v>
      </c>
    </row>
    <row r="60" spans="1:30">
      <c r="A60" s="70"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9" t="s">
        <v>1732</v>
      </c>
    </row>
    <row r="61" spans="1:30">
      <c r="A61" s="70"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9" t="s">
        <v>1733</v>
      </c>
    </row>
    <row r="62" spans="1:30">
      <c r="A62" s="70"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9" t="s">
        <v>1734</v>
      </c>
    </row>
    <row r="63" spans="1:30">
      <c r="A63" s="70"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9" t="s">
        <v>1735</v>
      </c>
    </row>
    <row r="64" spans="1:30">
      <c r="A64" s="70"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9" t="s">
        <v>1737</v>
      </c>
    </row>
    <row r="65" spans="1:30">
      <c r="A65" s="70"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9" t="s">
        <v>1736</v>
      </c>
    </row>
    <row r="66" spans="1:30">
      <c r="A66" s="70"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11" t="s">
        <v>1738</v>
      </c>
    </row>
    <row r="67" spans="1:30">
      <c r="A67" s="70"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11" t="s">
        <v>1739</v>
      </c>
    </row>
    <row r="68" spans="1:30" ht="14.25" customHeight="1">
      <c r="A68" s="70"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6" t="b">
        <f>AND((Table31[[#This Row],[Unisex]:[Regular]]),OR(Table31[[#This Row],[Small]:[Bariatric (XXXL)]]))</f>
        <v>0</v>
      </c>
      <c r="AD68" s="29" t="s">
        <v>1742</v>
      </c>
    </row>
    <row r="69" spans="1:30">
      <c r="A69" s="70"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6" t="b">
        <f>AND((Table31[[#This Row],[Unisex]:[Regular]]),OR(Table31[[#This Row],[Small]:[Bariatric (XXXL)]]))</f>
        <v>0</v>
      </c>
      <c r="AD69" s="11" t="s">
        <v>1743</v>
      </c>
    </row>
    <row r="70" spans="1:30">
      <c r="A70" s="70"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6" t="b">
        <f>AND((Table31[[#This Row],[Unisex]:[Regular]]),OR(Table31[[#This Row],[Small]:[Bariatric (XXXL)]]))</f>
        <v>0</v>
      </c>
      <c r="AD70" s="11" t="s">
        <v>1740</v>
      </c>
    </row>
    <row r="71" spans="1:30">
      <c r="A71" s="70"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6" t="b">
        <f>AND((Table31[[#This Row],[Unisex]:[Regular]]),OR(Table31[[#This Row],[Small]:[Bariatric (XXXL)]]))</f>
        <v>0</v>
      </c>
      <c r="AD71" s="11" t="s">
        <v>1741</v>
      </c>
    </row>
    <row r="72" spans="1:30">
      <c r="A72" s="70"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6" t="b">
        <f>AND((Table31[[#This Row],[Unisex]:[Regular]]),OR(Table31[[#This Row],[Small]:[Bariatric (XXXL)]]))</f>
        <v>0</v>
      </c>
      <c r="AD72" s="11" t="s">
        <v>1744</v>
      </c>
    </row>
    <row r="73" spans="1:30">
      <c r="A73" s="70"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6" t="b">
        <f>AND((Table31[[#This Row],[Unisex]:[Regular]]),OR(Table31[[#This Row],[Small]:[Bariatric (XXXL)]]))</f>
        <v>0</v>
      </c>
      <c r="AD73" s="11" t="s">
        <v>1745</v>
      </c>
    </row>
    <row r="74" spans="1:30">
      <c r="A74" s="70"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9" t="s">
        <v>1746</v>
      </c>
    </row>
    <row r="75" spans="1:30">
      <c r="A75" s="70"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9" t="s">
        <v>1747</v>
      </c>
    </row>
    <row r="76" spans="1:30">
      <c r="A76" s="70"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11" t="s">
        <v>1748</v>
      </c>
    </row>
    <row r="77" spans="1:30">
      <c r="A77" s="70"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11" t="s">
        <v>1749</v>
      </c>
    </row>
    <row r="78" spans="1:30">
      <c r="A78" s="70"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6" t="b">
        <f>AND((Table31[[#This Row],[Unisex]:[Regular]]),OR(Table31[[#This Row],[Small]:[Bariatric (XXXL)]]))</f>
        <v>0</v>
      </c>
      <c r="AD78" s="29" t="s">
        <v>1750</v>
      </c>
    </row>
    <row r="79" spans="1:30">
      <c r="A79" s="70"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6" t="b">
        <f>AND((Table31[[#This Row],[Unisex]:[Regular]]),OR(Table31[[#This Row],[Small]:[Bariatric (XXXL)]]))</f>
        <v>0</v>
      </c>
      <c r="AD79" s="11" t="s">
        <v>1751</v>
      </c>
    </row>
    <row r="80" spans="1:30">
      <c r="A80" s="70"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6" t="b">
        <f>AND((Table31[[#This Row],[Unisex]:[Regular]]),OR(Table31[[#This Row],[Small]:[Bariatric (XXXL)]]))</f>
        <v>0</v>
      </c>
      <c r="AD80" s="11" t="s">
        <v>1752</v>
      </c>
    </row>
    <row r="81" spans="1:30">
      <c r="A81" s="70"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6" t="b">
        <f>AND((Table31[[#This Row],[Unisex]:[Regular]]),OR(Table31[[#This Row],[Small]:[Bariatric (XXXL)]]))</f>
        <v>0</v>
      </c>
      <c r="AD81" s="11" t="s">
        <v>1753</v>
      </c>
    </row>
    <row r="82" spans="1:30">
      <c r="A82" s="70"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6" t="b">
        <f>AND((Table31[[#This Row],[Unisex]:[Regular]]),OR(Table31[[#This Row],[Small]:[Bariatric (XXXL)]]))</f>
        <v>0</v>
      </c>
      <c r="AD82" s="11" t="s">
        <v>1754</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70"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6" t="b">
        <f>AND((Table31[[#This Row],[Unisex]:[Regular]]),OR(Table31[[#This Row],[Small]:[Bariatric (XXXL)]]))</f>
        <v>0</v>
      </c>
      <c r="AD84" s="28" t="s">
        <v>1755</v>
      </c>
    </row>
    <row r="85" spans="1:30">
      <c r="A85" s="70"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6" t="b">
        <f>AND((Table31[[#This Row],[Unisex]:[Regular]]),OR(Table31[[#This Row],[Small]:[Bariatric (XXXL)]]))</f>
        <v>0</v>
      </c>
      <c r="AD85" s="28" t="s">
        <v>1757</v>
      </c>
    </row>
    <row r="86" spans="1:30">
      <c r="A86" s="70"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6" t="b">
        <f>AND((Table31[[#This Row],[Unisex]:[Regular]]),OR(Table31[[#This Row],[Small]:[Bariatric (XXXL)]]))</f>
        <v>0</v>
      </c>
      <c r="AD86" s="28" t="s">
        <v>1758</v>
      </c>
    </row>
    <row r="87" spans="1:30">
      <c r="A87" s="70"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6" t="b">
        <f>AND((Table31[[#This Row],[Unisex]:[Regular]]),OR(Table31[[#This Row],[Small]:[Bariatric (XXXL)]]))</f>
        <v>0</v>
      </c>
      <c r="AD87" s="28" t="s">
        <v>1759</v>
      </c>
    </row>
    <row r="88" spans="1:30">
      <c r="A88" s="70"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6" t="b">
        <f>AND((Table31[[#This Row],[Unisex]:[Regular]]),OR(Table31[[#This Row],[Small]:[Bariatric (XXXL)]]))</f>
        <v>0</v>
      </c>
      <c r="AD88" s="28" t="s">
        <v>1760</v>
      </c>
    </row>
    <row r="89" spans="1:30">
      <c r="A89" s="70"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6" t="b">
        <f>AND((Table31[[#This Row],[Unisex]:[Regular]]),OR(Table31[[#This Row],[Small]:[Bariatric (XXXL)]]))</f>
        <v>0</v>
      </c>
      <c r="AD89" s="28" t="s">
        <v>1761</v>
      </c>
    </row>
    <row r="90" spans="1:30">
      <c r="A90" s="70"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6" t="b">
        <f>AND((Table31[[#This Row],[Unisex]:[Regular]]),OR(Table31[[#This Row],[Small]:[Bariatric (XXXL)]]))</f>
        <v>0</v>
      </c>
      <c r="AD90" s="28" t="s">
        <v>1762</v>
      </c>
    </row>
    <row r="91" spans="1:30">
      <c r="A91" s="70"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6" t="b">
        <f>AND((Table31[[#This Row],[Unisex]:[Regular]]),OR(Table31[[#This Row],[Small]:[Bariatric (XXXL)]]))</f>
        <v>0</v>
      </c>
      <c r="AD91" s="28" t="s">
        <v>1763</v>
      </c>
    </row>
    <row r="92" spans="1:30">
      <c r="A92" s="70"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6" t="b">
        <f>AND((Table31[[#This Row],[Unisex]:[Regular]]),OR(Table31[[#This Row],[Small]:[Bariatric (XXXL)]]))</f>
        <v>0</v>
      </c>
      <c r="AD92" s="28" t="s">
        <v>1764</v>
      </c>
    </row>
    <row r="93" spans="1:30">
      <c r="A93" s="70"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6" t="b">
        <f>AND((Table31[[#This Row],[Unisex]:[Regular]]),OR(Table31[[#This Row],[Small]:[Bariatric (XXXL)]]))</f>
        <v>0</v>
      </c>
      <c r="AD93" s="28" t="s">
        <v>1756</v>
      </c>
    </row>
    <row r="94" spans="1:30">
      <c r="A94" s="70"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6" t="b">
        <f>AND((Table31[[#This Row],[Unisex]:[Regular]]),OR(Table31[[#This Row],[Small]:[Bariatric (XXXL)]]))</f>
        <v>0</v>
      </c>
      <c r="AD94" s="28" t="s">
        <v>1765</v>
      </c>
    </row>
    <row r="95" spans="1:30">
      <c r="A95" s="70"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8" t="s">
        <v>1766</v>
      </c>
    </row>
    <row r="96" spans="1:30">
      <c r="A96" s="70"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6" t="b">
        <f>AND((Table31[[#This Row],[Unisex]:[Regular]]),OR(Table31[[#This Row],[Small]:[Bariatric (XXXL)]]))</f>
        <v>0</v>
      </c>
      <c r="AD96" s="28" t="s">
        <v>1767</v>
      </c>
    </row>
    <row r="97" spans="1:30">
      <c r="A97" s="70"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6" t="b">
        <f>AND((Table31[[#This Row],[Unisex]:[Regular]]),OR(Table31[[#This Row],[Small]:[Bariatric (XXXL)]]))</f>
        <v>0</v>
      </c>
      <c r="AD97" s="28" t="s">
        <v>1768</v>
      </c>
    </row>
    <row r="98" spans="1:30">
      <c r="A98" s="70"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6" t="b">
        <f>AND((Table31[[#This Row],[Unisex]:[Regular]]),OR(Table31[[#This Row],[Small]:[Bariatric (XXXL)]]))</f>
        <v>0</v>
      </c>
      <c r="AD98" s="28" t="s">
        <v>1769</v>
      </c>
    </row>
    <row r="99" spans="1:30">
      <c r="A99" s="70"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6" t="b">
        <f>AND((Table31[[#This Row],[Unisex]:[Regular]]),OR(Table31[[#This Row],[Small]:[Bariatric (XXXL)]]))</f>
        <v>0</v>
      </c>
      <c r="AD99" s="28" t="s">
        <v>1770</v>
      </c>
    </row>
    <row r="100" spans="1:30">
      <c r="A100" s="70"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6" t="b">
        <f>AND((Table31[[#This Row],[Unisex]:[Regular]]),OR(Table31[[#This Row],[Small]:[Bariatric (XXXL)]]))</f>
        <v>0</v>
      </c>
      <c r="AD100" s="28" t="s">
        <v>1771</v>
      </c>
    </row>
    <row r="101" spans="1:30">
      <c r="A101" s="70"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8" t="s">
        <v>1772</v>
      </c>
    </row>
    <row r="102" spans="1:30">
      <c r="A102" s="70"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8" t="s">
        <v>1773</v>
      </c>
    </row>
    <row r="103" spans="1:30">
      <c r="A103" s="70"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8" t="s">
        <v>1774</v>
      </c>
    </row>
    <row r="104" spans="1:30">
      <c r="A104" s="70"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8" t="s">
        <v>1775</v>
      </c>
    </row>
    <row r="105" spans="1:30">
      <c r="A105" s="70"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8" t="s">
        <v>1776</v>
      </c>
    </row>
    <row r="106" spans="1:30">
      <c r="A106" s="70"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8" t="s">
        <v>1777</v>
      </c>
    </row>
    <row r="107" spans="1:30">
      <c r="A107" s="70"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8" t="s">
        <v>1778</v>
      </c>
    </row>
    <row r="108" spans="1:30">
      <c r="A108" s="70"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8" t="s">
        <v>1779</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70"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11" t="s">
        <v>1780</v>
      </c>
    </row>
    <row r="111" spans="1:30">
      <c r="A111" s="70"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11" t="s">
        <v>1781</v>
      </c>
    </row>
    <row r="112" spans="1:30">
      <c r="A112" s="70"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11" t="s">
        <v>1782</v>
      </c>
    </row>
    <row r="113" spans="1:30">
      <c r="A113" s="70"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11" t="s">
        <v>1783</v>
      </c>
    </row>
    <row r="114" spans="1:30">
      <c r="A114" s="70"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11" t="s">
        <v>1784</v>
      </c>
    </row>
    <row r="115" spans="1:30">
      <c r="A115" s="70"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11" t="s">
        <v>1785</v>
      </c>
    </row>
    <row r="116" spans="1:30">
      <c r="A116" s="70"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6" t="b">
        <f>AND((Table31[[#This Row],[Unisex]:[Regular]]),OR(Table31[[#This Row],[Small]:[Bariatric (XXXL)]]))</f>
        <v>0</v>
      </c>
      <c r="AD116" s="28" t="s">
        <v>1786</v>
      </c>
    </row>
    <row r="117" spans="1:30">
      <c r="A117" s="70"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6" t="b">
        <f>AND((Table31[[#This Row],[Unisex]:[Regular]]),OR(Table31[[#This Row],[Small]:[Bariatric (XXXL)]]))</f>
        <v>0</v>
      </c>
      <c r="AD117" s="28" t="s">
        <v>1787</v>
      </c>
    </row>
    <row r="118" spans="1:30">
      <c r="A118" s="70"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6" t="b">
        <f>AND((Table31[[#This Row],[Unisex]:[Regular]]),OR(Table31[[#This Row],[Small]:[Bariatric (XXXL)]]))</f>
        <v>0</v>
      </c>
      <c r="AD118" s="28" t="s">
        <v>1788</v>
      </c>
    </row>
    <row r="119" spans="1:30">
      <c r="A119" s="70"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8" t="s">
        <v>1789</v>
      </c>
    </row>
    <row r="120" spans="1:30">
      <c r="A120" s="70"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6" t="b">
        <f>AND((Table31[[#This Row],[Unisex]:[Regular]]),OR(Table31[[#This Row],[Small]:[Bariatric (XXXL)]]))</f>
        <v>0</v>
      </c>
      <c r="AD120" s="28" t="s">
        <v>1790</v>
      </c>
    </row>
    <row r="121" spans="1:30">
      <c r="A121" s="70"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6" t="b">
        <f>AND((Table31[[#This Row],[Unisex]:[Regular]]),OR(Table31[[#This Row],[Small]:[Bariatric (XXXL)]]))</f>
        <v>0</v>
      </c>
      <c r="AD121" s="28" t="s">
        <v>1791</v>
      </c>
    </row>
    <row r="122" spans="1:30">
      <c r="A122" s="70"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6" t="b">
        <f>AND((Table31[[#This Row],[Unisex]:[Regular]]),OR(Table31[[#This Row],[Small]:[Bariatric (XXXL)]]))</f>
        <v>0</v>
      </c>
      <c r="AD122" s="28" t="s">
        <v>1792</v>
      </c>
    </row>
    <row r="123" spans="1:30">
      <c r="A123" s="70"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6" t="b">
        <f>AND((Table31[[#This Row],[Unisex]:[Regular]]),OR(Table31[[#This Row],[Small]:[Bariatric (XXXL)]]))</f>
        <v>0</v>
      </c>
      <c r="AD123" s="11" t="s">
        <v>1793</v>
      </c>
    </row>
    <row r="124" spans="1:30">
      <c r="A124" s="70"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6" t="b">
        <f>AND((Table31[[#This Row],[Unisex]:[Regular]]),OR(Table31[[#This Row],[Small]:[Bariatric (XXXL)]]))</f>
        <v>0</v>
      </c>
      <c r="AD124" s="28" t="s">
        <v>1794</v>
      </c>
    </row>
    <row r="125" spans="1:30">
      <c r="A125" s="70"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6" t="b">
        <f>AND((Table31[[#This Row],[Unisex]:[Regular]]),OR(Table31[[#This Row],[Small]:[Bariatric (XXXL)]]))</f>
        <v>0</v>
      </c>
      <c r="AD125" s="28" t="s">
        <v>1795</v>
      </c>
    </row>
    <row r="126" spans="1:30">
      <c r="A126" s="70"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6" t="b">
        <f>AND((Table31[[#This Row],[Unisex]:[Regular]]),OR(Table31[[#This Row],[Small]:[Bariatric (XXXL)]]))</f>
        <v>0</v>
      </c>
      <c r="AD126" s="28" t="s">
        <v>1796</v>
      </c>
    </row>
    <row r="127" spans="1:30">
      <c r="A127" s="70"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6" t="b">
        <f>AND((Table31[[#This Row],[Unisex]:[Regular]]),OR(Table31[[#This Row],[Small]:[Bariatric (XXXL)]]))</f>
        <v>0</v>
      </c>
      <c r="AD127" s="28" t="s">
        <v>1797</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1">
      <c r="A129" t="b">
        <f>IF(Table31[[#This Row],[Column8]],Table31[[#This Row],[Column9]])</f>
        <v>0</v>
      </c>
    </row>
    <row r="130" spans="1:1">
      <c r="A130" t="b">
        <f>IF(Table31[[#This Row],[Column8]],Table31[[#This Row],[Column9]])</f>
        <v>0</v>
      </c>
    </row>
    <row r="131" spans="1:1">
      <c r="A131" t="b">
        <f>IF(Table31[[#This Row],[Column8]],Table31[[#This Row],[Column9]])</f>
        <v>0</v>
      </c>
    </row>
    <row r="132" spans="1:1">
      <c r="A132" t="b">
        <f>IF(Table31[[#This Row],[Column8]],Table31[[#This Row],[Column9]])</f>
        <v>0</v>
      </c>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B12" sqref="B12"/>
    </sheetView>
  </sheetViews>
  <sheetFormatPr defaultRowHeight="15"/>
  <cols>
    <col min="1" max="1" width="45.28515625" customWidth="1"/>
  </cols>
  <sheetData>
    <row r="1" spans="1:3" ht="15.75" thickTop="1">
      <c r="A1" s="3" t="s">
        <v>15</v>
      </c>
      <c r="B1" s="7" t="s">
        <v>18</v>
      </c>
    </row>
    <row r="2" spans="1:3" ht="15.75" thickBot="1">
      <c r="B2" s="4"/>
    </row>
    <row r="3" spans="1:3" ht="15.75" thickBot="1">
      <c r="A3" s="55" t="s">
        <v>1922</v>
      </c>
      <c r="B3" s="147" t="b">
        <v>0</v>
      </c>
      <c r="C3" t="b">
        <f>NOT(B3)</f>
        <v>1</v>
      </c>
    </row>
    <row r="4" spans="1:3" ht="15.75" thickBot="1">
      <c r="A4" s="170" t="s">
        <v>1923</v>
      </c>
      <c r="B4" s="180" t="b">
        <v>0</v>
      </c>
      <c r="C4" t="b">
        <f>NOT(B4)</f>
        <v>1</v>
      </c>
    </row>
    <row r="5" spans="1:3" ht="15.75" thickBot="1">
      <c r="A5" s="170" t="s">
        <v>1924</v>
      </c>
      <c r="B5" s="180" t="b">
        <v>0</v>
      </c>
      <c r="C5" t="b">
        <f t="shared" ref="C5:C7" si="0">NOT(B5)</f>
        <v>1</v>
      </c>
    </row>
    <row r="6" spans="1:3" ht="15.75" thickBot="1">
      <c r="A6" s="158" t="s">
        <v>1925</v>
      </c>
      <c r="B6" s="182" t="b">
        <v>0</v>
      </c>
      <c r="C6" t="b">
        <f t="shared" si="0"/>
        <v>1</v>
      </c>
    </row>
    <row r="7" spans="1:3" ht="15.75" thickBot="1">
      <c r="A7" s="158" t="s">
        <v>1932</v>
      </c>
      <c r="B7" s="182" t="b">
        <v>0</v>
      </c>
      <c r="C7" t="b">
        <f t="shared" si="0"/>
        <v>1</v>
      </c>
    </row>
    <row r="8" spans="1:3" ht="15.75" thickBot="1">
      <c r="A8" s="55" t="s">
        <v>1934</v>
      </c>
      <c r="B8" s="147" t="b">
        <v>0</v>
      </c>
      <c r="C8" t="b">
        <f t="shared" ref="C8:C12" si="1">NOT(B8)</f>
        <v>1</v>
      </c>
    </row>
    <row r="9" spans="1:3" ht="15.75" thickBot="1">
      <c r="A9" s="215" t="s">
        <v>1936</v>
      </c>
      <c r="B9" s="147" t="b">
        <v>0</v>
      </c>
      <c r="C9" t="b">
        <f t="shared" si="1"/>
        <v>1</v>
      </c>
    </row>
    <row r="10" spans="1:3" ht="15.75" thickBot="1">
      <c r="A10" s="55" t="s">
        <v>1935</v>
      </c>
      <c r="B10" s="147" t="b">
        <v>0</v>
      </c>
      <c r="C10" t="b">
        <f t="shared" si="1"/>
        <v>1</v>
      </c>
    </row>
    <row r="11" spans="1:3" ht="15.75" thickBot="1">
      <c r="A11" s="162" t="s">
        <v>1926</v>
      </c>
      <c r="B11" s="183" t="b">
        <v>0</v>
      </c>
      <c r="C11" t="b">
        <f t="shared" si="1"/>
        <v>1</v>
      </c>
    </row>
    <row r="12" spans="1:3" ht="15.75" thickBot="1">
      <c r="A12" s="162" t="s">
        <v>1927</v>
      </c>
      <c r="B12" s="18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39"/>
  <sheetViews>
    <sheetView workbookViewId="0">
      <selection activeCell="L2" sqref="L2"/>
    </sheetView>
  </sheetViews>
  <sheetFormatPr defaultRowHeight="15"/>
  <cols>
    <col min="1" max="1" width="40.42578125" customWidth="1"/>
    <col min="2" max="9" width="11" customWidth="1"/>
    <col min="10" max="13" width="12" customWidth="1"/>
    <col min="14" max="14" width="57.140625" customWidth="1"/>
  </cols>
  <sheetData>
    <row r="1" spans="1:14">
      <c r="A1" s="70" t="s">
        <v>1212</v>
      </c>
      <c r="B1" t="s">
        <v>906</v>
      </c>
      <c r="C1" t="s">
        <v>1658</v>
      </c>
      <c r="D1" t="s">
        <v>1920</v>
      </c>
      <c r="E1" t="s">
        <v>1921</v>
      </c>
      <c r="F1" t="s">
        <v>362</v>
      </c>
      <c r="G1" t="s">
        <v>1918</v>
      </c>
      <c r="H1" t="s">
        <v>1919</v>
      </c>
      <c r="I1" t="s">
        <v>1916</v>
      </c>
      <c r="J1" t="s">
        <v>1933</v>
      </c>
      <c r="K1" t="s">
        <v>1930</v>
      </c>
      <c r="L1" t="s">
        <v>1917</v>
      </c>
      <c r="M1" t="s">
        <v>4</v>
      </c>
      <c r="N1" t="s">
        <v>1449</v>
      </c>
    </row>
    <row r="2" spans="1:14">
      <c r="A2" s="203" t="b">
        <f>IF(Table33[[#This Row],[Column1]],Table33[[#This Row],[Products]])</f>
        <v>0</v>
      </c>
      <c r="B2" s="20" t="b">
        <f>OR('Oral Criteria'!B3:C3)</f>
        <v>1</v>
      </c>
      <c r="C2" s="17"/>
      <c r="D2" s="17"/>
      <c r="E2" s="20" t="b">
        <f>AND('Oral Criteria'!B5,'Oral Criteria'!C4)</f>
        <v>0</v>
      </c>
      <c r="F2" s="17"/>
      <c r="G2" s="17" t="b">
        <f>AND('Oral Criteria'!C11)</f>
        <v>1</v>
      </c>
      <c r="H2" s="17" t="b">
        <f>AND('Oral Criteria'!C12)</f>
        <v>1</v>
      </c>
      <c r="I2" s="20" t="b">
        <f>AND('Oral Criteria'!B8)</f>
        <v>0</v>
      </c>
      <c r="J2" s="17"/>
      <c r="K2" s="17" t="b">
        <f>AND('Oral Criteria'!C10)</f>
        <v>1</v>
      </c>
      <c r="L2" s="17" t="b">
        <f>AND('Oral Criteria'!C9)</f>
        <v>1</v>
      </c>
      <c r="M2" s="21" t="b">
        <f>AND(Table33[[#This Row],[Kids]:[Astringent (zinc)]])</f>
        <v>0</v>
      </c>
      <c r="N2" s="11" t="s">
        <v>1847</v>
      </c>
    </row>
    <row r="3" spans="1:14">
      <c r="A3" s="203" t="b">
        <f>IF(Table33[[#This Row],[Column1]],Table33[[#This Row],[Products]])</f>
        <v>0</v>
      </c>
      <c r="B3" s="20" t="b">
        <f>B2</f>
        <v>1</v>
      </c>
      <c r="C3" s="17"/>
      <c r="D3" s="17"/>
      <c r="E3" s="20" t="b">
        <f t="shared" ref="E3:L3" si="0">E2</f>
        <v>0</v>
      </c>
      <c r="F3" s="17"/>
      <c r="G3" s="17" t="b">
        <f t="shared" si="0"/>
        <v>1</v>
      </c>
      <c r="H3" s="17" t="b">
        <f t="shared" si="0"/>
        <v>1</v>
      </c>
      <c r="I3" s="20" t="b">
        <f t="shared" si="0"/>
        <v>0</v>
      </c>
      <c r="J3" s="17"/>
      <c r="K3" s="17" t="b">
        <f t="shared" si="0"/>
        <v>1</v>
      </c>
      <c r="L3" s="17" t="b">
        <f t="shared" si="0"/>
        <v>1</v>
      </c>
      <c r="M3" s="21" t="b">
        <f>AND(Table33[[#This Row],[Kids]:[Astringent (zinc)]])</f>
        <v>0</v>
      </c>
      <c r="N3" s="11" t="s">
        <v>1848</v>
      </c>
    </row>
    <row r="4" spans="1:14">
      <c r="A4" s="203"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11" t="s">
        <v>1849</v>
      </c>
    </row>
    <row r="5" spans="1:14">
      <c r="A5" s="203" t="b">
        <f>IF(Table33[[#This Row],[Column1]],Table33[[#This Row],[Products]])</f>
        <v>0</v>
      </c>
      <c r="B5" s="17"/>
      <c r="C5" s="20" t="b">
        <f>C4</f>
        <v>0</v>
      </c>
      <c r="D5" s="17"/>
      <c r="E5" s="20" t="b">
        <f>E2</f>
        <v>0</v>
      </c>
      <c r="F5" s="20" t="b">
        <f>F4</f>
        <v>1</v>
      </c>
      <c r="G5" s="17" t="b">
        <f>G2</f>
        <v>1</v>
      </c>
      <c r="H5" s="17" t="b">
        <f>H2</f>
        <v>1</v>
      </c>
      <c r="I5" s="17" t="b">
        <f>I4</f>
        <v>1</v>
      </c>
      <c r="J5" s="20" t="b">
        <f>J4</f>
        <v>1</v>
      </c>
      <c r="K5" s="20"/>
      <c r="L5" s="20"/>
      <c r="M5" s="21" t="b">
        <f>AND(Table33[[#This Row],[Kids]:[Astringent (zinc)]])</f>
        <v>0</v>
      </c>
      <c r="N5" s="11" t="s">
        <v>1850</v>
      </c>
    </row>
    <row r="6" spans="1:14">
      <c r="A6" s="203" t="b">
        <f>IF(Table33[[#This Row],[Column1]],Table33[[#This Row],[Products]])</f>
        <v>0</v>
      </c>
      <c r="B6" s="17"/>
      <c r="C6" s="20" t="b">
        <f>C4</f>
        <v>0</v>
      </c>
      <c r="D6" s="17"/>
      <c r="E6" s="20" t="b">
        <f>E2</f>
        <v>0</v>
      </c>
      <c r="F6" s="20" t="b">
        <f>F4</f>
        <v>1</v>
      </c>
      <c r="G6" s="17" t="b">
        <f>G2</f>
        <v>1</v>
      </c>
      <c r="H6" s="17" t="b">
        <f>H2</f>
        <v>1</v>
      </c>
      <c r="I6" s="17" t="b">
        <f>I4</f>
        <v>1</v>
      </c>
      <c r="J6" s="17"/>
      <c r="K6" s="20"/>
      <c r="L6" s="17" t="b">
        <f>L2</f>
        <v>1</v>
      </c>
      <c r="M6" s="21" t="b">
        <f>AND(Table33[[#This Row],[Kids]:[Astringent (zinc)]])</f>
        <v>0</v>
      </c>
      <c r="N6" s="11" t="s">
        <v>1851</v>
      </c>
    </row>
    <row r="7" spans="1:14">
      <c r="A7" s="203" t="b">
        <f>IF(Table33[[#This Row],[Column1]],Table33[[#This Row],[Products]])</f>
        <v>0</v>
      </c>
      <c r="B7" s="17"/>
      <c r="C7" s="20" t="b">
        <f>C4</f>
        <v>0</v>
      </c>
      <c r="D7" s="17"/>
      <c r="E7" s="20" t="b">
        <f>E2</f>
        <v>0</v>
      </c>
      <c r="F7" s="20" t="b">
        <f>F4</f>
        <v>1</v>
      </c>
      <c r="G7" s="17" t="b">
        <f>G2</f>
        <v>1</v>
      </c>
      <c r="H7" s="17" t="b">
        <f>H2</f>
        <v>1</v>
      </c>
      <c r="I7" s="17" t="b">
        <f>I4</f>
        <v>1</v>
      </c>
      <c r="J7" s="17"/>
      <c r="K7" s="17" t="b">
        <f>K2</f>
        <v>1</v>
      </c>
      <c r="L7" s="20"/>
      <c r="M7" s="21" t="b">
        <f>AND(Table33[[#This Row],[Kids]:[Astringent (zinc)]])</f>
        <v>0</v>
      </c>
      <c r="N7" s="11" t="s">
        <v>1852</v>
      </c>
    </row>
    <row r="8" spans="1:14">
      <c r="A8" s="203" t="b">
        <f>IF(Table33[[#This Row],[Column1]],Table33[[#This Row],[Products]])</f>
        <v>0</v>
      </c>
      <c r="B8" s="17"/>
      <c r="C8" s="20" t="b">
        <f>C4</f>
        <v>0</v>
      </c>
      <c r="D8" s="17"/>
      <c r="E8" s="20" t="b">
        <f>E2</f>
        <v>0</v>
      </c>
      <c r="F8" s="20" t="b">
        <f>F4</f>
        <v>1</v>
      </c>
      <c r="G8" s="17" t="b">
        <f>G2</f>
        <v>1</v>
      </c>
      <c r="H8" s="17" t="b">
        <f>H2</f>
        <v>1</v>
      </c>
      <c r="I8" s="17" t="b">
        <f>I4</f>
        <v>1</v>
      </c>
      <c r="J8" s="17"/>
      <c r="K8" s="17" t="b">
        <f>K2</f>
        <v>1</v>
      </c>
      <c r="L8" s="20"/>
      <c r="M8" s="21" t="b">
        <f>AND(Table33[[#This Row],[Kids]:[Astringent (zinc)]])</f>
        <v>0</v>
      </c>
      <c r="N8" s="11" t="s">
        <v>1853</v>
      </c>
    </row>
    <row r="9" spans="1:14">
      <c r="A9" s="203" t="b">
        <f>IF(Table33[[#This Row],[Column1]],Table33[[#This Row],[Products]])</f>
        <v>0</v>
      </c>
      <c r="B9" s="17"/>
      <c r="C9" s="20" t="b">
        <f>C4</f>
        <v>0</v>
      </c>
      <c r="D9" s="17"/>
      <c r="E9" s="20" t="b">
        <f>E2</f>
        <v>0</v>
      </c>
      <c r="F9" s="20" t="b">
        <f>F4</f>
        <v>1</v>
      </c>
      <c r="G9" s="17" t="b">
        <f>G2</f>
        <v>1</v>
      </c>
      <c r="H9" s="17" t="b">
        <f>H2</f>
        <v>1</v>
      </c>
      <c r="I9" s="17" t="b">
        <f>I4</f>
        <v>1</v>
      </c>
      <c r="J9" s="20" t="b">
        <f>J4</f>
        <v>1</v>
      </c>
      <c r="K9" s="20"/>
      <c r="L9" s="20"/>
      <c r="M9" s="21" t="b">
        <f>AND(Table33[[#This Row],[Kids]:[Astringent (zinc)]])</f>
        <v>0</v>
      </c>
      <c r="N9" s="11" t="s">
        <v>1854</v>
      </c>
    </row>
    <row r="10" spans="1:14">
      <c r="A10" s="203" t="b">
        <f>IF(Table33[[#This Row],[Column1]],Table33[[#This Row],[Products]])</f>
        <v>0</v>
      </c>
      <c r="B10" s="20" t="b">
        <f>B2</f>
        <v>1</v>
      </c>
      <c r="C10" s="17"/>
      <c r="D10" s="17"/>
      <c r="E10" s="20" t="b">
        <f>E2</f>
        <v>0</v>
      </c>
      <c r="F10" s="20" t="b">
        <f>F4</f>
        <v>1</v>
      </c>
      <c r="G10" s="17" t="b">
        <f>G2</f>
        <v>1</v>
      </c>
      <c r="H10" s="17" t="b">
        <f>H2</f>
        <v>1</v>
      </c>
      <c r="I10" s="17" t="b">
        <f>I4</f>
        <v>1</v>
      </c>
      <c r="J10" s="17"/>
      <c r="K10" s="17" t="b">
        <f>K2</f>
        <v>1</v>
      </c>
      <c r="L10" s="17" t="b">
        <f>L2</f>
        <v>1</v>
      </c>
      <c r="M10" s="21" t="b">
        <f>AND(Table33[[#This Row],[Kids]:[Astringent (zinc)]])</f>
        <v>0</v>
      </c>
      <c r="N10" s="11" t="s">
        <v>1855</v>
      </c>
    </row>
    <row r="11" spans="1:14">
      <c r="A11" s="203" t="b">
        <f>IF(Table33[[#This Row],[Column1]],Table33[[#This Row],[Products]])</f>
        <v>0</v>
      </c>
      <c r="B11" s="17"/>
      <c r="C11" s="20" t="b">
        <f>C4</f>
        <v>0</v>
      </c>
      <c r="D11" s="17"/>
      <c r="E11" s="20" t="b">
        <f>E2</f>
        <v>0</v>
      </c>
      <c r="F11" s="20" t="b">
        <f>F4</f>
        <v>1</v>
      </c>
      <c r="G11" s="17" t="b">
        <f>G2</f>
        <v>1</v>
      </c>
      <c r="H11" s="17" t="b">
        <f>H2</f>
        <v>1</v>
      </c>
      <c r="I11" s="17" t="b">
        <f>I4</f>
        <v>1</v>
      </c>
      <c r="J11" s="17"/>
      <c r="K11" s="20"/>
      <c r="L11" s="17" t="b">
        <f>L2</f>
        <v>1</v>
      </c>
      <c r="M11" s="21" t="b">
        <f>AND(Table33[[#This Row],[Kids]:[Astringent (zinc)]])</f>
        <v>0</v>
      </c>
      <c r="N11" s="11" t="s">
        <v>1856</v>
      </c>
    </row>
    <row r="12" spans="1:14">
      <c r="A12" s="16" t="e">
        <f>IF(Table33[[#This Row],[Column1]],Table33[[#This Row],[Products]])</f>
        <v>#VALUE!</v>
      </c>
      <c r="B12" s="16"/>
      <c r="C12" s="16"/>
      <c r="D12" s="16"/>
      <c r="E12" s="16"/>
      <c r="F12" s="16"/>
      <c r="G12" s="16"/>
      <c r="H12" s="16"/>
      <c r="I12" s="16"/>
      <c r="J12" s="16"/>
      <c r="K12" s="16"/>
      <c r="L12" s="16"/>
      <c r="M12" s="16" t="e">
        <f>AND(Table33[[#This Row],[Kids]:[Astringent (zinc)]])</f>
        <v>#VALUE!</v>
      </c>
      <c r="N12" s="16"/>
    </row>
    <row r="13" spans="1:14">
      <c r="A13" s="203"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11" t="s">
        <v>1857</v>
      </c>
    </row>
    <row r="14" spans="1:14">
      <c r="A14" s="203"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11" t="s">
        <v>1858</v>
      </c>
    </row>
    <row r="15" spans="1:14">
      <c r="A15" s="203" t="b">
        <f>IF(Table33[[#This Row],[Column1]],Table33[[#This Row],[Products]])</f>
        <v>0</v>
      </c>
      <c r="B15" s="20" t="b">
        <f>B2</f>
        <v>1</v>
      </c>
      <c r="C15" s="17"/>
      <c r="D15" s="20" t="b">
        <f>D4</f>
        <v>0</v>
      </c>
      <c r="E15" s="17"/>
      <c r="F15" s="20" t="b">
        <f>F4</f>
        <v>1</v>
      </c>
      <c r="G15" s="17" t="b">
        <f>G2</f>
        <v>1</v>
      </c>
      <c r="H15" s="17" t="b">
        <f>H2</f>
        <v>1</v>
      </c>
      <c r="I15" s="17" t="b">
        <f>I4</f>
        <v>1</v>
      </c>
      <c r="J15" s="20" t="b">
        <f>J4</f>
        <v>1</v>
      </c>
      <c r="K15" s="20"/>
      <c r="L15" s="17" t="b">
        <f>L2</f>
        <v>1</v>
      </c>
      <c r="M15" s="21" t="b">
        <f>AND(Table33[[#This Row],[Kids]:[Astringent (zinc)]])</f>
        <v>0</v>
      </c>
      <c r="N15" s="11" t="s">
        <v>1859</v>
      </c>
    </row>
    <row r="16" spans="1:14">
      <c r="A16" s="203"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11" t="s">
        <v>1860</v>
      </c>
    </row>
    <row r="17" spans="1:14">
      <c r="A17" s="203"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11" t="s">
        <v>1861</v>
      </c>
    </row>
    <row r="18" spans="1:14">
      <c r="A18" s="16" t="e">
        <f>IF(Table33[[#This Row],[Column1]],Table33[[#This Row],[Products]])</f>
        <v>#VALUE!</v>
      </c>
      <c r="B18" s="16"/>
      <c r="C18" s="16"/>
      <c r="D18" s="16"/>
      <c r="E18" s="16"/>
      <c r="F18" s="16"/>
      <c r="G18" s="16"/>
      <c r="H18" s="16"/>
      <c r="I18" s="16"/>
      <c r="J18" s="16"/>
      <c r="K18" s="16"/>
      <c r="L18" s="16"/>
      <c r="M18" s="16" t="e">
        <f>AND(Table33[[#This Row],[Kids]:[Astringent (zinc)]])</f>
        <v>#VALUE!</v>
      </c>
      <c r="N18" s="16"/>
    </row>
    <row r="19" spans="1:14">
      <c r="A19" s="203" t="b">
        <f>IF(Table33[[#This Row],[Column1]],Table33[[#This Row],[Products]])</f>
        <v>0</v>
      </c>
      <c r="B19" s="20" t="b">
        <f>B2</f>
        <v>1</v>
      </c>
      <c r="C19" s="17"/>
      <c r="D19" s="17"/>
      <c r="E19" s="20" t="b">
        <f>E2</f>
        <v>0</v>
      </c>
      <c r="F19" s="20" t="b">
        <f>F4</f>
        <v>1</v>
      </c>
      <c r="G19" s="17" t="b">
        <f>G2</f>
        <v>1</v>
      </c>
      <c r="H19" s="17" t="b">
        <f>H2</f>
        <v>1</v>
      </c>
      <c r="I19" s="17" t="b">
        <f>I4</f>
        <v>1</v>
      </c>
      <c r="J19" s="17"/>
      <c r="K19" s="17" t="b">
        <f>K2</f>
        <v>1</v>
      </c>
      <c r="L19" s="20"/>
      <c r="M19" s="21" t="b">
        <f>AND(Table33[[#This Row],[Kids]:[Astringent (zinc)]])</f>
        <v>0</v>
      </c>
      <c r="N19" s="11" t="s">
        <v>1863</v>
      </c>
    </row>
    <row r="20" spans="1:14">
      <c r="A20" s="203" t="b">
        <f>IF(Table33[[#This Row],[Column1]],Table33[[#This Row],[Products]])</f>
        <v>0</v>
      </c>
      <c r="B20" s="20" t="b">
        <f>B2</f>
        <v>1</v>
      </c>
      <c r="C20" s="17"/>
      <c r="D20" s="17"/>
      <c r="E20" s="20" t="b">
        <f>E2</f>
        <v>0</v>
      </c>
      <c r="F20" s="20" t="b">
        <f>F4</f>
        <v>1</v>
      </c>
      <c r="G20" s="17" t="b">
        <f>G2</f>
        <v>1</v>
      </c>
      <c r="H20" s="17" t="b">
        <f>H2</f>
        <v>1</v>
      </c>
      <c r="I20" s="17" t="b">
        <f>I4</f>
        <v>1</v>
      </c>
      <c r="J20" s="17"/>
      <c r="K20" s="17" t="b">
        <f>K2</f>
        <v>1</v>
      </c>
      <c r="L20" s="17" t="b">
        <f>L2</f>
        <v>1</v>
      </c>
      <c r="M20" s="21" t="b">
        <f>AND(Table33[[#This Row],[Kids]:[Astringent (zinc)]])</f>
        <v>0</v>
      </c>
      <c r="N20" s="11" t="s">
        <v>1862</v>
      </c>
    </row>
    <row r="21" spans="1:14">
      <c r="A21" s="16" t="e">
        <f>IF(Table33[[#This Row],[Column1]],Table33[[#This Row],[Products]])</f>
        <v>#VALUE!</v>
      </c>
      <c r="B21" s="16"/>
      <c r="C21" s="16"/>
      <c r="D21" s="16"/>
      <c r="E21" s="16"/>
      <c r="F21" s="16"/>
      <c r="G21" s="16"/>
      <c r="H21" s="16"/>
      <c r="I21" s="16"/>
      <c r="J21" s="16"/>
      <c r="K21" s="16"/>
      <c r="L21" s="16"/>
      <c r="M21" s="16" t="e">
        <f>AND(Table33[[#This Row],[Kids]:[Astringent (zinc)]])</f>
        <v>#VALUE!</v>
      </c>
      <c r="N21" s="16"/>
    </row>
    <row r="22" spans="1:14">
      <c r="A22" s="203" t="b">
        <f>IF(Table33[[#This Row],[Column1]],Table33[[#This Row],[Products]])</f>
        <v>0</v>
      </c>
      <c r="B22" s="17"/>
      <c r="C22" s="20" t="b">
        <f>C4</f>
        <v>0</v>
      </c>
      <c r="D22" s="20" t="b">
        <f>D4</f>
        <v>0</v>
      </c>
      <c r="E22" s="17"/>
      <c r="F22" s="17"/>
      <c r="G22" s="20" t="b">
        <f>AND('Oral Criteria'!B11)</f>
        <v>0</v>
      </c>
      <c r="H22" s="17" t="b">
        <f>H2</f>
        <v>1</v>
      </c>
      <c r="I22" s="17" t="b">
        <f>I4</f>
        <v>1</v>
      </c>
      <c r="J22" s="17"/>
      <c r="K22" s="17" t="b">
        <f>K2</f>
        <v>1</v>
      </c>
      <c r="L22" s="17" t="b">
        <f>L2</f>
        <v>1</v>
      </c>
      <c r="M22" s="21" t="b">
        <f>AND(Table33[[#This Row],[Kids]:[Astringent (zinc)]])</f>
        <v>0</v>
      </c>
      <c r="N22" s="29" t="s">
        <v>1864</v>
      </c>
    </row>
    <row r="23" spans="1:14">
      <c r="A23" s="16" t="e">
        <f>IF(Table33[[#This Row],[Column1]],Table33[[#This Row],[Products]])</f>
        <v>#VALUE!</v>
      </c>
      <c r="B23" s="16"/>
      <c r="C23" s="16"/>
      <c r="D23" s="16"/>
      <c r="E23" s="16"/>
      <c r="F23" s="16"/>
      <c r="G23" s="16"/>
      <c r="H23" s="16"/>
      <c r="I23" s="16"/>
      <c r="J23" s="16"/>
      <c r="K23" s="16"/>
      <c r="L23" s="16"/>
      <c r="M23" s="16" t="e">
        <f>AND(Table33[[#This Row],[Kids]:[Astringent (zinc)]])</f>
        <v>#VALUE!</v>
      </c>
      <c r="N23" s="16"/>
    </row>
    <row r="24" spans="1:14">
      <c r="A24" s="203" t="b">
        <f>IF(Table33[[#This Row],[Column1]],Table33[[#This Row],[Products]])</f>
        <v>0</v>
      </c>
      <c r="B24" s="20" t="b">
        <f>B2</f>
        <v>1</v>
      </c>
      <c r="C24" s="17"/>
      <c r="D24" s="20" t="b">
        <f>D4</f>
        <v>0</v>
      </c>
      <c r="E24" s="17"/>
      <c r="F24" s="17"/>
      <c r="G24" s="20" t="b">
        <f>G22</f>
        <v>0</v>
      </c>
      <c r="H24" s="20" t="b">
        <f>AND('Oral Criteria'!B12,'Oral Criteria'!B11)</f>
        <v>0</v>
      </c>
      <c r="I24" s="17" t="b">
        <f>I4</f>
        <v>1</v>
      </c>
      <c r="J24" s="17"/>
      <c r="K24" s="20"/>
      <c r="L24" s="20"/>
      <c r="M24" s="21" t="b">
        <f>AND(Table33[[#This Row],[Kids]:[Astringent (zinc)]])</f>
        <v>0</v>
      </c>
      <c r="N24" s="29" t="s">
        <v>1865</v>
      </c>
    </row>
    <row r="25" spans="1:14">
      <c r="A25" s="203" t="b">
        <f>IF(Table33[[#This Row],[Column1]],Table33[[#This Row],[Products]])</f>
        <v>0</v>
      </c>
      <c r="B25" s="20" t="b">
        <f>B2</f>
        <v>1</v>
      </c>
      <c r="C25" s="17"/>
      <c r="D25" s="20" t="b">
        <f>D4</f>
        <v>0</v>
      </c>
      <c r="E25" s="17"/>
      <c r="F25" s="17"/>
      <c r="G25" s="20" t="b">
        <f>G22</f>
        <v>0</v>
      </c>
      <c r="H25" s="20" t="b">
        <f>H24</f>
        <v>0</v>
      </c>
      <c r="I25" s="17" t="b">
        <f>I4</f>
        <v>1</v>
      </c>
      <c r="J25" s="17"/>
      <c r="K25" s="20"/>
      <c r="L25" s="20"/>
      <c r="M25" s="21" t="b">
        <f>AND(Table33[[#This Row],[Kids]:[Astringent (zinc)]])</f>
        <v>0</v>
      </c>
      <c r="N25" s="29" t="s">
        <v>1866</v>
      </c>
    </row>
    <row r="26" spans="1:14">
      <c r="A26" s="16" t="e">
        <f>IF(Table33[[#This Row],[Column1]],Table33[[#This Row],[Products]])</f>
        <v>#VALUE!</v>
      </c>
      <c r="B26" s="16"/>
      <c r="C26" s="16"/>
      <c r="D26" s="16"/>
      <c r="E26" s="16"/>
      <c r="F26" s="16"/>
      <c r="G26" s="16"/>
      <c r="H26" s="16"/>
      <c r="I26" s="16"/>
      <c r="J26" s="16"/>
      <c r="K26" s="16"/>
      <c r="L26" s="16"/>
      <c r="M26" s="16" t="e">
        <f>AND(Table33[[#This Row],[Kids]:[Astringent (zinc)]])</f>
        <v>#VALUE!</v>
      </c>
      <c r="N26" s="16"/>
    </row>
    <row r="27" spans="1:14">
      <c r="A27" s="203" t="b">
        <f>IF(Table33[[#This Row],[Column1]],Table33[[#This Row],[Products]])</f>
        <v>0</v>
      </c>
      <c r="B27" s="17"/>
      <c r="C27" s="20" t="b">
        <f>C4</f>
        <v>0</v>
      </c>
      <c r="D27" s="17"/>
      <c r="E27" s="20" t="b">
        <f>E2</f>
        <v>0</v>
      </c>
      <c r="F27" s="17"/>
      <c r="G27" s="17" t="b">
        <f>G2</f>
        <v>1</v>
      </c>
      <c r="H27" s="17" t="b">
        <f>H2</f>
        <v>1</v>
      </c>
      <c r="I27" s="17" t="b">
        <f>I4</f>
        <v>1</v>
      </c>
      <c r="J27" s="20" t="b">
        <f>J4</f>
        <v>1</v>
      </c>
      <c r="K27" s="17" t="b">
        <f>K2</f>
        <v>1</v>
      </c>
      <c r="L27" s="17" t="b">
        <f>L2</f>
        <v>1</v>
      </c>
      <c r="M27" s="21" t="b">
        <f>AND(Table33[[#This Row],[Kids]:[Astringent (zinc)]])</f>
        <v>0</v>
      </c>
      <c r="N27" s="28" t="s">
        <v>1867</v>
      </c>
    </row>
    <row r="28" spans="1:14">
      <c r="A28" s="16" t="e">
        <f>IF(Table33[[#This Row],[Column1]],Table33[[#This Row],[Products]])</f>
        <v>#VALUE!</v>
      </c>
      <c r="B28" s="16"/>
      <c r="C28" s="16"/>
      <c r="D28" s="16"/>
      <c r="E28" s="16"/>
      <c r="F28" s="16"/>
      <c r="G28" s="16"/>
      <c r="H28" s="16"/>
      <c r="I28" s="16"/>
      <c r="J28" s="16"/>
      <c r="K28" s="16"/>
      <c r="L28" s="16"/>
      <c r="M28" s="16" t="e">
        <f>AND(Table33[[#This Row],[Kids]:[Astringent (zinc)]])</f>
        <v>#VALUE!</v>
      </c>
      <c r="N28" s="16"/>
    </row>
    <row r="29" spans="1:14">
      <c r="A29" s="203" t="b">
        <f>IF(Table33[[#This Row],[Column1]],Table33[[#This Row],[Products]])</f>
        <v>0</v>
      </c>
      <c r="B29" s="20" t="b">
        <f>B2</f>
        <v>1</v>
      </c>
      <c r="C29" s="17"/>
      <c r="D29" s="17"/>
      <c r="E29" s="20" t="b">
        <f>E2</f>
        <v>0</v>
      </c>
      <c r="F29" s="17"/>
      <c r="G29" s="20" t="b">
        <f>G22</f>
        <v>0</v>
      </c>
      <c r="H29" s="20" t="b">
        <f>H24</f>
        <v>0</v>
      </c>
      <c r="I29" s="17" t="b">
        <f>I4</f>
        <v>1</v>
      </c>
      <c r="J29" s="17"/>
      <c r="K29" s="20"/>
      <c r="L29" s="17" t="b">
        <f>L2</f>
        <v>1</v>
      </c>
      <c r="M29" s="21" t="b">
        <f>AND(Table33[[#This Row],[Kids]:[Astringent (zinc)]])</f>
        <v>0</v>
      </c>
      <c r="N29" s="29" t="s">
        <v>1868</v>
      </c>
    </row>
    <row r="30" spans="1:14">
      <c r="A30" s="203" t="b">
        <f>IF(Table33[[#This Row],[Column1]],Table33[[#This Row],[Products]])</f>
        <v>0</v>
      </c>
      <c r="B30" s="20" t="b">
        <f>B2</f>
        <v>1</v>
      </c>
      <c r="C30" s="17"/>
      <c r="D30" s="20" t="b">
        <f>D4</f>
        <v>0</v>
      </c>
      <c r="E30" s="17"/>
      <c r="F30" s="17"/>
      <c r="G30" s="20" t="b">
        <f>G22</f>
        <v>0</v>
      </c>
      <c r="H30" s="20" t="b">
        <f>H24</f>
        <v>0</v>
      </c>
      <c r="I30" s="17" t="b">
        <f>I4</f>
        <v>1</v>
      </c>
      <c r="J30" s="17"/>
      <c r="K30" s="17" t="b">
        <f>K2</f>
        <v>1</v>
      </c>
      <c r="L30" s="17" t="b">
        <f>L2</f>
        <v>1</v>
      </c>
      <c r="M30" s="21" t="b">
        <f>AND(Table33[[#This Row],[Kids]:[Astringent (zinc)]])</f>
        <v>0</v>
      </c>
      <c r="N30" s="29" t="s">
        <v>1869</v>
      </c>
    </row>
    <row r="31" spans="1:14">
      <c r="A31" s="27" t="e">
        <f>IF(Table33[[#This Row],[Column1]],Table33[[#This Row],[Products]])</f>
        <v>#VALUE!</v>
      </c>
      <c r="B31" s="27"/>
      <c r="C31" s="27"/>
      <c r="D31" s="27"/>
      <c r="E31" s="27"/>
      <c r="F31" s="27"/>
      <c r="G31" s="27"/>
      <c r="H31" s="27"/>
      <c r="I31" s="27"/>
      <c r="J31" s="27"/>
      <c r="K31" s="27"/>
      <c r="L31" s="27"/>
      <c r="M31" s="27" t="e">
        <f>AND(Table33[[#This Row],[Kids]:[Astringent (zinc)]])</f>
        <v>#VALUE!</v>
      </c>
      <c r="N31" s="27"/>
    </row>
    <row r="32" spans="1:14">
      <c r="A32" s="203" t="b">
        <f>IF(Table33[[#This Row],[Column1]],Table33[[#This Row],[Products]])</f>
        <v>0</v>
      </c>
      <c r="B32" s="20" t="b">
        <f>B2</f>
        <v>1</v>
      </c>
      <c r="C32" s="17"/>
      <c r="D32" s="20" t="b">
        <f>D4</f>
        <v>0</v>
      </c>
      <c r="E32" s="17"/>
      <c r="F32" s="17"/>
      <c r="G32" s="17" t="b">
        <f>G2</f>
        <v>1</v>
      </c>
      <c r="H32" s="17" t="b">
        <f>H2</f>
        <v>1</v>
      </c>
      <c r="I32" s="17" t="b">
        <f>I4</f>
        <v>1</v>
      </c>
      <c r="J32" s="17"/>
      <c r="K32" s="20"/>
      <c r="L32" s="17" t="b">
        <f>L2</f>
        <v>1</v>
      </c>
      <c r="M32" s="21" t="b">
        <f>AND(Table33[[#This Row],[Kids]:[Astringent (zinc)]])</f>
        <v>0</v>
      </c>
      <c r="N32" s="11" t="s">
        <v>1931</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16"/>
    </row>
    <row r="34" spans="1:14">
      <c r="A34" s="21" t="e">
        <f>IF(Table33[[#This Row],[Column1]],Table33[[#This Row],[Products]])</f>
        <v>#VALUE!</v>
      </c>
      <c r="M34" t="e">
        <f>AND(Table33[[#This Row],[Kids]:[Astringent (zinc)]])</f>
        <v>#VALUE!</v>
      </c>
    </row>
    <row r="35" spans="1:14">
      <c r="A35" s="21" t="e">
        <f>IF(Table33[[#This Row],[Column1]],Table33[[#This Row],[Products]])</f>
        <v>#VALUE!</v>
      </c>
      <c r="M35" t="e">
        <f>AND(Table33[[#This Row],[Kids]:[Astringent (zinc)]])</f>
        <v>#VALUE!</v>
      </c>
    </row>
    <row r="36" spans="1:14">
      <c r="A36" s="21"/>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588</v>
      </c>
      <c r="M6" t="s">
        <v>795</v>
      </c>
      <c r="O6" t="s">
        <v>799</v>
      </c>
    </row>
    <row r="7" spans="1:15">
      <c r="A7" t="s">
        <v>8</v>
      </c>
      <c r="C7" t="s">
        <v>7</v>
      </c>
      <c r="E7" t="s">
        <v>226</v>
      </c>
      <c r="G7" s="45" t="s">
        <v>11</v>
      </c>
      <c r="I7" t="s">
        <v>302</v>
      </c>
      <c r="K7" t="s">
        <v>373</v>
      </c>
      <c r="M7" t="s">
        <v>592</v>
      </c>
      <c r="O7" t="s">
        <v>673</v>
      </c>
    </row>
    <row r="8" spans="1:15">
      <c r="A8" t="s">
        <v>5</v>
      </c>
      <c r="C8" t="s">
        <v>5</v>
      </c>
      <c r="E8" t="s">
        <v>227</v>
      </c>
      <c r="G8" s="44" t="s">
        <v>112</v>
      </c>
      <c r="I8" t="s">
        <v>502</v>
      </c>
      <c r="K8" t="s">
        <v>518</v>
      </c>
      <c r="M8" t="s">
        <v>598</v>
      </c>
      <c r="O8" t="s">
        <v>362</v>
      </c>
    </row>
    <row r="9" spans="1:15">
      <c r="A9" t="s">
        <v>6</v>
      </c>
      <c r="C9" t="s">
        <v>81</v>
      </c>
      <c r="E9" t="s">
        <v>228</v>
      </c>
      <c r="G9" t="s">
        <v>451</v>
      </c>
      <c r="I9" t="s">
        <v>304</v>
      </c>
      <c r="K9" t="s">
        <v>374</v>
      </c>
      <c r="M9" t="s">
        <v>603</v>
      </c>
      <c r="O9" t="s">
        <v>780</v>
      </c>
    </row>
    <row r="10" spans="1:15">
      <c r="A10" t="s">
        <v>7</v>
      </c>
      <c r="C10" t="s">
        <v>71</v>
      </c>
      <c r="E10" t="s">
        <v>11</v>
      </c>
      <c r="G10" t="s">
        <v>136</v>
      </c>
      <c r="I10" t="s">
        <v>316</v>
      </c>
      <c r="K10" t="s">
        <v>375</v>
      </c>
      <c r="M10" t="s">
        <v>783</v>
      </c>
      <c r="O10" t="s">
        <v>1953</v>
      </c>
    </row>
    <row r="11" spans="1:15">
      <c r="A11" t="s">
        <v>11</v>
      </c>
      <c r="C11" t="s">
        <v>112</v>
      </c>
      <c r="E11" t="s">
        <v>112</v>
      </c>
      <c r="G11" t="s">
        <v>137</v>
      </c>
      <c r="I11" t="s">
        <v>399</v>
      </c>
      <c r="K11" t="s">
        <v>376</v>
      </c>
      <c r="M11" t="s">
        <v>593</v>
      </c>
    </row>
    <row r="12" spans="1:15">
      <c r="A12" t="s">
        <v>112</v>
      </c>
      <c r="C12" t="s">
        <v>11</v>
      </c>
      <c r="G12" t="s">
        <v>452</v>
      </c>
      <c r="I12" t="s">
        <v>504</v>
      </c>
      <c r="K12" t="s">
        <v>418</v>
      </c>
      <c r="M12" t="s">
        <v>594</v>
      </c>
    </row>
    <row r="13" spans="1:15">
      <c r="A13" t="s">
        <v>36</v>
      </c>
      <c r="C13" t="s">
        <v>145</v>
      </c>
      <c r="G13" t="s">
        <v>138</v>
      </c>
      <c r="K13" t="s">
        <v>428</v>
      </c>
      <c r="M13" t="s">
        <v>784</v>
      </c>
    </row>
    <row r="14" spans="1:15">
      <c r="A14" t="s">
        <v>550</v>
      </c>
      <c r="G14" t="s">
        <v>198</v>
      </c>
      <c r="K14" t="s">
        <v>487</v>
      </c>
      <c r="M14" t="s">
        <v>618</v>
      </c>
    </row>
    <row r="15" spans="1:15">
      <c r="G15" t="s">
        <v>200</v>
      </c>
      <c r="K15" t="s">
        <v>377</v>
      </c>
      <c r="M15" t="s">
        <v>629</v>
      </c>
    </row>
    <row r="16" spans="1:15">
      <c r="G16" t="s">
        <v>202</v>
      </c>
      <c r="K16" t="s">
        <v>378</v>
      </c>
      <c r="M16" t="s">
        <v>5</v>
      </c>
    </row>
    <row r="17" spans="7:13">
      <c r="G17" t="s">
        <v>36</v>
      </c>
      <c r="K17" t="s">
        <v>477</v>
      </c>
      <c r="M17" t="s">
        <v>673</v>
      </c>
    </row>
    <row r="18" spans="7:13">
      <c r="G18" t="s">
        <v>453</v>
      </c>
      <c r="K18" t="s">
        <v>379</v>
      </c>
      <c r="M18" t="s">
        <v>790</v>
      </c>
    </row>
    <row r="19" spans="7:13">
      <c r="G19" t="s">
        <v>213</v>
      </c>
      <c r="K19" t="s">
        <v>380</v>
      </c>
      <c r="M19" t="s">
        <v>786</v>
      </c>
    </row>
    <row r="20" spans="7:13">
      <c r="G20" t="s">
        <v>191</v>
      </c>
      <c r="K20" t="s">
        <v>400</v>
      </c>
    </row>
    <row r="21" spans="7:13">
      <c r="K21" t="s">
        <v>587</v>
      </c>
    </row>
    <row r="22" spans="7:13">
      <c r="K22" t="s">
        <v>491</v>
      </c>
    </row>
    <row r="23" spans="7:13">
      <c r="K23" t="s">
        <v>492</v>
      </c>
    </row>
    <row r="24" spans="7:13">
      <c r="K24" t="s">
        <v>304</v>
      </c>
    </row>
    <row r="25" spans="7:13">
      <c r="K25" t="s">
        <v>401</v>
      </c>
    </row>
    <row r="26" spans="7:13">
      <c r="K26" t="s">
        <v>587</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A3" sqref="A3"/>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5" t="s">
        <v>1311</v>
      </c>
      <c r="B3" s="5" t="b">
        <v>0</v>
      </c>
      <c r="C3" s="103" t="b">
        <f>NOT(B3)</f>
        <v>1</v>
      </c>
      <c r="D3" s="4"/>
    </row>
    <row r="4" spans="1:4" ht="15.75" thickBot="1">
      <c r="A4" s="55" t="s">
        <v>1284</v>
      </c>
      <c r="B4" s="5" t="b">
        <v>0</v>
      </c>
      <c r="C4" s="103" t="b">
        <f t="shared" ref="C4:C15" si="0">NOT(B4)</f>
        <v>1</v>
      </c>
      <c r="D4" s="4"/>
    </row>
    <row r="5" spans="1:4" ht="15.75" thickBot="1">
      <c r="A5" s="55" t="s">
        <v>1312</v>
      </c>
      <c r="B5" s="5" t="b">
        <v>0</v>
      </c>
      <c r="C5" s="103" t="b">
        <f t="shared" si="0"/>
        <v>1</v>
      </c>
      <c r="D5" s="4"/>
    </row>
    <row r="6" spans="1:4" ht="15.75" thickBot="1">
      <c r="A6" s="1" t="s">
        <v>1285</v>
      </c>
      <c r="B6" s="5" t="b">
        <v>0</v>
      </c>
      <c r="C6" s="103" t="b">
        <f t="shared" si="0"/>
        <v>1</v>
      </c>
      <c r="D6" s="4"/>
    </row>
    <row r="7" spans="1:4" ht="15.75" thickBot="1">
      <c r="A7" s="1" t="s">
        <v>1286</v>
      </c>
      <c r="B7" s="5" t="b">
        <v>0</v>
      </c>
      <c r="C7" s="103" t="b">
        <f t="shared" si="0"/>
        <v>1</v>
      </c>
      <c r="D7" s="4"/>
    </row>
    <row r="8" spans="1:4" ht="15.75" thickBot="1">
      <c r="A8" s="1" t="s">
        <v>1314</v>
      </c>
      <c r="B8" s="5" t="b">
        <v>0</v>
      </c>
      <c r="C8" s="103" t="b">
        <f t="shared" si="0"/>
        <v>1</v>
      </c>
      <c r="D8" s="4"/>
    </row>
    <row r="9" spans="1:4" ht="15.75" thickBot="1">
      <c r="A9" s="1" t="s">
        <v>1313</v>
      </c>
      <c r="B9" s="5" t="b">
        <v>0</v>
      </c>
      <c r="C9" s="103" t="b">
        <f t="shared" si="0"/>
        <v>1</v>
      </c>
      <c r="D9" s="60"/>
    </row>
    <row r="10" spans="1:4" ht="15.75" thickBot="1">
      <c r="A10" s="1" t="s">
        <v>1287</v>
      </c>
      <c r="B10" s="5" t="b">
        <v>0</v>
      </c>
      <c r="C10" s="103" t="b">
        <f t="shared" si="0"/>
        <v>1</v>
      </c>
      <c r="D10" s="56"/>
    </row>
    <row r="11" spans="1:4" ht="15.75" thickBot="1">
      <c r="A11" s="1" t="s">
        <v>1288</v>
      </c>
      <c r="B11" s="5" t="b">
        <v>0</v>
      </c>
      <c r="C11" s="103" t="b">
        <f t="shared" si="0"/>
        <v>1</v>
      </c>
      <c r="D11" s="37"/>
    </row>
    <row r="12" spans="1:4" ht="15.75" thickBot="1">
      <c r="A12" s="1" t="s">
        <v>1315</v>
      </c>
      <c r="B12" s="5" t="b">
        <v>0</v>
      </c>
      <c r="C12" s="103" t="b">
        <f t="shared" si="0"/>
        <v>1</v>
      </c>
      <c r="D12" s="37"/>
    </row>
    <row r="13" spans="1:4" ht="15.75" thickBot="1">
      <c r="A13" s="1" t="s">
        <v>1289</v>
      </c>
      <c r="B13" s="5" t="b">
        <v>0</v>
      </c>
      <c r="C13" s="103" t="b">
        <f t="shared" si="0"/>
        <v>1</v>
      </c>
    </row>
    <row r="14" spans="1:4" ht="15.75" thickBot="1">
      <c r="A14" s="1" t="s">
        <v>1316</v>
      </c>
      <c r="B14" s="5" t="b">
        <v>0</v>
      </c>
      <c r="C14" s="103" t="b">
        <f t="shared" si="0"/>
        <v>1</v>
      </c>
    </row>
    <row r="15" spans="1:4" ht="15.75" thickBot="1">
      <c r="A15" s="1" t="s">
        <v>1947</v>
      </c>
      <c r="B15" s="6" t="b">
        <v>0</v>
      </c>
      <c r="C15" s="103"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workbookViewId="0">
      <selection activeCell="B2" sqref="B2"/>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48" t="s">
        <v>1212</v>
      </c>
      <c r="B1" s="149" t="s">
        <v>1231</v>
      </c>
      <c r="C1" s="153" t="s">
        <v>1234</v>
      </c>
      <c r="D1" s="150" t="s">
        <v>1260</v>
      </c>
      <c r="E1" s="150" t="s">
        <v>1232</v>
      </c>
      <c r="F1" s="150" t="s">
        <v>1242</v>
      </c>
      <c r="G1" s="150" t="s">
        <v>1233</v>
      </c>
      <c r="H1" s="150" t="s">
        <v>1236</v>
      </c>
      <c r="I1" s="150" t="s">
        <v>1238</v>
      </c>
      <c r="J1" s="150" t="s">
        <v>1241</v>
      </c>
      <c r="K1" s="150" t="s">
        <v>1243</v>
      </c>
      <c r="L1" s="150" t="s">
        <v>1259</v>
      </c>
      <c r="M1" s="151" t="s">
        <v>1262</v>
      </c>
      <c r="N1" s="151" t="s">
        <v>1834</v>
      </c>
      <c r="O1" s="151" t="s">
        <v>25</v>
      </c>
      <c r="P1" s="152" t="s">
        <v>26</v>
      </c>
    </row>
    <row r="2" spans="1:16" ht="15.75" thickTop="1">
      <c r="A2" t="str">
        <f>IF(O2,P2)</f>
        <v>Contour Next</v>
      </c>
      <c r="B2" s="20"/>
      <c r="C2" s="20"/>
      <c r="D2" s="17" t="b">
        <f>AND('Diabetes Meter Criteria'!C5)</f>
        <v>1</v>
      </c>
      <c r="E2" s="20"/>
      <c r="F2" s="20"/>
      <c r="G2" s="20"/>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1230</v>
      </c>
    </row>
    <row r="3" spans="1:16">
      <c r="A3" t="str">
        <f t="shared" ref="A3:A28" si="0">IF(O3,P3)</f>
        <v>Contour Next One</v>
      </c>
      <c r="B3" s="20"/>
      <c r="C3" s="17" t="b">
        <f>AND('Diabetes Meter Criteria'!C4)</f>
        <v>1</v>
      </c>
      <c r="D3" s="17" t="b">
        <f>D2</f>
        <v>1</v>
      </c>
      <c r="E3" s="17" t="b">
        <f>AND('Diabetes Meter Criteria'!C6)</f>
        <v>1</v>
      </c>
      <c r="F3" s="17" t="b">
        <f>AND('Diabetes Meter Criteria'!C8)</f>
        <v>1</v>
      </c>
      <c r="G3" s="17" t="b">
        <f>AND('Diabetes Meter Criteria'!C7)</f>
        <v>1</v>
      </c>
      <c r="H3" s="20"/>
      <c r="I3" s="17" t="b">
        <f t="shared" ref="I3:N3" si="1">I2</f>
        <v>1</v>
      </c>
      <c r="J3" s="17" t="b">
        <f t="shared" si="1"/>
        <v>1</v>
      </c>
      <c r="K3" s="17" t="b">
        <f t="shared" si="1"/>
        <v>1</v>
      </c>
      <c r="L3" s="17" t="b">
        <f t="shared" si="1"/>
        <v>1</v>
      </c>
      <c r="M3" s="17" t="b">
        <f t="shared" si="1"/>
        <v>1</v>
      </c>
      <c r="N3" s="17" t="b">
        <f t="shared" si="1"/>
        <v>1</v>
      </c>
      <c r="O3" t="b">
        <f t="shared" ref="O3:O28" si="2">AND(B3:N3)</f>
        <v>1</v>
      </c>
      <c r="P3" s="11" t="s">
        <v>1235</v>
      </c>
    </row>
    <row r="4" spans="1:16">
      <c r="A4" t="str">
        <f t="shared" si="0"/>
        <v>Contour Next Link</v>
      </c>
      <c r="B4" s="20"/>
      <c r="C4" s="17" t="b">
        <f>C3</f>
        <v>1</v>
      </c>
      <c r="D4" s="17" t="b">
        <f>D2</f>
        <v>1</v>
      </c>
      <c r="E4" s="20"/>
      <c r="F4" s="20"/>
      <c r="G4" s="17" t="b">
        <f>G3</f>
        <v>1</v>
      </c>
      <c r="H4" s="17" t="b">
        <f>H2</f>
        <v>1</v>
      </c>
      <c r="I4" s="20"/>
      <c r="J4" s="17" t="b">
        <f>J2</f>
        <v>1</v>
      </c>
      <c r="K4" s="17" t="b">
        <f>K2</f>
        <v>1</v>
      </c>
      <c r="L4" s="17" t="b">
        <f>L2</f>
        <v>1</v>
      </c>
      <c r="M4" s="17" t="b">
        <f>M2</f>
        <v>1</v>
      </c>
      <c r="N4" s="17" t="b">
        <f>N2</f>
        <v>1</v>
      </c>
      <c r="O4" t="b">
        <f t="shared" si="2"/>
        <v>1</v>
      </c>
      <c r="P4" s="11" t="s">
        <v>1237</v>
      </c>
    </row>
    <row r="5" spans="1:16">
      <c r="A5" t="str">
        <f t="shared" si="0"/>
        <v>Contour Next EZ</v>
      </c>
      <c r="B5" s="20"/>
      <c r="C5" s="20"/>
      <c r="D5" s="17" t="b">
        <f>D2</f>
        <v>1</v>
      </c>
      <c r="E5" s="20"/>
      <c r="F5" s="17" t="b">
        <f>F3</f>
        <v>1</v>
      </c>
      <c r="G5" s="20"/>
      <c r="H5" s="17" t="b">
        <f t="shared" ref="H5:N5" si="3">H2</f>
        <v>1</v>
      </c>
      <c r="I5" s="17" t="b">
        <f t="shared" si="3"/>
        <v>1</v>
      </c>
      <c r="J5" s="17" t="b">
        <f t="shared" si="3"/>
        <v>1</v>
      </c>
      <c r="K5" s="17" t="b">
        <f t="shared" si="3"/>
        <v>1</v>
      </c>
      <c r="L5" s="17" t="b">
        <f t="shared" si="3"/>
        <v>1</v>
      </c>
      <c r="M5" s="17" t="b">
        <f t="shared" si="3"/>
        <v>1</v>
      </c>
      <c r="N5" s="17" t="b">
        <f t="shared" si="3"/>
        <v>1</v>
      </c>
      <c r="O5" t="b">
        <f t="shared" si="2"/>
        <v>1</v>
      </c>
      <c r="P5" s="11" t="s">
        <v>1239</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c r="D7" s="17" t="b">
        <f>D2</f>
        <v>1</v>
      </c>
      <c r="E7" s="17" t="b">
        <f>E3</f>
        <v>1</v>
      </c>
      <c r="F7" s="17" t="b">
        <f>F3</f>
        <v>1</v>
      </c>
      <c r="G7" s="17" t="b">
        <f>G3</f>
        <v>1</v>
      </c>
      <c r="H7" s="17" t="b">
        <f>H2</f>
        <v>1</v>
      </c>
      <c r="I7" s="17" t="b">
        <f>I2</f>
        <v>1</v>
      </c>
      <c r="J7" s="20"/>
      <c r="K7" s="20"/>
      <c r="L7" s="17" t="b">
        <f>L2</f>
        <v>1</v>
      </c>
      <c r="M7" s="17" t="b">
        <f>M2</f>
        <v>1</v>
      </c>
      <c r="N7" s="17" t="b">
        <f>N2</f>
        <v>1</v>
      </c>
      <c r="O7" t="b">
        <f t="shared" si="2"/>
        <v>1</v>
      </c>
      <c r="P7" s="11" t="s">
        <v>1240</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c r="D9" s="17" t="b">
        <f>D2</f>
        <v>1</v>
      </c>
      <c r="E9" s="17" t="b">
        <f>E3</f>
        <v>1</v>
      </c>
      <c r="F9" s="20"/>
      <c r="G9" s="20"/>
      <c r="H9" s="17" t="b">
        <f t="shared" ref="H9:N9" si="4">H2</f>
        <v>1</v>
      </c>
      <c r="I9" s="17" t="b">
        <f t="shared" si="4"/>
        <v>1</v>
      </c>
      <c r="J9" s="17" t="b">
        <f t="shared" si="4"/>
        <v>1</v>
      </c>
      <c r="K9" s="17" t="b">
        <f t="shared" si="4"/>
        <v>1</v>
      </c>
      <c r="L9" s="17" t="b">
        <f t="shared" si="4"/>
        <v>1</v>
      </c>
      <c r="M9" s="17" t="b">
        <f t="shared" si="4"/>
        <v>1</v>
      </c>
      <c r="N9" s="17" t="b">
        <f t="shared" si="4"/>
        <v>1</v>
      </c>
      <c r="O9" t="b">
        <f t="shared" si="2"/>
        <v>1</v>
      </c>
      <c r="P9" s="11" t="s">
        <v>1244</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c r="D11" s="17" t="b">
        <f>D2</f>
        <v>1</v>
      </c>
      <c r="E11" s="17" t="b">
        <f>E3</f>
        <v>1</v>
      </c>
      <c r="F11" s="20"/>
      <c r="G11" s="20"/>
      <c r="H11" s="20"/>
      <c r="I11" s="17" t="b">
        <f t="shared" ref="I11:N11" si="5">I2</f>
        <v>1</v>
      </c>
      <c r="J11" s="17" t="b">
        <f t="shared" si="5"/>
        <v>1</v>
      </c>
      <c r="K11" s="17" t="b">
        <f t="shared" si="5"/>
        <v>1</v>
      </c>
      <c r="L11" s="17" t="b">
        <f t="shared" si="5"/>
        <v>1</v>
      </c>
      <c r="M11" s="17" t="b">
        <f t="shared" si="5"/>
        <v>1</v>
      </c>
      <c r="N11" s="17" t="b">
        <f t="shared" si="5"/>
        <v>1</v>
      </c>
      <c r="O11" t="b">
        <f t="shared" si="2"/>
        <v>1</v>
      </c>
      <c r="P11" s="11" t="s">
        <v>1245</v>
      </c>
    </row>
    <row r="12" spans="1:16">
      <c r="A12" t="str">
        <f t="shared" si="0"/>
        <v>Accu-Chek Aviva</v>
      </c>
      <c r="B12" s="17" t="b">
        <f>B7</f>
        <v>1</v>
      </c>
      <c r="C12" s="20"/>
      <c r="D12" s="17" t="b">
        <f>D2</f>
        <v>1</v>
      </c>
      <c r="E12" s="17" t="b">
        <f>E3</f>
        <v>1</v>
      </c>
      <c r="F12" s="17" t="b">
        <f>F3</f>
        <v>1</v>
      </c>
      <c r="G12" s="20"/>
      <c r="H12" s="17" t="b">
        <f t="shared" ref="H12:N12" si="6">H2</f>
        <v>1</v>
      </c>
      <c r="I12" s="17" t="b">
        <f t="shared" si="6"/>
        <v>1</v>
      </c>
      <c r="J12" s="17" t="b">
        <f t="shared" si="6"/>
        <v>1</v>
      </c>
      <c r="K12" s="17" t="b">
        <f t="shared" si="6"/>
        <v>1</v>
      </c>
      <c r="L12" s="17" t="b">
        <f t="shared" si="6"/>
        <v>1</v>
      </c>
      <c r="M12" s="17" t="b">
        <f t="shared" si="6"/>
        <v>1</v>
      </c>
      <c r="N12" s="17" t="b">
        <f t="shared" si="6"/>
        <v>1</v>
      </c>
      <c r="O12" t="b">
        <f t="shared" si="2"/>
        <v>1</v>
      </c>
      <c r="P12" s="11" t="s">
        <v>1246</v>
      </c>
    </row>
    <row r="13" spans="1:16" ht="12.75" customHeight="1">
      <c r="A13" t="str">
        <f t="shared" si="0"/>
        <v>Accu-Chek Aviva Connect</v>
      </c>
      <c r="B13" s="17" t="b">
        <f>B7</f>
        <v>1</v>
      </c>
      <c r="C13" s="20"/>
      <c r="D13" s="17" t="b">
        <f>D2</f>
        <v>1</v>
      </c>
      <c r="E13" s="17" t="b">
        <f>E3</f>
        <v>1</v>
      </c>
      <c r="F13" s="20"/>
      <c r="G13" s="20"/>
      <c r="H13" s="20"/>
      <c r="I13" s="17" t="b">
        <f t="shared" ref="I13:N13" si="7">I2</f>
        <v>1</v>
      </c>
      <c r="J13" s="17" t="b">
        <f t="shared" si="7"/>
        <v>1</v>
      </c>
      <c r="K13" s="17" t="b">
        <f t="shared" si="7"/>
        <v>1</v>
      </c>
      <c r="L13" s="17" t="b">
        <f t="shared" si="7"/>
        <v>1</v>
      </c>
      <c r="M13" s="17" t="b">
        <f t="shared" si="7"/>
        <v>1</v>
      </c>
      <c r="N13" s="17" t="b">
        <f t="shared" si="7"/>
        <v>1</v>
      </c>
      <c r="O13" t="b">
        <f t="shared" si="2"/>
        <v>1</v>
      </c>
      <c r="P13" s="11" t="s">
        <v>1247</v>
      </c>
    </row>
    <row r="14" spans="1:16" ht="12.75" customHeight="1">
      <c r="A14" t="str">
        <f t="shared" si="0"/>
        <v>Accu-Chek Aviva Nano</v>
      </c>
      <c r="B14" s="17" t="b">
        <f>B7</f>
        <v>1</v>
      </c>
      <c r="C14" s="20"/>
      <c r="D14" s="17" t="b">
        <f>D2</f>
        <v>1</v>
      </c>
      <c r="E14" s="17" t="b">
        <f>E3</f>
        <v>1</v>
      </c>
      <c r="F14" s="20"/>
      <c r="G14" s="20"/>
      <c r="H14" s="17" t="b">
        <f t="shared" ref="H14:N14" si="8">H2</f>
        <v>1</v>
      </c>
      <c r="I14" s="17" t="b">
        <f t="shared" si="8"/>
        <v>1</v>
      </c>
      <c r="J14" s="17" t="b">
        <f t="shared" si="8"/>
        <v>1</v>
      </c>
      <c r="K14" s="17" t="b">
        <f t="shared" si="8"/>
        <v>1</v>
      </c>
      <c r="L14" s="17" t="b">
        <f t="shared" si="8"/>
        <v>1</v>
      </c>
      <c r="M14" s="17" t="b">
        <f t="shared" si="8"/>
        <v>1</v>
      </c>
      <c r="N14" s="17" t="b">
        <f t="shared" si="8"/>
        <v>1</v>
      </c>
      <c r="O14" t="b">
        <f t="shared" si="2"/>
        <v>1</v>
      </c>
      <c r="P14" s="11" t="s">
        <v>1248</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c r="G16" s="20"/>
      <c r="H16" s="20"/>
      <c r="I16" s="20"/>
      <c r="J16" s="17" t="b">
        <f>J2</f>
        <v>1</v>
      </c>
      <c r="K16" s="17" t="b">
        <f>K2</f>
        <v>1</v>
      </c>
      <c r="L16" s="20"/>
      <c r="M16" s="17" t="b">
        <f>M2</f>
        <v>1</v>
      </c>
      <c r="N16" s="17" t="b">
        <f>N2</f>
        <v>1</v>
      </c>
      <c r="O16" t="b">
        <f t="shared" si="2"/>
        <v>1</v>
      </c>
      <c r="P16" s="11" t="s">
        <v>1258</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c r="D18" s="20"/>
      <c r="E18" s="17" t="b">
        <f>E3</f>
        <v>1</v>
      </c>
      <c r="F18" s="17" t="b">
        <f>F3</f>
        <v>1</v>
      </c>
      <c r="G18" s="20"/>
      <c r="H18" s="20"/>
      <c r="I18" s="17" t="b">
        <f t="shared" ref="I18:N18" si="9">I2</f>
        <v>1</v>
      </c>
      <c r="J18" s="17" t="b">
        <f t="shared" si="9"/>
        <v>1</v>
      </c>
      <c r="K18" s="17" t="b">
        <f t="shared" si="9"/>
        <v>1</v>
      </c>
      <c r="L18" s="17" t="b">
        <f t="shared" si="9"/>
        <v>1</v>
      </c>
      <c r="M18" s="17" t="b">
        <f t="shared" si="9"/>
        <v>1</v>
      </c>
      <c r="N18" s="17" t="b">
        <f t="shared" si="9"/>
        <v>1</v>
      </c>
      <c r="O18" t="b">
        <f t="shared" si="2"/>
        <v>1</v>
      </c>
      <c r="P18" s="28" t="s">
        <v>1249</v>
      </c>
    </row>
    <row r="19" spans="1:16">
      <c r="A19" t="str">
        <f t="shared" si="0"/>
        <v>OneTouch Verio Flex®</v>
      </c>
      <c r="B19" s="17" t="b">
        <f>B7</f>
        <v>1</v>
      </c>
      <c r="C19" s="20"/>
      <c r="D19" s="20"/>
      <c r="E19" s="17" t="b">
        <f>E3</f>
        <v>1</v>
      </c>
      <c r="F19" s="17" t="b">
        <f>F3</f>
        <v>1</v>
      </c>
      <c r="G19" s="20"/>
      <c r="H19" s="20"/>
      <c r="I19" s="17" t="b">
        <f t="shared" ref="I19:N19" si="10">I2</f>
        <v>1</v>
      </c>
      <c r="J19" s="17" t="b">
        <f t="shared" si="10"/>
        <v>1</v>
      </c>
      <c r="K19" s="17" t="b">
        <f t="shared" si="10"/>
        <v>1</v>
      </c>
      <c r="L19" s="17" t="b">
        <f t="shared" si="10"/>
        <v>1</v>
      </c>
      <c r="M19" s="17" t="b">
        <f t="shared" si="10"/>
        <v>1</v>
      </c>
      <c r="N19" s="17" t="b">
        <f t="shared" si="10"/>
        <v>1</v>
      </c>
      <c r="O19" t="b">
        <f t="shared" si="2"/>
        <v>1</v>
      </c>
      <c r="P19" s="28" t="s">
        <v>1250</v>
      </c>
    </row>
    <row r="20" spans="1:16">
      <c r="A20" t="str">
        <f>IF(O20,P20)</f>
        <v>OneTouch Verio®</v>
      </c>
      <c r="B20" s="17" t="b">
        <f>B7</f>
        <v>1</v>
      </c>
      <c r="C20" s="20"/>
      <c r="D20" s="20"/>
      <c r="E20" s="17" t="b">
        <f>E3</f>
        <v>1</v>
      </c>
      <c r="F20" s="17" t="b">
        <f>F3</f>
        <v>1</v>
      </c>
      <c r="G20" s="20"/>
      <c r="H20" s="17" t="b">
        <f t="shared" ref="H20:N20" si="11">H2</f>
        <v>1</v>
      </c>
      <c r="I20" s="17" t="b">
        <f t="shared" si="11"/>
        <v>1</v>
      </c>
      <c r="J20" s="17" t="b">
        <f t="shared" si="11"/>
        <v>1</v>
      </c>
      <c r="K20" s="17" t="b">
        <f t="shared" si="11"/>
        <v>1</v>
      </c>
      <c r="L20" s="17" t="b">
        <f t="shared" si="11"/>
        <v>1</v>
      </c>
      <c r="M20" s="17" t="b">
        <f t="shared" si="11"/>
        <v>1</v>
      </c>
      <c r="N20" s="17" t="b">
        <f t="shared" si="11"/>
        <v>1</v>
      </c>
      <c r="O20" t="b">
        <f t="shared" si="2"/>
        <v>1</v>
      </c>
      <c r="P20" s="28" t="s">
        <v>1251</v>
      </c>
    </row>
    <row r="21" spans="1:16">
      <c r="A21" t="str">
        <f t="shared" si="0"/>
        <v>OneTouch Verio® IQ</v>
      </c>
      <c r="B21" s="17" t="b">
        <f>B7</f>
        <v>1</v>
      </c>
      <c r="C21" s="20"/>
      <c r="D21" s="20"/>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1252</v>
      </c>
    </row>
    <row r="22" spans="1:16">
      <c r="A22" t="str">
        <f t="shared" si="0"/>
        <v>OneTouch UltraMini®</v>
      </c>
      <c r="B22" s="17" t="b">
        <f>B7</f>
        <v>1</v>
      </c>
      <c r="C22" s="20"/>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c r="O22" t="b">
        <f t="shared" si="2"/>
        <v>1</v>
      </c>
      <c r="P22" s="28" t="s">
        <v>1253</v>
      </c>
    </row>
    <row r="23" spans="1:16">
      <c r="A23" t="str">
        <f t="shared" si="0"/>
        <v>OneTouch Ultra®2</v>
      </c>
      <c r="B23" s="17" t="b">
        <f>B7</f>
        <v>1</v>
      </c>
      <c r="C23" s="20"/>
      <c r="D23" s="17" t="b">
        <f>D2</f>
        <v>1</v>
      </c>
      <c r="E23" s="17" t="b">
        <f>E3</f>
        <v>1</v>
      </c>
      <c r="F23" s="20"/>
      <c r="G23" s="20"/>
      <c r="H23" s="17" t="b">
        <f t="shared" ref="H23:N23" si="14">H2</f>
        <v>1</v>
      </c>
      <c r="I23" s="17" t="b">
        <f t="shared" si="14"/>
        <v>1</v>
      </c>
      <c r="J23" s="17" t="b">
        <f t="shared" si="14"/>
        <v>1</v>
      </c>
      <c r="K23" s="17" t="b">
        <f t="shared" si="14"/>
        <v>1</v>
      </c>
      <c r="L23" s="17" t="b">
        <f t="shared" si="14"/>
        <v>1</v>
      </c>
      <c r="M23" s="17" t="b">
        <f t="shared" si="14"/>
        <v>1</v>
      </c>
      <c r="N23" s="17" t="b">
        <f t="shared" si="14"/>
        <v>1</v>
      </c>
      <c r="O23" t="b">
        <f t="shared" si="2"/>
        <v>1</v>
      </c>
      <c r="P23" s="28" t="s">
        <v>1254</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c r="G25" s="20"/>
      <c r="H25" s="20"/>
      <c r="I25" s="17" t="b">
        <f>I2</f>
        <v>1</v>
      </c>
      <c r="J25" s="17" t="b">
        <f>J2</f>
        <v>1</v>
      </c>
      <c r="K25" s="17" t="b">
        <f>K2</f>
        <v>1</v>
      </c>
      <c r="L25" s="20"/>
      <c r="M25" s="17" t="b">
        <f>M2</f>
        <v>1</v>
      </c>
      <c r="N25" s="17" t="b">
        <f>N2</f>
        <v>1</v>
      </c>
      <c r="O25" t="b">
        <f t="shared" si="2"/>
        <v>1</v>
      </c>
      <c r="P25" s="29" t="s">
        <v>1255</v>
      </c>
    </row>
    <row r="26" spans="1:16">
      <c r="A26" t="str">
        <f t="shared" si="0"/>
        <v>FreeStyle Precision Neo</v>
      </c>
      <c r="B26" s="17" t="b">
        <f>B7</f>
        <v>1</v>
      </c>
      <c r="C26" s="17" t="b">
        <f>C3</f>
        <v>1</v>
      </c>
      <c r="D26" s="17" t="b">
        <f>D2</f>
        <v>1</v>
      </c>
      <c r="E26" s="17" t="b">
        <f>E3</f>
        <v>1</v>
      </c>
      <c r="F26" s="20"/>
      <c r="G26" s="20"/>
      <c r="H26" s="17" t="b">
        <f>H2</f>
        <v>1</v>
      </c>
      <c r="I26" s="17" t="b">
        <f>I2</f>
        <v>1</v>
      </c>
      <c r="J26" s="17" t="b">
        <f>J2</f>
        <v>1</v>
      </c>
      <c r="K26" s="20"/>
      <c r="L26" s="17" t="b">
        <f>L2</f>
        <v>1</v>
      </c>
      <c r="M26" s="17" t="b">
        <f>M2</f>
        <v>1</v>
      </c>
      <c r="N26" s="17" t="b">
        <f>N2</f>
        <v>1</v>
      </c>
      <c r="O26" t="b">
        <f t="shared" si="2"/>
        <v>1</v>
      </c>
      <c r="P26" s="11" t="s">
        <v>1256</v>
      </c>
    </row>
    <row r="27" spans="1:16">
      <c r="A27" t="str">
        <f t="shared" si="0"/>
        <v>FreeStyle Lite</v>
      </c>
      <c r="B27" s="17" t="b">
        <f>B7</f>
        <v>1</v>
      </c>
      <c r="C27" s="20"/>
      <c r="D27" s="17" t="b">
        <f>D2</f>
        <v>1</v>
      </c>
      <c r="E27" s="17" t="b">
        <f>E3</f>
        <v>1</v>
      </c>
      <c r="F27" s="20"/>
      <c r="G27" s="17" t="b">
        <f>G3</f>
        <v>1</v>
      </c>
      <c r="H27" s="17" t="b">
        <f t="shared" ref="H27:M27" si="15">H2</f>
        <v>1</v>
      </c>
      <c r="I27" s="17" t="b">
        <f t="shared" si="15"/>
        <v>1</v>
      </c>
      <c r="J27" s="17" t="b">
        <f t="shared" si="15"/>
        <v>1</v>
      </c>
      <c r="K27" s="17" t="b">
        <f t="shared" si="15"/>
        <v>1</v>
      </c>
      <c r="L27" s="17" t="b">
        <f t="shared" si="15"/>
        <v>1</v>
      </c>
      <c r="M27" s="17" t="b">
        <f t="shared" si="15"/>
        <v>1</v>
      </c>
      <c r="N27" s="20"/>
      <c r="O27" t="b">
        <f t="shared" si="2"/>
        <v>1</v>
      </c>
      <c r="P27" s="11" t="s">
        <v>1257</v>
      </c>
    </row>
    <row r="28" spans="1:16">
      <c r="A28" t="str">
        <f t="shared" si="0"/>
        <v>FreeStyle Insulix</v>
      </c>
      <c r="B28" s="17" t="b">
        <f>B7</f>
        <v>1</v>
      </c>
      <c r="C28" s="20"/>
      <c r="D28" s="17" t="b">
        <f>D2</f>
        <v>1</v>
      </c>
      <c r="E28" s="17" t="b">
        <f>E3</f>
        <v>1</v>
      </c>
      <c r="F28" s="17" t="b">
        <f>F3</f>
        <v>1</v>
      </c>
      <c r="G28" s="20"/>
      <c r="H28" s="17" t="b">
        <f t="shared" ref="H28:L28" si="16">H2</f>
        <v>1</v>
      </c>
      <c r="I28" s="17" t="b">
        <f t="shared" si="16"/>
        <v>1</v>
      </c>
      <c r="J28" s="17" t="b">
        <f t="shared" si="16"/>
        <v>1</v>
      </c>
      <c r="K28" s="17" t="b">
        <f t="shared" si="16"/>
        <v>1</v>
      </c>
      <c r="L28" s="17" t="b">
        <f t="shared" si="16"/>
        <v>1</v>
      </c>
      <c r="M28" s="20"/>
      <c r="N28" s="17" t="b">
        <f>N2</f>
        <v>1</v>
      </c>
      <c r="O28" t="b">
        <f t="shared" si="2"/>
        <v>1</v>
      </c>
      <c r="P28" s="11" t="s">
        <v>1261</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A17" sqref="A17"/>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61" t="s">
        <v>10</v>
      </c>
      <c r="D1" s="61"/>
      <c r="E1" s="8" t="s">
        <v>19</v>
      </c>
    </row>
    <row r="2" spans="1:7" ht="15.75" thickBot="1">
      <c r="B2" s="4"/>
      <c r="C2" s="62"/>
      <c r="D2" s="62"/>
      <c r="E2" s="4"/>
    </row>
    <row r="3" spans="1:7" ht="15.75" thickBot="1">
      <c r="A3" s="158" t="s">
        <v>3</v>
      </c>
      <c r="B3" s="5" t="b">
        <v>0</v>
      </c>
      <c r="C3" s="62" t="b">
        <f t="shared" ref="C3:C12" si="0">NOT(B3)</f>
        <v>1</v>
      </c>
      <c r="D3" s="62" t="b">
        <f>AND(B17,C5,C6,C8)</f>
        <v>1</v>
      </c>
      <c r="E3" s="4" t="str">
        <f>IF(D3,random!A7)</f>
        <v>Cough Suppressant</v>
      </c>
    </row>
    <row r="4" spans="1:7" ht="15.75" thickBot="1">
      <c r="A4" s="158" t="s">
        <v>385</v>
      </c>
      <c r="B4" s="5" t="b">
        <v>0</v>
      </c>
      <c r="C4" s="62" t="b">
        <f t="shared" si="0"/>
        <v>1</v>
      </c>
      <c r="D4" s="62" t="b">
        <f>AND(OR(B18,B17),C9,C11)</f>
        <v>1</v>
      </c>
      <c r="E4" s="4" t="str">
        <f>IF(D4,random!A10)</f>
        <v>Anti-Histamine</v>
      </c>
    </row>
    <row r="5" spans="1:7" ht="15.75" thickBot="1">
      <c r="A5" s="162" t="s">
        <v>16</v>
      </c>
      <c r="B5" s="5" t="b">
        <v>0</v>
      </c>
      <c r="C5" s="62" t="b">
        <f t="shared" si="0"/>
        <v>1</v>
      </c>
      <c r="D5" s="62" t="b">
        <f>AND(B19,C3,C4,C6,C8)</f>
        <v>0</v>
      </c>
      <c r="E5" s="4" t="b">
        <f>IF(D5,random!A8)</f>
        <v>0</v>
      </c>
    </row>
    <row r="6" spans="1:7" ht="15.75" thickBot="1">
      <c r="A6" s="158" t="s">
        <v>12</v>
      </c>
      <c r="B6" s="5" t="b">
        <v>0</v>
      </c>
      <c r="C6" s="62" t="b">
        <f t="shared" si="0"/>
        <v>1</v>
      </c>
      <c r="D6" s="62" t="b">
        <f>OR(B20,B17)</f>
        <v>1</v>
      </c>
      <c r="E6" s="4" t="str">
        <f>IF(D6,random!A9)</f>
        <v>Guaifenasin</v>
      </c>
    </row>
    <row r="7" spans="1:7" ht="15.75" thickBot="1">
      <c r="A7" s="158" t="s">
        <v>13</v>
      </c>
      <c r="B7" s="5" t="b">
        <v>1</v>
      </c>
      <c r="C7" s="62" t="b">
        <f t="shared" si="0"/>
        <v>0</v>
      </c>
      <c r="D7" s="62" t="b">
        <f>AND(C11,OR(B21:B22))</f>
        <v>1</v>
      </c>
      <c r="E7" s="4" t="str">
        <f>IF(D7,random!A11)</f>
        <v>Acetaminophen</v>
      </c>
    </row>
    <row r="8" spans="1:7" ht="15.75" thickBot="1">
      <c r="A8" s="162" t="s">
        <v>17</v>
      </c>
      <c r="B8" s="5" t="b">
        <v>0</v>
      </c>
      <c r="C8" s="62" t="b">
        <f t="shared" si="0"/>
        <v>1</v>
      </c>
      <c r="D8" s="62" t="b">
        <f>AND(C4,C6,C10,C12,OR(B21:B22))</f>
        <v>1</v>
      </c>
      <c r="E8" s="4" t="str">
        <f>IF(D8,random!A12)</f>
        <v>Ibuprofen</v>
      </c>
    </row>
    <row r="9" spans="1:7" ht="15.75" thickBot="1">
      <c r="A9" s="162" t="s">
        <v>23</v>
      </c>
      <c r="B9" s="5" t="b">
        <v>0</v>
      </c>
      <c r="C9" s="62" t="b">
        <f t="shared" si="0"/>
        <v>1</v>
      </c>
      <c r="D9" s="62" t="b">
        <f>OR(B17,B19,B23)</f>
        <v>1</v>
      </c>
      <c r="E9" s="60" t="str">
        <f>IF(D9,random!A13)</f>
        <v>Menthol</v>
      </c>
    </row>
    <row r="10" spans="1:7" ht="15.75" thickBot="1">
      <c r="A10" s="164" t="s">
        <v>384</v>
      </c>
      <c r="B10" s="5" t="b">
        <v>0</v>
      </c>
      <c r="C10" s="62" t="b">
        <f t="shared" si="0"/>
        <v>1</v>
      </c>
      <c r="D10" s="62" t="b">
        <f>B23</f>
        <v>0</v>
      </c>
      <c r="E10" s="56" t="b">
        <f>IF(D10,random!A14)</f>
        <v>0</v>
      </c>
    </row>
    <row r="11" spans="1:7" ht="15.75" thickBot="1">
      <c r="A11" s="171" t="s">
        <v>389</v>
      </c>
      <c r="B11" s="5" t="b">
        <v>0</v>
      </c>
      <c r="C11" s="62" t="b">
        <f t="shared" si="0"/>
        <v>1</v>
      </c>
      <c r="D11" s="62"/>
      <c r="E11" s="54"/>
    </row>
    <row r="12" spans="1:7" ht="15.75" thickBot="1">
      <c r="A12" s="171" t="s">
        <v>383</v>
      </c>
      <c r="B12" s="5" t="b">
        <v>0</v>
      </c>
      <c r="C12" s="62" t="b">
        <f t="shared" si="0"/>
        <v>1</v>
      </c>
      <c r="D12" s="62"/>
      <c r="E12" s="39"/>
      <c r="G12" s="32"/>
    </row>
    <row r="13" spans="1:7" ht="15.75" thickBot="1">
      <c r="A13" s="164" t="s">
        <v>987</v>
      </c>
      <c r="B13" s="6" t="b">
        <v>0</v>
      </c>
      <c r="C13" s="62" t="b">
        <f>NOT(B13)</f>
        <v>1</v>
      </c>
      <c r="D13" s="53"/>
      <c r="E13" s="39"/>
    </row>
    <row r="14" spans="1:7" ht="15.75" thickBot="1">
      <c r="C14" s="53"/>
      <c r="D14" s="53"/>
    </row>
    <row r="15" spans="1:7" ht="15.75" thickTop="1">
      <c r="A15" s="3" t="s">
        <v>14</v>
      </c>
      <c r="B15" s="38" t="s">
        <v>18</v>
      </c>
      <c r="C15" s="52"/>
      <c r="D15" s="52"/>
      <c r="E15"/>
    </row>
    <row r="16" spans="1:7" ht="15.75" thickBot="1">
      <c r="B16" s="4"/>
      <c r="C16" s="53"/>
      <c r="D16" s="53"/>
      <c r="E16"/>
    </row>
    <row r="17" spans="1:5" ht="15.75" thickBot="1">
      <c r="A17" s="196" t="s">
        <v>0</v>
      </c>
      <c r="B17" s="5" t="b">
        <v>1</v>
      </c>
      <c r="C17" s="53"/>
      <c r="D17" s="53"/>
      <c r="E17"/>
    </row>
    <row r="18" spans="1:5" ht="15.75" thickBot="1">
      <c r="A18" s="196" t="s">
        <v>22</v>
      </c>
      <c r="B18" s="5" t="b">
        <v>0</v>
      </c>
      <c r="C18" s="53"/>
      <c r="D18" s="53"/>
      <c r="E18"/>
    </row>
    <row r="19" spans="1:5" ht="15.75" thickBot="1">
      <c r="A19" s="196" t="s">
        <v>1</v>
      </c>
      <c r="B19" s="5" t="b">
        <v>0</v>
      </c>
      <c r="C19" s="53"/>
      <c r="D19" s="53"/>
      <c r="E19"/>
    </row>
    <row r="20" spans="1:5" ht="15.75" thickBot="1">
      <c r="A20" s="196" t="s">
        <v>2</v>
      </c>
      <c r="B20" s="5" t="b">
        <v>0</v>
      </c>
      <c r="C20" s="53"/>
      <c r="D20" s="53"/>
      <c r="E20"/>
    </row>
    <row r="21" spans="1:5" ht="15.75" thickBot="1">
      <c r="A21" s="196" t="s">
        <v>9</v>
      </c>
      <c r="B21" s="5" t="b">
        <v>1</v>
      </c>
      <c r="C21" s="53"/>
      <c r="D21" s="53"/>
      <c r="E21"/>
    </row>
    <row r="22" spans="1:5" ht="15.75" thickBot="1">
      <c r="A22" s="196" t="s">
        <v>21</v>
      </c>
      <c r="B22" s="5" t="b">
        <v>0</v>
      </c>
      <c r="C22" s="53"/>
      <c r="D22" s="53"/>
      <c r="E22" s="10"/>
    </row>
    <row r="23" spans="1:5" ht="15.75" thickBot="1">
      <c r="A23" s="196" t="s">
        <v>37</v>
      </c>
      <c r="B23" s="5" t="b">
        <v>0</v>
      </c>
      <c r="C23" s="53"/>
      <c r="D23" s="53"/>
      <c r="E23" s="10"/>
    </row>
    <row r="24" spans="1:5" ht="15.75" thickBot="1">
      <c r="A24" s="161" t="s">
        <v>20</v>
      </c>
      <c r="B24" s="5" t="b">
        <v>0</v>
      </c>
      <c r="C24" s="62" t="b">
        <f>NOT(B24)</f>
        <v>1</v>
      </c>
      <c r="D24" s="53"/>
      <c r="E24"/>
    </row>
    <row r="25" spans="1:5" ht="15.75" thickBot="1">
      <c r="A25" s="166" t="s">
        <v>531</v>
      </c>
      <c r="B25" s="5" t="b">
        <v>1</v>
      </c>
      <c r="C25" s="62" t="b">
        <f t="shared" ref="C25:C26" si="1">NOT(B25)</f>
        <v>0</v>
      </c>
      <c r="D25" s="53"/>
      <c r="E25"/>
    </row>
    <row r="26" spans="1:5" ht="15.75" thickBot="1">
      <c r="A26" s="167" t="s">
        <v>1114</v>
      </c>
      <c r="B26" s="6" t="b">
        <v>0</v>
      </c>
      <c r="C26" s="62"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abSelected="1" zoomScaleNormal="100" workbookViewId="0">
      <selection activeCell="N9" sqref="N9"/>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71"/>
    <col min="17" max="17" width="99.140625" style="122" customWidth="1"/>
  </cols>
  <sheetData>
    <row r="1" spans="1:17" ht="16.5" customHeight="1" thickTop="1" thickBot="1">
      <c r="A1" s="63" t="s">
        <v>1212</v>
      </c>
      <c r="B1" s="200" t="s">
        <v>1658</v>
      </c>
      <c r="C1" s="200" t="s">
        <v>906</v>
      </c>
      <c r="D1" s="200" t="s">
        <v>1422</v>
      </c>
      <c r="E1" s="200" t="s">
        <v>1838</v>
      </c>
      <c r="F1" s="200" t="s">
        <v>1837</v>
      </c>
      <c r="G1" s="12" t="s">
        <v>8</v>
      </c>
      <c r="H1" s="12" t="s">
        <v>7</v>
      </c>
      <c r="I1" s="12" t="s">
        <v>5</v>
      </c>
      <c r="J1" s="12" t="s">
        <v>6</v>
      </c>
      <c r="K1" s="12" t="s">
        <v>162</v>
      </c>
      <c r="L1" s="12" t="s">
        <v>112</v>
      </c>
      <c r="M1" s="59" t="s">
        <v>36</v>
      </c>
      <c r="N1" s="36" t="s">
        <v>362</v>
      </c>
      <c r="O1" s="36" t="s">
        <v>359</v>
      </c>
      <c r="P1" s="110" t="s">
        <v>25</v>
      </c>
      <c r="Q1" s="124" t="s">
        <v>26</v>
      </c>
    </row>
    <row r="2" spans="1:17" ht="15.75" thickTop="1">
      <c r="A2" s="57" t="str">
        <f>IF(P2=TRUE,Q2)</f>
        <v>Advil Cold &amp; Flu</v>
      </c>
      <c r="B2" s="20" t="b">
        <f>AND('Cough &amp; Cold Criteria'!B7)</f>
        <v>1</v>
      </c>
      <c r="C2" s="17"/>
      <c r="D2" s="17"/>
      <c r="E2" s="20" t="b">
        <f>AND('Cough &amp; Cold Criteria'!B25,'Cough &amp; Cold Criteria'!C24,'Cough &amp; Cold Criteria'!C26)</f>
        <v>1</v>
      </c>
      <c r="F2" s="17"/>
      <c r="G2" s="13"/>
      <c r="H2" s="35" t="b">
        <f>AND('Cough &amp; Cold Criteria'!C9,'Cough &amp; Cold Criteria'!C11,OR('Cough &amp; Cold Criteria'!B17:B18))</f>
        <v>1</v>
      </c>
      <c r="I2" s="13"/>
      <c r="J2" s="13"/>
      <c r="K2" s="13"/>
      <c r="L2" s="35" t="b">
        <f>AND('Cough &amp; Cold Criteria'!C4,'Cough &amp; Cold Criteria'!C6,'Cough &amp; Cold Criteria'!C10,'Cough &amp; Cold Criteria'!C12,OR('Cough &amp; Cold Criteria'!B21:B22))</f>
        <v>1</v>
      </c>
      <c r="M2" s="14"/>
      <c r="N2" s="14"/>
      <c r="O2" s="14"/>
      <c r="P2" s="109" t="b">
        <f>AND(B2:O2)</f>
        <v>1</v>
      </c>
      <c r="Q2" s="117" t="s">
        <v>47</v>
      </c>
    </row>
    <row r="3" spans="1:17">
      <c r="A3" s="57" t="str">
        <f t="shared" ref="A3:A14" si="0">IF(P3=TRUE,Q3)</f>
        <v>Advil Cold, Cough &amp; Flu Nighttime </v>
      </c>
      <c r="B3" s="20" t="b">
        <f>B2</f>
        <v>1</v>
      </c>
      <c r="C3" s="17"/>
      <c r="D3" s="17"/>
      <c r="E3" s="20" t="b">
        <f>E2</f>
        <v>1</v>
      </c>
      <c r="F3" s="17"/>
      <c r="G3" s="14"/>
      <c r="H3" s="35" t="b">
        <f>H2</f>
        <v>1</v>
      </c>
      <c r="I3" s="13"/>
      <c r="J3" s="13"/>
      <c r="K3" s="13"/>
      <c r="L3" s="35" t="b">
        <f>L2</f>
        <v>1</v>
      </c>
      <c r="M3" s="13"/>
      <c r="N3" s="13"/>
      <c r="O3" s="13"/>
      <c r="P3" s="109" t="b">
        <f t="shared" ref="P3:P66" si="1">AND(B3:O3)</f>
        <v>1</v>
      </c>
      <c r="Q3" s="117" t="s">
        <v>48</v>
      </c>
    </row>
    <row r="4" spans="1:17">
      <c r="A4" s="57" t="b">
        <f t="shared" si="0"/>
        <v>0</v>
      </c>
      <c r="B4" s="20" t="b">
        <f>B2</f>
        <v>1</v>
      </c>
      <c r="C4" s="17"/>
      <c r="D4" s="17"/>
      <c r="E4" s="20" t="b">
        <f>E2</f>
        <v>1</v>
      </c>
      <c r="F4" s="17"/>
      <c r="G4" s="13"/>
      <c r="H4" s="13"/>
      <c r="I4" s="35" t="b">
        <f>AND('Cough &amp; Cold Criteria'!C3:C4,'Cough &amp; Cold Criteria'!C6,'Cough &amp; Cold Criteria'!C8,'Cough &amp; Cold Criteria'!B19)</f>
        <v>0</v>
      </c>
      <c r="J4" s="13"/>
      <c r="K4" s="13"/>
      <c r="L4" s="35" t="b">
        <f>L2</f>
        <v>1</v>
      </c>
      <c r="M4" s="13"/>
      <c r="N4" s="13"/>
      <c r="O4" s="13"/>
      <c r="P4" s="109" t="b">
        <f t="shared" si="1"/>
        <v>0</v>
      </c>
      <c r="Q4" s="117" t="s">
        <v>49</v>
      </c>
    </row>
    <row r="5" spans="1:17">
      <c r="A5" s="57" t="b">
        <f t="shared" si="0"/>
        <v>0</v>
      </c>
      <c r="B5" s="20" t="b">
        <f>B2</f>
        <v>1</v>
      </c>
      <c r="C5" s="17"/>
      <c r="D5" s="17"/>
      <c r="E5" s="20" t="b">
        <f>E2</f>
        <v>1</v>
      </c>
      <c r="F5" s="17"/>
      <c r="G5" s="13"/>
      <c r="H5" s="35" t="b">
        <f>H2</f>
        <v>1</v>
      </c>
      <c r="I5" s="35" t="b">
        <f>I4</f>
        <v>0</v>
      </c>
      <c r="J5" s="13"/>
      <c r="K5" s="13"/>
      <c r="L5" s="35" t="b">
        <f>L2</f>
        <v>1</v>
      </c>
      <c r="M5" s="13"/>
      <c r="N5" s="13"/>
      <c r="O5" s="13"/>
      <c r="P5" s="109" t="b">
        <f t="shared" si="1"/>
        <v>0</v>
      </c>
      <c r="Q5" s="117" t="s">
        <v>50</v>
      </c>
    </row>
    <row r="6" spans="1:17">
      <c r="A6" s="57" t="b">
        <f t="shared" si="0"/>
        <v>0</v>
      </c>
      <c r="B6" s="20" t="b">
        <f>B2</f>
        <v>1</v>
      </c>
      <c r="C6" s="17"/>
      <c r="D6" s="17"/>
      <c r="E6" s="20" t="b">
        <f>E2</f>
        <v>1</v>
      </c>
      <c r="F6" s="17"/>
      <c r="G6" s="13"/>
      <c r="H6" s="13"/>
      <c r="I6" s="35" t="b">
        <f>I4</f>
        <v>0</v>
      </c>
      <c r="J6" s="13"/>
      <c r="K6" s="13"/>
      <c r="L6" s="35" t="b">
        <f>L2</f>
        <v>1</v>
      </c>
      <c r="M6" s="13"/>
      <c r="N6" s="13"/>
      <c r="O6" s="13"/>
      <c r="P6" s="109" t="b">
        <f t="shared" si="1"/>
        <v>0</v>
      </c>
      <c r="Q6" s="117" t="s">
        <v>51</v>
      </c>
    </row>
    <row r="7" spans="1:17">
      <c r="A7" s="57" t="b">
        <f t="shared" si="0"/>
        <v>0</v>
      </c>
      <c r="B7" s="20" t="b">
        <f>B2</f>
        <v>1</v>
      </c>
      <c r="C7" s="17"/>
      <c r="D7" s="17"/>
      <c r="E7" s="20" t="b">
        <f>E2</f>
        <v>1</v>
      </c>
      <c r="F7" s="17"/>
      <c r="G7" s="13"/>
      <c r="H7" s="35" t="b">
        <f>H2</f>
        <v>1</v>
      </c>
      <c r="I7" s="35" t="b">
        <f>I4</f>
        <v>0</v>
      </c>
      <c r="J7" s="13"/>
      <c r="K7" s="13"/>
      <c r="L7" s="35" t="b">
        <f>L2</f>
        <v>1</v>
      </c>
      <c r="M7" s="13"/>
      <c r="N7" s="13"/>
      <c r="O7" s="13"/>
      <c r="P7" s="109" t="b">
        <f t="shared" si="1"/>
        <v>0</v>
      </c>
      <c r="Q7" s="117" t="s">
        <v>52</v>
      </c>
    </row>
    <row r="8" spans="1:17">
      <c r="A8" s="57" t="b">
        <f t="shared" si="0"/>
        <v>0</v>
      </c>
      <c r="B8" s="20" t="b">
        <f>B2</f>
        <v>1</v>
      </c>
      <c r="C8" s="17"/>
      <c r="D8" s="17"/>
      <c r="E8" s="20" t="b">
        <f>E2</f>
        <v>1</v>
      </c>
      <c r="F8" s="17"/>
      <c r="G8" s="13"/>
      <c r="H8" s="35" t="b">
        <f>H2</f>
        <v>1</v>
      </c>
      <c r="I8" s="35" t="b">
        <f>I4</f>
        <v>0</v>
      </c>
      <c r="J8" s="13"/>
      <c r="K8" s="13"/>
      <c r="L8" s="35" t="b">
        <f>L2</f>
        <v>1</v>
      </c>
      <c r="M8" s="13"/>
      <c r="N8" s="13"/>
      <c r="O8" s="13"/>
      <c r="P8" s="109" t="b">
        <f t="shared" si="1"/>
        <v>0</v>
      </c>
      <c r="Q8" s="117" t="s">
        <v>53</v>
      </c>
    </row>
    <row r="9" spans="1:17">
      <c r="A9" s="57" t="b">
        <f t="shared" si="0"/>
        <v>0</v>
      </c>
      <c r="B9" s="20" t="b">
        <f>B2</f>
        <v>1</v>
      </c>
      <c r="C9" s="17"/>
      <c r="D9" s="17"/>
      <c r="E9" s="20" t="b">
        <f>E2</f>
        <v>1</v>
      </c>
      <c r="F9" s="17"/>
      <c r="G9" s="13"/>
      <c r="H9" s="35" t="b">
        <f>H2</f>
        <v>1</v>
      </c>
      <c r="I9" s="35" t="b">
        <f>I4</f>
        <v>0</v>
      </c>
      <c r="J9" s="13"/>
      <c r="K9" s="13"/>
      <c r="L9" s="35" t="b">
        <f>L2</f>
        <v>1</v>
      </c>
      <c r="M9" s="13"/>
      <c r="N9" s="13"/>
      <c r="O9" s="13"/>
      <c r="P9" s="109" t="b">
        <f t="shared" si="1"/>
        <v>0</v>
      </c>
      <c r="Q9" s="117" t="s">
        <v>54</v>
      </c>
    </row>
    <row r="10" spans="1:17">
      <c r="A10" s="57" t="b">
        <f t="shared" si="0"/>
        <v>0</v>
      </c>
      <c r="B10" s="17"/>
      <c r="C10" s="20" t="b">
        <f>AND('Cough &amp; Cold Criteria'!C7)</f>
        <v>0</v>
      </c>
      <c r="D10" s="20" t="b">
        <f>AND('Cough &amp; Cold Criteria'!B24,'Cough &amp; Cold Criteria'!C25:C26,'Cough &amp; Cold Criteria'!C6)</f>
        <v>0</v>
      </c>
      <c r="E10" s="17"/>
      <c r="F10" s="17"/>
      <c r="G10" s="13"/>
      <c r="H10" s="13"/>
      <c r="I10" s="13"/>
      <c r="J10" s="13"/>
      <c r="K10" s="13"/>
      <c r="L10" s="35" t="b">
        <f>L2</f>
        <v>1</v>
      </c>
      <c r="M10" s="13"/>
      <c r="N10" s="13"/>
      <c r="O10" s="13"/>
      <c r="P10" s="109" t="b">
        <f t="shared" si="1"/>
        <v>0</v>
      </c>
      <c r="Q10" s="117" t="s">
        <v>55</v>
      </c>
    </row>
    <row r="11" spans="1:17">
      <c r="A11" s="57" t="b">
        <f t="shared" si="0"/>
        <v>0</v>
      </c>
      <c r="B11" s="17"/>
      <c r="C11" s="20" t="b">
        <f>C10</f>
        <v>0</v>
      </c>
      <c r="D11" s="20" t="b">
        <f>D10</f>
        <v>0</v>
      </c>
      <c r="E11" s="17"/>
      <c r="F11" s="17"/>
      <c r="G11" s="13"/>
      <c r="H11" s="13"/>
      <c r="I11" s="35" t="b">
        <f>I4</f>
        <v>0</v>
      </c>
      <c r="J11" s="13"/>
      <c r="K11" s="13"/>
      <c r="L11" s="35" t="b">
        <f>L2</f>
        <v>1</v>
      </c>
      <c r="M11" s="13"/>
      <c r="N11" s="13"/>
      <c r="O11" s="13"/>
      <c r="P11" s="109" t="b">
        <f t="shared" si="1"/>
        <v>0</v>
      </c>
      <c r="Q11" s="117" t="s">
        <v>540</v>
      </c>
    </row>
    <row r="12" spans="1:17">
      <c r="A12" s="57" t="b">
        <f t="shared" si="0"/>
        <v>0</v>
      </c>
      <c r="B12" s="17"/>
      <c r="C12" s="20" t="b">
        <f>C10</f>
        <v>0</v>
      </c>
      <c r="D12" s="20" t="b">
        <f>D10</f>
        <v>0</v>
      </c>
      <c r="E12" s="17"/>
      <c r="F12" s="17"/>
      <c r="G12" s="13"/>
      <c r="H12" s="35" t="b">
        <f>H2</f>
        <v>1</v>
      </c>
      <c r="I12" s="35" t="b">
        <f>I4</f>
        <v>0</v>
      </c>
      <c r="J12" s="13"/>
      <c r="K12" s="13"/>
      <c r="L12" s="35" t="b">
        <f>L2</f>
        <v>1</v>
      </c>
      <c r="M12" s="13"/>
      <c r="N12" s="13"/>
      <c r="O12" s="13"/>
      <c r="P12" s="109" t="b">
        <f t="shared" si="1"/>
        <v>0</v>
      </c>
      <c r="Q12" s="117" t="s">
        <v>539</v>
      </c>
    </row>
    <row r="13" spans="1:17">
      <c r="A13" s="57" t="b">
        <f t="shared" si="0"/>
        <v>0</v>
      </c>
      <c r="B13" s="17"/>
      <c r="C13" s="20" t="b">
        <f>C10</f>
        <v>0</v>
      </c>
      <c r="D13" s="20" t="b">
        <f>D10</f>
        <v>0</v>
      </c>
      <c r="E13" s="17"/>
      <c r="F13" s="17"/>
      <c r="G13" s="13"/>
      <c r="H13" s="13"/>
      <c r="I13" s="13"/>
      <c r="J13" s="13"/>
      <c r="K13" s="13"/>
      <c r="L13" s="35" t="b">
        <f>L2</f>
        <v>1</v>
      </c>
      <c r="M13" s="13"/>
      <c r="N13" s="13"/>
      <c r="O13" s="13"/>
      <c r="P13" s="109" t="b">
        <f t="shared" si="1"/>
        <v>0</v>
      </c>
      <c r="Q13" s="117" t="s">
        <v>541</v>
      </c>
    </row>
    <row r="14" spans="1:17">
      <c r="A14" s="57" t="b">
        <f t="shared" si="0"/>
        <v>0</v>
      </c>
      <c r="B14" s="17"/>
      <c r="C14" s="20" t="b">
        <f>C10</f>
        <v>0</v>
      </c>
      <c r="D14" s="17"/>
      <c r="E14" s="20" t="b">
        <f>E2</f>
        <v>1</v>
      </c>
      <c r="F14" s="17"/>
      <c r="G14" s="13"/>
      <c r="H14" s="13"/>
      <c r="I14" s="13"/>
      <c r="J14" s="13"/>
      <c r="K14" s="13"/>
      <c r="L14" s="35" t="b">
        <f>L2</f>
        <v>1</v>
      </c>
      <c r="M14" s="13"/>
      <c r="N14" s="13"/>
      <c r="O14" s="13"/>
      <c r="P14" s="109" t="b">
        <f t="shared" si="1"/>
        <v>0</v>
      </c>
      <c r="Q14" s="117" t="s">
        <v>542</v>
      </c>
    </row>
    <row r="15" spans="1:17">
      <c r="A15" s="58"/>
      <c r="B15" s="16"/>
      <c r="C15" s="16"/>
      <c r="D15" s="16"/>
      <c r="E15" s="16"/>
      <c r="F15" s="16"/>
      <c r="G15" s="15"/>
      <c r="H15" s="15"/>
      <c r="I15" s="15"/>
      <c r="J15" s="15"/>
      <c r="K15" s="15"/>
      <c r="L15" s="15"/>
      <c r="M15" s="15"/>
      <c r="N15" s="15"/>
      <c r="O15" s="15"/>
      <c r="P15" s="75"/>
      <c r="Q15" s="111"/>
    </row>
    <row r="16" spans="1:17">
      <c r="A16" s="57" t="b">
        <f>IF(P16=TRUE,Q16)</f>
        <v>0</v>
      </c>
      <c r="B16" s="20" t="b">
        <f>B2</f>
        <v>1</v>
      </c>
      <c r="C16" s="17"/>
      <c r="D16" s="17"/>
      <c r="E16" s="20" t="b">
        <f>E2</f>
        <v>1</v>
      </c>
      <c r="F16" s="17"/>
      <c r="G16" s="13"/>
      <c r="H16" s="13"/>
      <c r="I16" s="35" t="b">
        <f>I4</f>
        <v>0</v>
      </c>
      <c r="J16" s="13"/>
      <c r="K16" s="35" t="b">
        <f>AND('Cough &amp; Cold Criteria'!C11,OR('Cough &amp; Cold Criteria'!B21:B22))</f>
        <v>1</v>
      </c>
      <c r="L16" s="13"/>
      <c r="M16" s="13"/>
      <c r="N16" s="13"/>
      <c r="O16" s="13"/>
      <c r="P16" s="109" t="b">
        <f t="shared" si="1"/>
        <v>0</v>
      </c>
      <c r="Q16" s="119" t="s">
        <v>27</v>
      </c>
    </row>
    <row r="17" spans="1:17">
      <c r="A17" s="57" t="b">
        <f t="shared" ref="A17:A80" si="2">IF(P17=TRUE,Q17)</f>
        <v>0</v>
      </c>
      <c r="B17" s="17"/>
      <c r="C17" s="20" t="b">
        <f>C10</f>
        <v>0</v>
      </c>
      <c r="D17" s="17"/>
      <c r="E17" s="20" t="b">
        <f>E2</f>
        <v>1</v>
      </c>
      <c r="F17" s="17"/>
      <c r="G17" s="13"/>
      <c r="H17" s="13"/>
      <c r="I17" s="13"/>
      <c r="J17" s="13"/>
      <c r="K17" s="35" t="b">
        <f>K16</f>
        <v>1</v>
      </c>
      <c r="L17" s="13"/>
      <c r="M17" s="13"/>
      <c r="N17" s="13"/>
      <c r="O17" s="13"/>
      <c r="P17" s="109" t="b">
        <f t="shared" si="1"/>
        <v>0</v>
      </c>
      <c r="Q17" s="119" t="s">
        <v>44</v>
      </c>
    </row>
    <row r="18" spans="1:17">
      <c r="A18" s="57" t="b">
        <f t="shared" si="2"/>
        <v>0</v>
      </c>
      <c r="B18" s="20" t="b">
        <f>B2</f>
        <v>1</v>
      </c>
      <c r="C18" s="17"/>
      <c r="D18" s="17"/>
      <c r="E18" s="20" t="b">
        <f>E2</f>
        <v>1</v>
      </c>
      <c r="F18" s="17"/>
      <c r="G18" s="35" t="b">
        <f>AND('Cough &amp; Cold Criteria'!C5,'Cough &amp; Cold Criteria'!C6,'Cough &amp; Cold Criteria'!C8,'Cough &amp; Cold Criteria'!B17)</f>
        <v>1</v>
      </c>
      <c r="H18" s="35" t="b">
        <f>H2</f>
        <v>1</v>
      </c>
      <c r="I18" s="35" t="b">
        <f>I4</f>
        <v>0</v>
      </c>
      <c r="J18" s="35" t="b">
        <f>OR('Cough &amp; Cold Criteria'!B17,'Cough &amp; Cold Criteria'!B20)</f>
        <v>1</v>
      </c>
      <c r="K18" s="35" t="b">
        <f>K16</f>
        <v>1</v>
      </c>
      <c r="L18" s="13"/>
      <c r="M18" s="13"/>
      <c r="N18" s="13"/>
      <c r="O18" s="13"/>
      <c r="P18" s="109" t="b">
        <f t="shared" si="1"/>
        <v>0</v>
      </c>
      <c r="Q18" s="119" t="s">
        <v>28</v>
      </c>
    </row>
    <row r="19" spans="1:17">
      <c r="A19" s="57" t="b">
        <f t="shared" si="2"/>
        <v>0</v>
      </c>
      <c r="B19" s="20" t="b">
        <f>B2</f>
        <v>1</v>
      </c>
      <c r="C19" s="17"/>
      <c r="D19" s="17"/>
      <c r="E19" s="20" t="b">
        <f>E2</f>
        <v>1</v>
      </c>
      <c r="F19" s="17"/>
      <c r="G19" s="35" t="b">
        <f>G18</f>
        <v>1</v>
      </c>
      <c r="H19" s="13"/>
      <c r="I19" s="35" t="b">
        <f>I4</f>
        <v>0</v>
      </c>
      <c r="J19" s="35" t="b">
        <f>J18</f>
        <v>1</v>
      </c>
      <c r="K19" s="35" t="b">
        <f>K16</f>
        <v>1</v>
      </c>
      <c r="L19" s="13"/>
      <c r="M19" s="13"/>
      <c r="N19" s="13"/>
      <c r="O19" s="13"/>
      <c r="P19" s="109" t="b">
        <f t="shared" si="1"/>
        <v>0</v>
      </c>
      <c r="Q19" s="119" t="s">
        <v>29</v>
      </c>
    </row>
    <row r="20" spans="1:17">
      <c r="A20" s="57" t="b">
        <f t="shared" si="2"/>
        <v>0</v>
      </c>
      <c r="B20" s="20" t="b">
        <f>B2</f>
        <v>1</v>
      </c>
      <c r="C20" s="17"/>
      <c r="D20" s="20" t="b">
        <f>D10</f>
        <v>0</v>
      </c>
      <c r="E20" s="17"/>
      <c r="F20" s="17"/>
      <c r="G20" s="35" t="b">
        <f>G18</f>
        <v>1</v>
      </c>
      <c r="H20" s="13"/>
      <c r="I20" s="35" t="b">
        <f>I4</f>
        <v>0</v>
      </c>
      <c r="J20" s="35" t="b">
        <f>J18</f>
        <v>1</v>
      </c>
      <c r="K20" s="35" t="b">
        <f>K16</f>
        <v>1</v>
      </c>
      <c r="L20" s="13"/>
      <c r="M20" s="35" t="b">
        <f>OR('Cough &amp; Cold Criteria'!B17,'Cough &amp; Cold Criteria'!B19,'Cough &amp; Cold Criteria'!B23)</f>
        <v>1</v>
      </c>
      <c r="N20" s="13"/>
      <c r="O20" s="13"/>
      <c r="P20" s="109" t="b">
        <f t="shared" si="1"/>
        <v>0</v>
      </c>
      <c r="Q20" s="119" t="s">
        <v>30</v>
      </c>
    </row>
    <row r="21" spans="1:17">
      <c r="A21" s="57" t="b">
        <f t="shared" si="2"/>
        <v>0</v>
      </c>
      <c r="B21" s="20" t="b">
        <f>B2</f>
        <v>1</v>
      </c>
      <c r="C21" s="17"/>
      <c r="D21" s="20" t="b">
        <f>D10</f>
        <v>0</v>
      </c>
      <c r="E21" s="17"/>
      <c r="F21" s="17"/>
      <c r="G21" s="35" t="b">
        <f>G18</f>
        <v>1</v>
      </c>
      <c r="H21" s="35" t="b">
        <f>H2</f>
        <v>1</v>
      </c>
      <c r="I21" s="35" t="b">
        <f>I4</f>
        <v>0</v>
      </c>
      <c r="J21" s="35" t="b">
        <f>J18</f>
        <v>1</v>
      </c>
      <c r="K21" s="35" t="b">
        <f>K16</f>
        <v>1</v>
      </c>
      <c r="L21" s="13"/>
      <c r="M21" s="35" t="b">
        <f>M20</f>
        <v>1</v>
      </c>
      <c r="N21" s="13"/>
      <c r="O21" s="13"/>
      <c r="P21" s="109" t="b">
        <f t="shared" si="1"/>
        <v>0</v>
      </c>
      <c r="Q21" s="118" t="s">
        <v>31</v>
      </c>
    </row>
    <row r="22" spans="1:17">
      <c r="A22" s="57" t="b">
        <f t="shared" si="2"/>
        <v>0</v>
      </c>
      <c r="B22" s="20" t="b">
        <f>B2</f>
        <v>1</v>
      </c>
      <c r="C22" s="17"/>
      <c r="D22" s="17"/>
      <c r="E22" s="20" t="b">
        <f>E2</f>
        <v>1</v>
      </c>
      <c r="F22" s="17"/>
      <c r="G22" s="35" t="b">
        <f>G18</f>
        <v>1</v>
      </c>
      <c r="H22" s="35" t="b">
        <f>H2</f>
        <v>1</v>
      </c>
      <c r="I22" s="35" t="b">
        <f>I4</f>
        <v>0</v>
      </c>
      <c r="J22" s="13"/>
      <c r="K22" s="35" t="b">
        <f>K16</f>
        <v>1</v>
      </c>
      <c r="L22" s="13"/>
      <c r="M22" s="13"/>
      <c r="N22" s="13"/>
      <c r="O22" s="13"/>
      <c r="P22" s="109" t="b">
        <f t="shared" si="1"/>
        <v>0</v>
      </c>
      <c r="Q22" s="119" t="s">
        <v>32</v>
      </c>
    </row>
    <row r="23" spans="1:17">
      <c r="A23" s="57" t="b">
        <f t="shared" si="2"/>
        <v>0</v>
      </c>
      <c r="B23" s="20" t="b">
        <f>B2</f>
        <v>1</v>
      </c>
      <c r="C23" s="17"/>
      <c r="D23" s="17"/>
      <c r="E23" s="20" t="b">
        <f>E2</f>
        <v>1</v>
      </c>
      <c r="F23" s="17"/>
      <c r="G23" s="35" t="b">
        <f>G18</f>
        <v>1</v>
      </c>
      <c r="H23" s="35" t="b">
        <f>H2</f>
        <v>1</v>
      </c>
      <c r="I23" s="35" t="b">
        <f>I4</f>
        <v>0</v>
      </c>
      <c r="J23" s="13"/>
      <c r="K23" s="35" t="b">
        <f>K16</f>
        <v>1</v>
      </c>
      <c r="L23" s="13"/>
      <c r="M23" s="13"/>
      <c r="N23" s="13"/>
      <c r="O23" s="13"/>
      <c r="P23" s="109" t="b">
        <f t="shared" si="1"/>
        <v>0</v>
      </c>
      <c r="Q23" s="119" t="s">
        <v>33</v>
      </c>
    </row>
    <row r="24" spans="1:17">
      <c r="A24" s="57" t="b">
        <f t="shared" si="2"/>
        <v>0</v>
      </c>
      <c r="B24" s="20" t="b">
        <f>B2</f>
        <v>1</v>
      </c>
      <c r="C24" s="17"/>
      <c r="D24" s="17"/>
      <c r="E24" s="20" t="b">
        <f>E2</f>
        <v>1</v>
      </c>
      <c r="F24" s="17"/>
      <c r="G24" s="13"/>
      <c r="H24" s="35" t="b">
        <f>H2</f>
        <v>1</v>
      </c>
      <c r="I24" s="35" t="b">
        <f>I4</f>
        <v>0</v>
      </c>
      <c r="J24" s="13"/>
      <c r="K24" s="35" t="b">
        <f>K16</f>
        <v>1</v>
      </c>
      <c r="L24" s="13"/>
      <c r="M24" s="13"/>
      <c r="N24" s="13"/>
      <c r="O24" s="13"/>
      <c r="P24" s="109" t="b">
        <f t="shared" si="1"/>
        <v>0</v>
      </c>
      <c r="Q24" s="119" t="s">
        <v>34</v>
      </c>
    </row>
    <row r="25" spans="1:17">
      <c r="A25" s="57" t="b">
        <f t="shared" si="2"/>
        <v>0</v>
      </c>
      <c r="B25" s="20" t="b">
        <f>B2</f>
        <v>1</v>
      </c>
      <c r="C25" s="17"/>
      <c r="D25" s="17"/>
      <c r="E25" s="20" t="b">
        <f>E2</f>
        <v>1</v>
      </c>
      <c r="F25" s="17"/>
      <c r="G25" s="13"/>
      <c r="H25" s="35" t="b">
        <f>H2</f>
        <v>1</v>
      </c>
      <c r="I25" s="35" t="b">
        <f>I4</f>
        <v>0</v>
      </c>
      <c r="J25" s="13"/>
      <c r="K25" s="35" t="b">
        <f>K16</f>
        <v>1</v>
      </c>
      <c r="L25" s="13"/>
      <c r="M25" s="13"/>
      <c r="N25" s="13"/>
      <c r="O25" s="13"/>
      <c r="P25" s="109" t="b">
        <f t="shared" si="1"/>
        <v>0</v>
      </c>
      <c r="Q25" s="119" t="s">
        <v>35</v>
      </c>
    </row>
    <row r="26" spans="1:17">
      <c r="A26" s="57" t="b">
        <f t="shared" si="2"/>
        <v>0</v>
      </c>
      <c r="B26" s="17"/>
      <c r="C26" s="20" t="b">
        <f>C10</f>
        <v>0</v>
      </c>
      <c r="D26" s="20" t="b">
        <f>D10</f>
        <v>0</v>
      </c>
      <c r="E26" s="17"/>
      <c r="F26" s="17"/>
      <c r="G26" s="13"/>
      <c r="H26" s="13"/>
      <c r="I26" s="13"/>
      <c r="J26" s="13"/>
      <c r="K26" s="35" t="b">
        <f>K16</f>
        <v>1</v>
      </c>
      <c r="L26" s="13"/>
      <c r="M26" s="13"/>
      <c r="N26" s="13"/>
      <c r="O26" s="13"/>
      <c r="P26" s="109" t="b">
        <f t="shared" si="1"/>
        <v>0</v>
      </c>
      <c r="Q26" s="119" t="s">
        <v>45</v>
      </c>
    </row>
    <row r="27" spans="1:17">
      <c r="A27" s="57" t="b">
        <f t="shared" si="2"/>
        <v>0</v>
      </c>
      <c r="B27" s="17"/>
      <c r="C27" s="20" t="b">
        <f>C10</f>
        <v>0</v>
      </c>
      <c r="D27" s="20" t="b">
        <f>D10</f>
        <v>0</v>
      </c>
      <c r="E27" s="17"/>
      <c r="F27" s="17"/>
      <c r="G27" s="13"/>
      <c r="H27" s="13"/>
      <c r="I27" s="13"/>
      <c r="J27" s="13"/>
      <c r="K27" s="35" t="b">
        <f>K16</f>
        <v>1</v>
      </c>
      <c r="L27" s="13"/>
      <c r="M27" s="13"/>
      <c r="N27" s="13"/>
      <c r="O27" s="13"/>
      <c r="P27" s="109" t="b">
        <f t="shared" si="1"/>
        <v>0</v>
      </c>
      <c r="Q27" s="119" t="s">
        <v>46</v>
      </c>
    </row>
    <row r="28" spans="1:17">
      <c r="A28" s="57" t="b">
        <f t="shared" si="2"/>
        <v>0</v>
      </c>
      <c r="B28" s="17"/>
      <c r="C28" s="20" t="b">
        <f>C10</f>
        <v>0</v>
      </c>
      <c r="D28" s="20" t="b">
        <f>D10</f>
        <v>0</v>
      </c>
      <c r="E28" s="17"/>
      <c r="F28" s="17"/>
      <c r="G28" s="13"/>
      <c r="H28" s="13"/>
      <c r="I28" s="35" t="b">
        <f>I4</f>
        <v>0</v>
      </c>
      <c r="J28" s="13"/>
      <c r="K28" s="35" t="b">
        <f>K16</f>
        <v>1</v>
      </c>
      <c r="L28" s="13"/>
      <c r="M28" s="13"/>
      <c r="N28" s="13"/>
      <c r="O28" s="13"/>
      <c r="P28" s="109" t="b">
        <f t="shared" si="1"/>
        <v>0</v>
      </c>
      <c r="Q28" s="119" t="s">
        <v>38</v>
      </c>
    </row>
    <row r="29" spans="1:17">
      <c r="A29" s="57" t="b">
        <f t="shared" si="2"/>
        <v>0</v>
      </c>
      <c r="B29" s="17"/>
      <c r="C29" s="20" t="b">
        <f>C10</f>
        <v>0</v>
      </c>
      <c r="D29" s="20" t="b">
        <f>D10</f>
        <v>0</v>
      </c>
      <c r="E29" s="17"/>
      <c r="F29" s="17"/>
      <c r="G29" s="13"/>
      <c r="H29" s="35" t="b">
        <f>H2</f>
        <v>1</v>
      </c>
      <c r="I29" s="35" t="b">
        <f>I4</f>
        <v>0</v>
      </c>
      <c r="J29" s="13"/>
      <c r="K29" s="35" t="b">
        <f>K16</f>
        <v>1</v>
      </c>
      <c r="L29" s="13"/>
      <c r="M29" s="13"/>
      <c r="N29" s="13"/>
      <c r="O29" s="13"/>
      <c r="P29" s="109" t="b">
        <f t="shared" si="1"/>
        <v>0</v>
      </c>
      <c r="Q29" s="119" t="s">
        <v>39</v>
      </c>
    </row>
    <row r="30" spans="1:17">
      <c r="A30" s="57" t="b">
        <f t="shared" si="2"/>
        <v>0</v>
      </c>
      <c r="B30" s="17"/>
      <c r="C30" s="20" t="b">
        <f>C10</f>
        <v>0</v>
      </c>
      <c r="D30" s="20" t="b">
        <f>D10</f>
        <v>0</v>
      </c>
      <c r="E30" s="17"/>
      <c r="F30" s="17"/>
      <c r="G30" s="35" t="b">
        <f>G18</f>
        <v>1</v>
      </c>
      <c r="H30" s="35" t="b">
        <f>H2</f>
        <v>1</v>
      </c>
      <c r="I30" s="13"/>
      <c r="J30" s="13"/>
      <c r="K30" s="35" t="b">
        <f>K16</f>
        <v>1</v>
      </c>
      <c r="L30" s="13"/>
      <c r="M30" s="13"/>
      <c r="N30" s="13"/>
      <c r="O30" s="13"/>
      <c r="P30" s="109" t="b">
        <f t="shared" si="1"/>
        <v>0</v>
      </c>
      <c r="Q30" s="119" t="s">
        <v>532</v>
      </c>
    </row>
    <row r="31" spans="1:17">
      <c r="A31" s="57" t="b">
        <f t="shared" si="2"/>
        <v>0</v>
      </c>
      <c r="B31" s="17"/>
      <c r="C31" s="20" t="b">
        <f>C10</f>
        <v>0</v>
      </c>
      <c r="D31" s="20" t="b">
        <f>D10</f>
        <v>0</v>
      </c>
      <c r="E31" s="17"/>
      <c r="F31" s="17"/>
      <c r="G31" s="35" t="b">
        <f>G18</f>
        <v>1</v>
      </c>
      <c r="H31" s="35" t="b">
        <f>H2</f>
        <v>1</v>
      </c>
      <c r="I31" s="35" t="b">
        <f>I4</f>
        <v>0</v>
      </c>
      <c r="J31" s="13"/>
      <c r="K31" s="35" t="b">
        <f>K16</f>
        <v>1</v>
      </c>
      <c r="L31" s="13"/>
      <c r="M31" s="13"/>
      <c r="N31" s="13"/>
      <c r="O31" s="13"/>
      <c r="P31" s="109" t="b">
        <f t="shared" si="1"/>
        <v>0</v>
      </c>
      <c r="Q31" s="119" t="s">
        <v>533</v>
      </c>
    </row>
    <row r="32" spans="1:17">
      <c r="A32" s="57" t="b">
        <f t="shared" si="2"/>
        <v>0</v>
      </c>
      <c r="B32" s="17"/>
      <c r="C32" s="20" t="b">
        <f>C10</f>
        <v>0</v>
      </c>
      <c r="D32" s="20" t="b">
        <f>D10</f>
        <v>0</v>
      </c>
      <c r="E32" s="17"/>
      <c r="F32" s="17"/>
      <c r="G32" s="35" t="b">
        <f>G18</f>
        <v>1</v>
      </c>
      <c r="H32" s="35" t="b">
        <f>H2</f>
        <v>1</v>
      </c>
      <c r="I32" s="35" t="b">
        <f>I4</f>
        <v>0</v>
      </c>
      <c r="J32" s="13"/>
      <c r="K32" s="35" t="b">
        <f>K16</f>
        <v>1</v>
      </c>
      <c r="L32" s="13"/>
      <c r="M32" s="13"/>
      <c r="N32" s="13"/>
      <c r="O32" s="13"/>
      <c r="P32" s="109" t="b">
        <f t="shared" si="1"/>
        <v>0</v>
      </c>
      <c r="Q32" s="119" t="s">
        <v>534</v>
      </c>
    </row>
    <row r="33" spans="1:17">
      <c r="A33" s="57" t="b">
        <f t="shared" si="2"/>
        <v>0</v>
      </c>
      <c r="B33" s="17"/>
      <c r="C33" s="20" t="b">
        <f>C10</f>
        <v>0</v>
      </c>
      <c r="D33" s="20" t="b">
        <f>D10</f>
        <v>0</v>
      </c>
      <c r="E33" s="17"/>
      <c r="F33" s="17"/>
      <c r="G33" s="35" t="b">
        <f>G18</f>
        <v>1</v>
      </c>
      <c r="H33" s="35" t="b">
        <f>H2</f>
        <v>1</v>
      </c>
      <c r="I33" s="13"/>
      <c r="J33" s="13"/>
      <c r="K33" s="35" t="b">
        <f>K16</f>
        <v>1</v>
      </c>
      <c r="L33" s="13"/>
      <c r="M33" s="13"/>
      <c r="N33" s="13"/>
      <c r="O33" s="13"/>
      <c r="P33" s="109" t="b">
        <f t="shared" si="1"/>
        <v>0</v>
      </c>
      <c r="Q33" s="119" t="s">
        <v>535</v>
      </c>
    </row>
    <row r="34" spans="1:17">
      <c r="A34" s="58"/>
      <c r="B34" s="16"/>
      <c r="C34" s="16"/>
      <c r="D34" s="16"/>
      <c r="E34" s="16"/>
      <c r="F34" s="16"/>
      <c r="G34" s="15"/>
      <c r="H34" s="15"/>
      <c r="I34" s="15"/>
      <c r="J34" s="15"/>
      <c r="K34" s="15"/>
      <c r="L34" s="15"/>
      <c r="M34" s="15"/>
      <c r="N34" s="15"/>
      <c r="O34" s="15"/>
      <c r="P34" s="75"/>
      <c r="Q34" s="112"/>
    </row>
    <row r="35" spans="1:17">
      <c r="A35" s="57" t="str">
        <f t="shared" si="2"/>
        <v>Mucinex</v>
      </c>
      <c r="B35" s="20" t="b">
        <f>B2</f>
        <v>1</v>
      </c>
      <c r="C35" s="17"/>
      <c r="D35" s="17"/>
      <c r="E35" s="20" t="b">
        <f>E2</f>
        <v>1</v>
      </c>
      <c r="F35" s="17"/>
      <c r="G35" s="13"/>
      <c r="H35" s="13"/>
      <c r="I35" s="13"/>
      <c r="J35" s="35" t="b">
        <f>J18</f>
        <v>1</v>
      </c>
      <c r="K35" s="13"/>
      <c r="L35" s="13"/>
      <c r="M35" s="13"/>
      <c r="N35" s="13"/>
      <c r="O35" s="13"/>
      <c r="P35" s="109" t="b">
        <f t="shared" si="1"/>
        <v>1</v>
      </c>
      <c r="Q35" s="120" t="s">
        <v>43</v>
      </c>
    </row>
    <row r="36" spans="1:17" ht="13.5" customHeight="1">
      <c r="A36" s="58"/>
      <c r="B36" s="16"/>
      <c r="C36" s="16"/>
      <c r="D36" s="16"/>
      <c r="E36" s="16"/>
      <c r="F36" s="16"/>
      <c r="G36" s="15"/>
      <c r="H36" s="15"/>
      <c r="I36" s="15"/>
      <c r="J36" s="15"/>
      <c r="K36" s="15"/>
      <c r="L36" s="15"/>
      <c r="M36" s="15"/>
      <c r="N36" s="15"/>
      <c r="O36" s="15"/>
      <c r="P36" s="75"/>
      <c r="Q36" s="121"/>
    </row>
    <row r="37" spans="1:17">
      <c r="A37" s="57" t="b">
        <f t="shared" si="2"/>
        <v>0</v>
      </c>
      <c r="B37" s="20" t="b">
        <f>B2</f>
        <v>1</v>
      </c>
      <c r="C37" s="17"/>
      <c r="D37" s="20" t="b">
        <f>D10</f>
        <v>0</v>
      </c>
      <c r="E37" s="17"/>
      <c r="F37" s="17"/>
      <c r="G37" s="13"/>
      <c r="H37" s="13"/>
      <c r="I37" s="13"/>
      <c r="J37" s="13"/>
      <c r="K37" s="13"/>
      <c r="L37" s="13"/>
      <c r="M37" s="35" t="b">
        <f>M20</f>
        <v>1</v>
      </c>
      <c r="N37" s="13"/>
      <c r="O37" s="13"/>
      <c r="P37" s="109" t="b">
        <f t="shared" si="1"/>
        <v>0</v>
      </c>
      <c r="Q37" s="122" t="s">
        <v>543</v>
      </c>
    </row>
    <row r="38" spans="1:17">
      <c r="A38" s="57" t="b">
        <f t="shared" si="2"/>
        <v>0</v>
      </c>
      <c r="B38" s="20" t="b">
        <f>B2</f>
        <v>1</v>
      </c>
      <c r="C38" s="17"/>
      <c r="D38" s="20" t="b">
        <f>D10</f>
        <v>0</v>
      </c>
      <c r="E38" s="17"/>
      <c r="F38" s="17"/>
      <c r="G38" s="13"/>
      <c r="H38" s="35" t="b">
        <f>H2</f>
        <v>1</v>
      </c>
      <c r="I38" s="13"/>
      <c r="J38" s="13"/>
      <c r="K38" s="13"/>
      <c r="L38" s="13"/>
      <c r="M38" s="35" t="b">
        <f>M20</f>
        <v>1</v>
      </c>
      <c r="N38" s="13"/>
      <c r="O38" s="13"/>
      <c r="P38" s="109" t="b">
        <f t="shared" si="1"/>
        <v>0</v>
      </c>
      <c r="Q38" s="122" t="s">
        <v>544</v>
      </c>
    </row>
    <row r="39" spans="1:17">
      <c r="A39" s="57" t="b">
        <f t="shared" si="2"/>
        <v>0</v>
      </c>
      <c r="B39" s="20" t="b">
        <f>B2</f>
        <v>1</v>
      </c>
      <c r="C39" s="17"/>
      <c r="D39" s="20" t="b">
        <f>D10</f>
        <v>0</v>
      </c>
      <c r="E39" s="17"/>
      <c r="F39" s="17"/>
      <c r="G39" s="13"/>
      <c r="H39" s="13"/>
      <c r="I39" s="13"/>
      <c r="J39" s="13"/>
      <c r="K39" s="35" t="b">
        <f>K16</f>
        <v>1</v>
      </c>
      <c r="L39" s="13"/>
      <c r="M39" s="35" t="b">
        <f>M20</f>
        <v>1</v>
      </c>
      <c r="N39" s="13"/>
      <c r="O39" s="13"/>
      <c r="P39" s="109" t="b">
        <f t="shared" si="1"/>
        <v>0</v>
      </c>
      <c r="Q39" s="122" t="s">
        <v>545</v>
      </c>
    </row>
    <row r="40" spans="1:17">
      <c r="A40" s="57" t="b">
        <f t="shared" si="2"/>
        <v>0</v>
      </c>
      <c r="B40" s="20" t="b">
        <f>B2</f>
        <v>1</v>
      </c>
      <c r="C40" s="17"/>
      <c r="D40" s="20" t="b">
        <f>D10</f>
        <v>0</v>
      </c>
      <c r="E40" s="17"/>
      <c r="F40" s="17"/>
      <c r="G40" s="13"/>
      <c r="H40" s="13"/>
      <c r="I40" s="13"/>
      <c r="J40" s="35" t="b">
        <f>J18</f>
        <v>1</v>
      </c>
      <c r="K40" s="35" t="b">
        <f>K16</f>
        <v>1</v>
      </c>
      <c r="L40" s="13"/>
      <c r="M40" s="35" t="b">
        <f>M20</f>
        <v>1</v>
      </c>
      <c r="N40" s="13"/>
      <c r="O40" s="13"/>
      <c r="P40" s="109" t="b">
        <f t="shared" si="1"/>
        <v>0</v>
      </c>
      <c r="Q40" s="122" t="s">
        <v>546</v>
      </c>
    </row>
    <row r="41" spans="1:17">
      <c r="A41" s="57" t="b">
        <f t="shared" si="2"/>
        <v>0</v>
      </c>
      <c r="B41" s="20" t="b">
        <f>B2</f>
        <v>1</v>
      </c>
      <c r="C41" s="17"/>
      <c r="D41" s="20" t="b">
        <f>D10</f>
        <v>0</v>
      </c>
      <c r="E41" s="17"/>
      <c r="F41" s="17"/>
      <c r="G41" s="13"/>
      <c r="H41" s="13"/>
      <c r="I41" s="13"/>
      <c r="J41" s="35" t="b">
        <f>J18</f>
        <v>1</v>
      </c>
      <c r="K41" s="13"/>
      <c r="L41" s="13"/>
      <c r="M41" s="35" t="b">
        <f>M20</f>
        <v>1</v>
      </c>
      <c r="N41" s="13"/>
      <c r="O41" s="13"/>
      <c r="P41" s="109" t="b">
        <f t="shared" si="1"/>
        <v>0</v>
      </c>
      <c r="Q41" s="122" t="s">
        <v>547</v>
      </c>
    </row>
    <row r="42" spans="1:17">
      <c r="A42" s="57" t="b">
        <f t="shared" si="2"/>
        <v>0</v>
      </c>
      <c r="B42" s="20" t="b">
        <f>B2</f>
        <v>1</v>
      </c>
      <c r="C42" s="17"/>
      <c r="D42" s="20" t="b">
        <f>D10</f>
        <v>0</v>
      </c>
      <c r="E42" s="17"/>
      <c r="F42" s="17"/>
      <c r="G42" s="13"/>
      <c r="H42" s="13"/>
      <c r="I42" s="13"/>
      <c r="J42" s="35" t="b">
        <f>J18</f>
        <v>1</v>
      </c>
      <c r="K42" s="13"/>
      <c r="L42" s="13"/>
      <c r="M42" s="35" t="b">
        <f>M20</f>
        <v>1</v>
      </c>
      <c r="N42" s="13"/>
      <c r="O42" s="13"/>
      <c r="P42" s="109" t="b">
        <f t="shared" si="1"/>
        <v>0</v>
      </c>
      <c r="Q42" s="122" t="s">
        <v>548</v>
      </c>
    </row>
    <row r="43" spans="1:17">
      <c r="A43" s="57" t="b">
        <f t="shared" si="2"/>
        <v>0</v>
      </c>
      <c r="B43" s="20" t="b">
        <f>B2</f>
        <v>1</v>
      </c>
      <c r="C43" s="17"/>
      <c r="D43" s="17"/>
      <c r="E43" s="20" t="b">
        <f>E2</f>
        <v>1</v>
      </c>
      <c r="F43" s="17"/>
      <c r="G43" s="35" t="b">
        <f>G18</f>
        <v>1</v>
      </c>
      <c r="H43" s="13"/>
      <c r="I43" s="35" t="b">
        <f>I4</f>
        <v>0</v>
      </c>
      <c r="J43" s="13"/>
      <c r="K43" s="35" t="b">
        <f>K16</f>
        <v>1</v>
      </c>
      <c r="L43" s="13"/>
      <c r="M43" s="13"/>
      <c r="N43" s="13"/>
      <c r="O43" s="13"/>
      <c r="P43" s="109" t="b">
        <f t="shared" si="1"/>
        <v>0</v>
      </c>
      <c r="Q43" s="122" t="s">
        <v>56</v>
      </c>
    </row>
    <row r="44" spans="1:17">
      <c r="A44" s="57" t="b">
        <f t="shared" si="2"/>
        <v>0</v>
      </c>
      <c r="B44" s="20" t="b">
        <f>B2</f>
        <v>1</v>
      </c>
      <c r="C44" s="17"/>
      <c r="D44" s="17"/>
      <c r="E44" s="20" t="b">
        <f>E2</f>
        <v>1</v>
      </c>
      <c r="F44" s="17"/>
      <c r="G44" s="35" t="b">
        <f>G18</f>
        <v>1</v>
      </c>
      <c r="H44" s="35" t="b">
        <f>H2</f>
        <v>1</v>
      </c>
      <c r="I44" s="35" t="b">
        <f>I4</f>
        <v>0</v>
      </c>
      <c r="J44" s="13"/>
      <c r="K44" s="35" t="b">
        <f>K16</f>
        <v>1</v>
      </c>
      <c r="L44" s="13"/>
      <c r="M44" s="13"/>
      <c r="N44" s="13"/>
      <c r="O44" s="13"/>
      <c r="P44" s="109" t="b">
        <f t="shared" si="1"/>
        <v>0</v>
      </c>
      <c r="Q44" s="122" t="s">
        <v>57</v>
      </c>
    </row>
    <row r="45" spans="1:17">
      <c r="A45" s="57" t="b">
        <f t="shared" si="2"/>
        <v>0</v>
      </c>
      <c r="B45" s="20" t="b">
        <f>B2</f>
        <v>1</v>
      </c>
      <c r="C45" s="17"/>
      <c r="D45" s="17"/>
      <c r="E45" s="20" t="b">
        <f>E2</f>
        <v>1</v>
      </c>
      <c r="F45" s="17"/>
      <c r="G45" s="35" t="b">
        <f>G18</f>
        <v>1</v>
      </c>
      <c r="H45" s="13"/>
      <c r="I45" s="35" t="b">
        <f>I4</f>
        <v>0</v>
      </c>
      <c r="J45" s="35" t="b">
        <f>J18</f>
        <v>1</v>
      </c>
      <c r="K45" s="35" t="b">
        <f>K16</f>
        <v>1</v>
      </c>
      <c r="L45" s="14"/>
      <c r="M45" s="13"/>
      <c r="N45" s="13"/>
      <c r="O45" s="13"/>
      <c r="P45" s="109" t="b">
        <f t="shared" si="1"/>
        <v>0</v>
      </c>
      <c r="Q45" s="122" t="s">
        <v>58</v>
      </c>
    </row>
    <row r="46" spans="1:17">
      <c r="A46" s="57" t="b">
        <f t="shared" si="2"/>
        <v>0</v>
      </c>
      <c r="B46" s="20" t="b">
        <f>B2</f>
        <v>1</v>
      </c>
      <c r="C46" s="17"/>
      <c r="D46" s="17"/>
      <c r="E46" s="20" t="b">
        <f>E2</f>
        <v>1</v>
      </c>
      <c r="F46" s="17"/>
      <c r="G46" s="20" t="b">
        <f>G18</f>
        <v>1</v>
      </c>
      <c r="H46" s="20" t="b">
        <f>H2</f>
        <v>1</v>
      </c>
      <c r="I46" s="20" t="b">
        <f>I4</f>
        <v>0</v>
      </c>
      <c r="J46" s="20" t="b">
        <f>J18</f>
        <v>1</v>
      </c>
      <c r="K46" s="20" t="b">
        <f>K16</f>
        <v>1</v>
      </c>
      <c r="L46" s="17"/>
      <c r="M46" s="17"/>
      <c r="N46" s="17"/>
      <c r="O46" s="17"/>
      <c r="P46" s="109" t="b">
        <f t="shared" si="1"/>
        <v>0</v>
      </c>
      <c r="Q46" s="122" t="s">
        <v>59</v>
      </c>
    </row>
    <row r="47" spans="1:17">
      <c r="A47" s="57" t="b">
        <f t="shared" si="2"/>
        <v>0</v>
      </c>
      <c r="B47" s="20" t="b">
        <f>B2</f>
        <v>1</v>
      </c>
      <c r="C47" s="17"/>
      <c r="D47" s="17"/>
      <c r="E47" s="20" t="b">
        <f>E2</f>
        <v>1</v>
      </c>
      <c r="F47" s="17"/>
      <c r="G47" s="20" t="b">
        <f>G18</f>
        <v>1</v>
      </c>
      <c r="H47" s="20" t="b">
        <f>H2</f>
        <v>1</v>
      </c>
      <c r="I47" s="20" t="b">
        <f>I4</f>
        <v>0</v>
      </c>
      <c r="J47" s="17"/>
      <c r="K47" s="20" t="b">
        <f>K16</f>
        <v>1</v>
      </c>
      <c r="L47" s="17"/>
      <c r="M47" s="17"/>
      <c r="N47" s="17"/>
      <c r="O47" s="17"/>
      <c r="P47" s="109" t="b">
        <f t="shared" si="1"/>
        <v>0</v>
      </c>
      <c r="Q47" s="122" t="s">
        <v>60</v>
      </c>
    </row>
    <row r="48" spans="1:17">
      <c r="A48" s="57" t="b">
        <f t="shared" si="2"/>
        <v>0</v>
      </c>
      <c r="B48" s="20" t="b">
        <f>B2</f>
        <v>1</v>
      </c>
      <c r="C48" s="17"/>
      <c r="D48" s="17"/>
      <c r="E48" s="20" t="b">
        <f>E2</f>
        <v>1</v>
      </c>
      <c r="F48" s="17"/>
      <c r="G48" s="20" t="b">
        <f>G18</f>
        <v>1</v>
      </c>
      <c r="H48" s="17"/>
      <c r="I48" s="20" t="b">
        <f>I4</f>
        <v>0</v>
      </c>
      <c r="J48" s="17"/>
      <c r="K48" s="20" t="b">
        <f>K16</f>
        <v>1</v>
      </c>
      <c r="L48" s="17"/>
      <c r="M48" s="17"/>
      <c r="N48" s="17"/>
      <c r="O48" s="17"/>
      <c r="P48" s="109" t="b">
        <f t="shared" si="1"/>
        <v>0</v>
      </c>
      <c r="Q48" s="122" t="s">
        <v>61</v>
      </c>
    </row>
    <row r="49" spans="1:18">
      <c r="A49" s="57" t="b">
        <f t="shared" si="2"/>
        <v>0</v>
      </c>
      <c r="B49" s="20" t="b">
        <f>B2</f>
        <v>1</v>
      </c>
      <c r="C49" s="17"/>
      <c r="D49" s="17"/>
      <c r="E49" s="20" t="b">
        <f>E2</f>
        <v>1</v>
      </c>
      <c r="F49" s="17"/>
      <c r="G49" s="20" t="b">
        <f>G18</f>
        <v>1</v>
      </c>
      <c r="H49" s="20" t="b">
        <f>H2</f>
        <v>1</v>
      </c>
      <c r="I49" s="20" t="b">
        <f>I4</f>
        <v>0</v>
      </c>
      <c r="J49" s="17"/>
      <c r="K49" s="20" t="b">
        <f>K16</f>
        <v>1</v>
      </c>
      <c r="L49" s="17"/>
      <c r="M49" s="17"/>
      <c r="N49" s="17"/>
      <c r="O49" s="17"/>
      <c r="P49" s="109" t="b">
        <f t="shared" si="1"/>
        <v>0</v>
      </c>
      <c r="Q49" s="122" t="s">
        <v>62</v>
      </c>
    </row>
    <row r="50" spans="1:18">
      <c r="A50" s="57" t="b">
        <f t="shared" si="2"/>
        <v>0</v>
      </c>
      <c r="B50" s="20" t="b">
        <f>B2</f>
        <v>1</v>
      </c>
      <c r="C50" s="17"/>
      <c r="D50" s="17"/>
      <c r="E50" s="20" t="b">
        <f>E2</f>
        <v>1</v>
      </c>
      <c r="F50" s="17"/>
      <c r="G50" s="20" t="b">
        <f>G18</f>
        <v>1</v>
      </c>
      <c r="H50" s="20" t="b">
        <f>H2</f>
        <v>1</v>
      </c>
      <c r="I50" s="20" t="b">
        <f>I4</f>
        <v>0</v>
      </c>
      <c r="J50" s="17"/>
      <c r="K50" s="20" t="b">
        <f>K16</f>
        <v>1</v>
      </c>
      <c r="L50" s="17"/>
      <c r="M50" s="17"/>
      <c r="N50" s="17"/>
      <c r="O50" s="17"/>
      <c r="P50" s="109" t="b">
        <f t="shared" si="1"/>
        <v>0</v>
      </c>
      <c r="Q50" s="122" t="s">
        <v>63</v>
      </c>
    </row>
    <row r="51" spans="1:18">
      <c r="A51" s="57" t="str">
        <f t="shared" si="2"/>
        <v>Buckley's Lozenges Bite-me Cherry</v>
      </c>
      <c r="B51" s="20" t="b">
        <f>B2</f>
        <v>1</v>
      </c>
      <c r="C51" s="17"/>
      <c r="D51" s="17"/>
      <c r="E51" s="20" t="b">
        <f>E2</f>
        <v>1</v>
      </c>
      <c r="F51" s="17"/>
      <c r="G51" s="17"/>
      <c r="H51" s="17"/>
      <c r="I51" s="17"/>
      <c r="J51" s="17"/>
      <c r="K51" s="17"/>
      <c r="L51" s="17"/>
      <c r="M51" s="20" t="b">
        <f>M20</f>
        <v>1</v>
      </c>
      <c r="N51" s="17"/>
      <c r="O51" s="17"/>
      <c r="P51" s="109" t="b">
        <f t="shared" si="1"/>
        <v>1</v>
      </c>
      <c r="Q51" s="122" t="s">
        <v>64</v>
      </c>
    </row>
    <row r="52" spans="1:18">
      <c r="A52" s="57" t="str">
        <f t="shared" si="2"/>
        <v>Buckley's Lozenges Methol Outburts</v>
      </c>
      <c r="B52" s="20" t="b">
        <f>B2</f>
        <v>1</v>
      </c>
      <c r="C52" s="17"/>
      <c r="D52" s="17"/>
      <c r="E52" s="20" t="b">
        <f>E2</f>
        <v>1</v>
      </c>
      <c r="F52" s="17"/>
      <c r="G52" s="17"/>
      <c r="H52" s="17"/>
      <c r="I52" s="17"/>
      <c r="J52" s="17"/>
      <c r="K52" s="17"/>
      <c r="L52" s="17"/>
      <c r="M52" s="20" t="b">
        <f>M20</f>
        <v>1</v>
      </c>
      <c r="N52" s="17"/>
      <c r="O52" s="17"/>
      <c r="P52" s="109" t="b">
        <f t="shared" si="1"/>
        <v>1</v>
      </c>
      <c r="Q52" s="122" t="s">
        <v>65</v>
      </c>
    </row>
    <row r="53" spans="1:18">
      <c r="A53" s="57" t="b">
        <f t="shared" si="2"/>
        <v>0</v>
      </c>
      <c r="B53" s="17"/>
      <c r="C53" s="20" t="b">
        <f>C10</f>
        <v>0</v>
      </c>
      <c r="D53" s="20" t="b">
        <f>D10</f>
        <v>0</v>
      </c>
      <c r="E53" s="17"/>
      <c r="F53" s="17"/>
      <c r="G53" s="20" t="b">
        <f>G18</f>
        <v>1</v>
      </c>
      <c r="H53" s="17"/>
      <c r="I53" s="20" t="b">
        <f>I4</f>
        <v>0</v>
      </c>
      <c r="J53" s="17"/>
      <c r="K53" s="17"/>
      <c r="L53" s="17"/>
      <c r="M53" s="17"/>
      <c r="N53" s="17"/>
      <c r="O53" s="17"/>
      <c r="P53" s="109" t="b">
        <f t="shared" si="1"/>
        <v>0</v>
      </c>
      <c r="Q53" s="122" t="s">
        <v>536</v>
      </c>
    </row>
    <row r="54" spans="1:18">
      <c r="A54" s="57" t="b">
        <f t="shared" si="2"/>
        <v>0</v>
      </c>
      <c r="B54" s="17"/>
      <c r="C54" s="20" t="b">
        <f>C10</f>
        <v>0</v>
      </c>
      <c r="D54" s="20" t="b">
        <f>D10</f>
        <v>0</v>
      </c>
      <c r="E54" s="17"/>
      <c r="F54" s="17"/>
      <c r="G54" s="17"/>
      <c r="H54" s="20" t="b">
        <f>H2</f>
        <v>1</v>
      </c>
      <c r="I54" s="20" t="b">
        <f>I4</f>
        <v>0</v>
      </c>
      <c r="J54" s="17"/>
      <c r="K54" s="17"/>
      <c r="L54" s="17"/>
      <c r="M54" s="17"/>
      <c r="N54" s="17"/>
      <c r="O54" s="17"/>
      <c r="P54" s="109" t="b">
        <f t="shared" si="1"/>
        <v>0</v>
      </c>
      <c r="Q54" s="122" t="s">
        <v>537</v>
      </c>
    </row>
    <row r="55" spans="1:18" s="21" customFormat="1">
      <c r="A55" s="58" t="b">
        <f t="shared" si="2"/>
        <v>0</v>
      </c>
      <c r="B55" s="16"/>
      <c r="C55" s="16"/>
      <c r="D55" s="16"/>
      <c r="E55" s="16"/>
      <c r="F55" s="16"/>
      <c r="G55" s="16"/>
      <c r="H55" s="16"/>
      <c r="I55" s="16"/>
      <c r="J55" s="16"/>
      <c r="K55" s="16"/>
      <c r="L55" s="16"/>
      <c r="M55" s="16"/>
      <c r="N55" s="16"/>
      <c r="O55" s="16"/>
      <c r="P55" s="75"/>
      <c r="Q55" s="121"/>
    </row>
    <row r="56" spans="1:18">
      <c r="A56" s="57" t="b">
        <f t="shared" si="2"/>
        <v>0</v>
      </c>
      <c r="B56" s="17"/>
      <c r="C56" s="20" t="b">
        <f>C10</f>
        <v>0</v>
      </c>
      <c r="D56" s="20" t="b">
        <f>D10</f>
        <v>0</v>
      </c>
      <c r="E56" s="17"/>
      <c r="F56" s="17"/>
      <c r="G56" s="20" t="b">
        <f>G18</f>
        <v>1</v>
      </c>
      <c r="H56" s="20" t="b">
        <f>H2</f>
        <v>1</v>
      </c>
      <c r="I56" s="17"/>
      <c r="J56" s="17"/>
      <c r="K56" s="17"/>
      <c r="L56" s="17"/>
      <c r="M56" s="17"/>
      <c r="N56" s="17"/>
      <c r="O56" s="17"/>
      <c r="P56" s="109" t="b">
        <f t="shared" si="1"/>
        <v>0</v>
      </c>
      <c r="Q56" s="114" t="s">
        <v>538</v>
      </c>
    </row>
    <row r="57" spans="1:18">
      <c r="A57" s="57" t="b">
        <f t="shared" si="2"/>
        <v>0</v>
      </c>
      <c r="B57" s="17"/>
      <c r="C57" s="20" t="b">
        <f>C10</f>
        <v>0</v>
      </c>
      <c r="D57" s="17"/>
      <c r="E57" s="17"/>
      <c r="F57" s="20" t="b">
        <f>AND('Cough &amp; Cold Criteria'!B26,'Cough &amp; Cold Criteria'!C24:C25)</f>
        <v>0</v>
      </c>
      <c r="G57" s="17"/>
      <c r="H57" s="17"/>
      <c r="I57" s="17"/>
      <c r="J57" s="17"/>
      <c r="K57" s="17"/>
      <c r="L57" s="17"/>
      <c r="M57" s="20" t="b">
        <f>M20</f>
        <v>1</v>
      </c>
      <c r="N57" s="17"/>
      <c r="O57" s="17"/>
      <c r="P57" s="109" t="b">
        <f t="shared" si="1"/>
        <v>0</v>
      </c>
      <c r="Q57" s="114" t="s">
        <v>248</v>
      </c>
    </row>
    <row r="58" spans="1:18">
      <c r="A58" s="57" t="b">
        <f t="shared" si="2"/>
        <v>0</v>
      </c>
      <c r="B58" s="17"/>
      <c r="C58" s="20" t="b">
        <f>C10</f>
        <v>0</v>
      </c>
      <c r="D58" s="17"/>
      <c r="E58" s="17"/>
      <c r="F58" s="20" t="b">
        <f>F57</f>
        <v>0</v>
      </c>
      <c r="G58" s="17"/>
      <c r="H58" s="17"/>
      <c r="I58" s="17"/>
      <c r="J58" s="17"/>
      <c r="K58" s="17"/>
      <c r="L58" s="17"/>
      <c r="M58" s="20" t="b">
        <f>M20</f>
        <v>1</v>
      </c>
      <c r="N58" s="17"/>
      <c r="O58" s="17"/>
      <c r="P58" s="109" t="b">
        <f t="shared" si="1"/>
        <v>0</v>
      </c>
      <c r="Q58" s="114" t="s">
        <v>249</v>
      </c>
      <c r="R58" s="32"/>
    </row>
    <row r="59" spans="1:18">
      <c r="A59" s="57" t="b">
        <f t="shared" si="2"/>
        <v>0</v>
      </c>
      <c r="B59" s="17"/>
      <c r="C59" s="20" t="b">
        <f>C10</f>
        <v>0</v>
      </c>
      <c r="D59" s="17"/>
      <c r="E59" s="17"/>
      <c r="F59" s="20" t="b">
        <f>F57</f>
        <v>0</v>
      </c>
      <c r="G59" s="17"/>
      <c r="H59" s="17"/>
      <c r="I59" s="17"/>
      <c r="J59" s="17"/>
      <c r="K59" s="17"/>
      <c r="L59" s="17"/>
      <c r="M59" s="20" t="b">
        <f>M20</f>
        <v>1</v>
      </c>
      <c r="N59" s="17"/>
      <c r="O59" s="17"/>
      <c r="P59" s="109" t="b">
        <f t="shared" si="1"/>
        <v>0</v>
      </c>
      <c r="Q59" s="114" t="s">
        <v>250</v>
      </c>
    </row>
    <row r="60" spans="1:18">
      <c r="A60" s="57" t="b">
        <f t="shared" si="2"/>
        <v>0</v>
      </c>
      <c r="B60" s="20" t="b">
        <f>B2</f>
        <v>1</v>
      </c>
      <c r="C60" s="17"/>
      <c r="D60" s="17"/>
      <c r="E60" s="17"/>
      <c r="F60" s="20" t="b">
        <f>F57</f>
        <v>0</v>
      </c>
      <c r="G60" s="17"/>
      <c r="H60" s="17"/>
      <c r="I60" s="17"/>
      <c r="J60" s="17"/>
      <c r="K60" s="17"/>
      <c r="L60" s="17"/>
      <c r="M60" s="20" t="b">
        <f>M20</f>
        <v>1</v>
      </c>
      <c r="N60" s="17"/>
      <c r="O60" s="17"/>
      <c r="P60" s="109" t="b">
        <f t="shared" si="1"/>
        <v>0</v>
      </c>
      <c r="Q60" s="114" t="s">
        <v>251</v>
      </c>
    </row>
    <row r="61" spans="1:18">
      <c r="A61" s="57" t="b">
        <f t="shared" si="2"/>
        <v>0</v>
      </c>
      <c r="B61" s="20" t="b">
        <f>B2</f>
        <v>1</v>
      </c>
      <c r="C61" s="17"/>
      <c r="D61" s="17"/>
      <c r="E61" s="17"/>
      <c r="F61" s="20" t="b">
        <f>F57</f>
        <v>0</v>
      </c>
      <c r="G61" s="17"/>
      <c r="H61" s="17"/>
      <c r="I61" s="17"/>
      <c r="J61" s="17"/>
      <c r="K61" s="17"/>
      <c r="L61" s="17"/>
      <c r="M61" s="20" t="b">
        <f>M20</f>
        <v>1</v>
      </c>
      <c r="N61" s="17"/>
      <c r="O61" s="17"/>
      <c r="P61" s="109" t="b">
        <f t="shared" si="1"/>
        <v>0</v>
      </c>
      <c r="Q61" s="114" t="s">
        <v>252</v>
      </c>
    </row>
    <row r="62" spans="1:18">
      <c r="A62" s="57" t="b">
        <f t="shared" si="2"/>
        <v>0</v>
      </c>
      <c r="B62" s="20" t="b">
        <f>B2</f>
        <v>1</v>
      </c>
      <c r="C62" s="17"/>
      <c r="D62" s="17"/>
      <c r="E62" s="20" t="b">
        <f>E2</f>
        <v>1</v>
      </c>
      <c r="F62" s="17"/>
      <c r="G62" s="20" t="b">
        <f>G18</f>
        <v>1</v>
      </c>
      <c r="H62" s="17"/>
      <c r="I62" s="20" t="b">
        <f>I4</f>
        <v>0</v>
      </c>
      <c r="J62" s="20" t="b">
        <f>J18</f>
        <v>1</v>
      </c>
      <c r="K62" s="20" t="b">
        <f>K16</f>
        <v>1</v>
      </c>
      <c r="L62" s="17"/>
      <c r="M62" s="17"/>
      <c r="N62" s="17"/>
      <c r="O62" s="17"/>
      <c r="P62" s="109" t="b">
        <f t="shared" si="1"/>
        <v>0</v>
      </c>
      <c r="Q62" s="114" t="s">
        <v>253</v>
      </c>
    </row>
    <row r="63" spans="1:18">
      <c r="A63" s="57" t="b">
        <f t="shared" si="2"/>
        <v>0</v>
      </c>
      <c r="B63" s="20" t="b">
        <f>B2</f>
        <v>1</v>
      </c>
      <c r="C63" s="17"/>
      <c r="D63" s="20" t="b">
        <f>D10</f>
        <v>0</v>
      </c>
      <c r="E63" s="17"/>
      <c r="F63" s="17"/>
      <c r="G63" s="20" t="b">
        <f>G18</f>
        <v>1</v>
      </c>
      <c r="H63" s="17"/>
      <c r="I63" s="20" t="b">
        <f>I4</f>
        <v>0</v>
      </c>
      <c r="J63" s="20" t="b">
        <f>J18</f>
        <v>1</v>
      </c>
      <c r="K63" s="20" t="b">
        <f>K16</f>
        <v>1</v>
      </c>
      <c r="L63" s="17"/>
      <c r="M63" s="17"/>
      <c r="N63" s="17"/>
      <c r="O63" s="17"/>
      <c r="P63" s="109" t="b">
        <f t="shared" si="1"/>
        <v>0</v>
      </c>
      <c r="Q63" s="114" t="s">
        <v>254</v>
      </c>
    </row>
    <row r="64" spans="1:18">
      <c r="A64" s="57" t="b">
        <f t="shared" si="2"/>
        <v>0</v>
      </c>
      <c r="B64" s="20" t="b">
        <f>B2</f>
        <v>1</v>
      </c>
      <c r="C64" s="17"/>
      <c r="D64" s="17"/>
      <c r="E64" s="20" t="b">
        <f>E2</f>
        <v>1</v>
      </c>
      <c r="F64" s="17"/>
      <c r="G64" s="20" t="b">
        <f>G18</f>
        <v>1</v>
      </c>
      <c r="H64" s="20" t="b">
        <f>H2</f>
        <v>1</v>
      </c>
      <c r="I64" s="20" t="b">
        <f>I4</f>
        <v>0</v>
      </c>
      <c r="J64" s="20" t="b">
        <f>J18</f>
        <v>1</v>
      </c>
      <c r="K64" s="20" t="b">
        <f>K16</f>
        <v>1</v>
      </c>
      <c r="L64" s="17"/>
      <c r="M64" s="17"/>
      <c r="N64" s="17"/>
      <c r="O64" s="17"/>
      <c r="P64" s="109" t="b">
        <f t="shared" si="1"/>
        <v>0</v>
      </c>
      <c r="Q64" s="114" t="s">
        <v>255</v>
      </c>
    </row>
    <row r="65" spans="1:17">
      <c r="A65" s="57" t="b">
        <f t="shared" si="2"/>
        <v>0</v>
      </c>
      <c r="B65" s="20" t="b">
        <f>B2</f>
        <v>1</v>
      </c>
      <c r="C65" s="17"/>
      <c r="D65" s="17"/>
      <c r="E65" s="20" t="b">
        <f>E2</f>
        <v>1</v>
      </c>
      <c r="F65" s="17"/>
      <c r="G65" s="20" t="b">
        <f>G18</f>
        <v>1</v>
      </c>
      <c r="H65" s="17"/>
      <c r="I65" s="20" t="b">
        <f>I4</f>
        <v>0</v>
      </c>
      <c r="J65" s="17"/>
      <c r="K65" s="20" t="b">
        <f>K16</f>
        <v>1</v>
      </c>
      <c r="L65" s="17"/>
      <c r="M65" s="17"/>
      <c r="N65" s="17"/>
      <c r="O65" s="17"/>
      <c r="P65" s="109" t="b">
        <f t="shared" si="1"/>
        <v>0</v>
      </c>
      <c r="Q65" s="114" t="s">
        <v>256</v>
      </c>
    </row>
    <row r="66" spans="1:17">
      <c r="A66" s="57" t="b">
        <f t="shared" si="2"/>
        <v>0</v>
      </c>
      <c r="B66" s="20" t="b">
        <f>B2</f>
        <v>1</v>
      </c>
      <c r="C66" s="17"/>
      <c r="D66" s="17"/>
      <c r="E66" s="20" t="b">
        <f>E2</f>
        <v>1</v>
      </c>
      <c r="F66" s="17"/>
      <c r="G66" s="20" t="b">
        <f>G18</f>
        <v>1</v>
      </c>
      <c r="H66" s="20" t="b">
        <f>H2</f>
        <v>1</v>
      </c>
      <c r="I66" s="20" t="b">
        <f>I4</f>
        <v>0</v>
      </c>
      <c r="J66" s="17"/>
      <c r="K66" s="20" t="b">
        <f>K16</f>
        <v>1</v>
      </c>
      <c r="L66" s="17"/>
      <c r="M66" s="17"/>
      <c r="N66" s="17"/>
      <c r="O66" s="17"/>
      <c r="P66" s="109" t="b">
        <f t="shared" si="1"/>
        <v>0</v>
      </c>
      <c r="Q66" s="114" t="s">
        <v>257</v>
      </c>
    </row>
    <row r="67" spans="1:17">
      <c r="A67" s="57" t="b">
        <f t="shared" si="2"/>
        <v>0</v>
      </c>
      <c r="B67" s="20" t="b">
        <f>B2</f>
        <v>1</v>
      </c>
      <c r="C67" s="17"/>
      <c r="D67" s="17"/>
      <c r="E67" s="20" t="b">
        <f>E2</f>
        <v>1</v>
      </c>
      <c r="F67" s="17"/>
      <c r="G67" s="17"/>
      <c r="H67" s="20" t="b">
        <f>H2</f>
        <v>1</v>
      </c>
      <c r="I67" s="20" t="b">
        <f>I4</f>
        <v>0</v>
      </c>
      <c r="J67" s="17"/>
      <c r="K67" s="20" t="b">
        <f>K16</f>
        <v>1</v>
      </c>
      <c r="L67" s="17"/>
      <c r="M67" s="17"/>
      <c r="N67" s="17"/>
      <c r="O67" s="17"/>
      <c r="P67" s="109" t="b">
        <f t="shared" ref="P67:P130" si="3">AND(B67:O67)</f>
        <v>0</v>
      </c>
      <c r="Q67" s="114" t="s">
        <v>258</v>
      </c>
    </row>
    <row r="68" spans="1:17">
      <c r="A68" s="57" t="b">
        <f t="shared" si="2"/>
        <v>0</v>
      </c>
      <c r="B68" s="20" t="b">
        <f>B2</f>
        <v>1</v>
      </c>
      <c r="C68" s="17"/>
      <c r="D68" s="20" t="b">
        <f>D10</f>
        <v>0</v>
      </c>
      <c r="E68" s="17"/>
      <c r="F68" s="17"/>
      <c r="G68" s="20" t="b">
        <f>G18</f>
        <v>1</v>
      </c>
      <c r="H68" s="17"/>
      <c r="I68" s="20" t="b">
        <f>I4</f>
        <v>0</v>
      </c>
      <c r="J68" s="17"/>
      <c r="K68" s="20" t="b">
        <f>K16</f>
        <v>1</v>
      </c>
      <c r="L68" s="17"/>
      <c r="M68" s="17"/>
      <c r="N68" s="17"/>
      <c r="O68" s="17"/>
      <c r="P68" s="109" t="b">
        <f t="shared" si="3"/>
        <v>0</v>
      </c>
      <c r="Q68" s="114" t="s">
        <v>259</v>
      </c>
    </row>
    <row r="69" spans="1:17">
      <c r="A69" s="57" t="b">
        <f t="shared" si="2"/>
        <v>0</v>
      </c>
      <c r="B69" s="20" t="b">
        <f>B2</f>
        <v>1</v>
      </c>
      <c r="C69" s="17"/>
      <c r="D69" s="20" t="b">
        <f>D10</f>
        <v>0</v>
      </c>
      <c r="E69" s="17"/>
      <c r="F69" s="17"/>
      <c r="G69" s="20" t="b">
        <f>G18</f>
        <v>1</v>
      </c>
      <c r="H69" s="17"/>
      <c r="I69" s="17"/>
      <c r="J69" s="17"/>
      <c r="K69" s="17"/>
      <c r="L69" s="17"/>
      <c r="M69" s="17"/>
      <c r="N69" s="17"/>
      <c r="O69" s="17"/>
      <c r="P69" s="109" t="b">
        <f t="shared" si="3"/>
        <v>0</v>
      </c>
      <c r="Q69" s="114" t="s">
        <v>260</v>
      </c>
    </row>
    <row r="70" spans="1:17">
      <c r="A70" s="57" t="b">
        <f t="shared" si="2"/>
        <v>0</v>
      </c>
      <c r="B70" s="20" t="b">
        <f>B2</f>
        <v>1</v>
      </c>
      <c r="C70" s="17"/>
      <c r="D70" s="20" t="b">
        <f>D10</f>
        <v>0</v>
      </c>
      <c r="E70" s="17"/>
      <c r="F70" s="17"/>
      <c r="G70" s="20" t="b">
        <f>G18</f>
        <v>1</v>
      </c>
      <c r="H70" s="17"/>
      <c r="I70" s="17"/>
      <c r="J70" s="20" t="b">
        <f>J18</f>
        <v>1</v>
      </c>
      <c r="K70" s="17"/>
      <c r="L70" s="17"/>
      <c r="M70" s="17"/>
      <c r="N70" s="17"/>
      <c r="O70" s="17"/>
      <c r="P70" s="109" t="b">
        <f t="shared" si="3"/>
        <v>0</v>
      </c>
      <c r="Q70" s="114" t="s">
        <v>261</v>
      </c>
    </row>
    <row r="71" spans="1:17">
      <c r="A71" s="57" t="b">
        <f t="shared" si="2"/>
        <v>0</v>
      </c>
      <c r="B71" s="20" t="b">
        <f>B2</f>
        <v>1</v>
      </c>
      <c r="C71" s="17"/>
      <c r="D71" s="17"/>
      <c r="E71" s="20" t="b">
        <f>E2</f>
        <v>1</v>
      </c>
      <c r="F71" s="17"/>
      <c r="G71" s="17"/>
      <c r="H71" s="17"/>
      <c r="I71" s="20" t="b">
        <f>I4</f>
        <v>0</v>
      </c>
      <c r="J71" s="17"/>
      <c r="K71" s="20" t="b">
        <f>K16</f>
        <v>1</v>
      </c>
      <c r="L71" s="17"/>
      <c r="M71" s="17"/>
      <c r="N71" s="17"/>
      <c r="O71" s="17"/>
      <c r="P71" s="109" t="b">
        <f t="shared" si="3"/>
        <v>0</v>
      </c>
      <c r="Q71" s="114" t="s">
        <v>262</v>
      </c>
    </row>
    <row r="72" spans="1:17">
      <c r="A72" s="57" t="b">
        <f t="shared" si="2"/>
        <v>0</v>
      </c>
      <c r="B72" s="20" t="b">
        <f>B2</f>
        <v>1</v>
      </c>
      <c r="C72" s="17"/>
      <c r="D72" s="17"/>
      <c r="E72" s="20" t="b">
        <f>E2</f>
        <v>1</v>
      </c>
      <c r="F72" s="17"/>
      <c r="G72" s="20" t="b">
        <f>G18</f>
        <v>1</v>
      </c>
      <c r="H72" s="20" t="b">
        <f>H2</f>
        <v>1</v>
      </c>
      <c r="I72" s="20" t="b">
        <f>I4</f>
        <v>0</v>
      </c>
      <c r="J72" s="17"/>
      <c r="K72" s="20" t="b">
        <f>K16</f>
        <v>1</v>
      </c>
      <c r="L72" s="17"/>
      <c r="M72" s="17"/>
      <c r="N72" s="17"/>
      <c r="O72" s="17"/>
      <c r="P72" s="109" t="b">
        <f t="shared" si="3"/>
        <v>0</v>
      </c>
      <c r="Q72" s="114" t="s">
        <v>263</v>
      </c>
    </row>
    <row r="73" spans="1:17">
      <c r="A73" s="57" t="b">
        <f t="shared" si="2"/>
        <v>0</v>
      </c>
      <c r="B73" s="20" t="b">
        <f>B2</f>
        <v>1</v>
      </c>
      <c r="C73" s="17"/>
      <c r="D73" s="17"/>
      <c r="E73" s="20" t="b">
        <f>E2</f>
        <v>1</v>
      </c>
      <c r="F73" s="17"/>
      <c r="G73" s="20" t="b">
        <f>G18</f>
        <v>1</v>
      </c>
      <c r="H73" s="20" t="b">
        <f>H2</f>
        <v>1</v>
      </c>
      <c r="I73" s="20" t="b">
        <f>I4</f>
        <v>0</v>
      </c>
      <c r="J73" s="17"/>
      <c r="K73" s="20" t="b">
        <f>K16</f>
        <v>1</v>
      </c>
      <c r="L73" s="17"/>
      <c r="M73" s="17"/>
      <c r="N73" s="17"/>
      <c r="O73" s="17"/>
      <c r="P73" s="109" t="b">
        <f t="shared" si="3"/>
        <v>0</v>
      </c>
      <c r="Q73" s="114" t="s">
        <v>264</v>
      </c>
    </row>
    <row r="74" spans="1:17">
      <c r="A74" s="57" t="b">
        <f t="shared" si="2"/>
        <v>0</v>
      </c>
      <c r="B74" s="20" t="b">
        <f>B2</f>
        <v>1</v>
      </c>
      <c r="C74" s="17"/>
      <c r="D74" s="20" t="b">
        <f>D10</f>
        <v>0</v>
      </c>
      <c r="E74" s="17"/>
      <c r="F74" s="17"/>
      <c r="G74" s="20" t="b">
        <f>G18</f>
        <v>1</v>
      </c>
      <c r="H74" s="20" t="b">
        <f>H2</f>
        <v>1</v>
      </c>
      <c r="I74" s="20" t="b">
        <f>I4</f>
        <v>0</v>
      </c>
      <c r="J74" s="17"/>
      <c r="K74" s="20" t="b">
        <f>K16</f>
        <v>1</v>
      </c>
      <c r="L74" s="17"/>
      <c r="M74" s="17"/>
      <c r="N74" s="17"/>
      <c r="O74" s="17"/>
      <c r="P74" s="109" t="b">
        <f t="shared" si="3"/>
        <v>0</v>
      </c>
      <c r="Q74" s="114" t="s">
        <v>265</v>
      </c>
    </row>
    <row r="75" spans="1:17">
      <c r="A75" s="57" t="str">
        <f t="shared" si="2"/>
        <v>NYQUIL™ COLD &amp; FLU NIGHTTIME RELIEF LIQUICAPS™</v>
      </c>
      <c r="B75" s="20" t="b">
        <f>B2</f>
        <v>1</v>
      </c>
      <c r="C75" s="17"/>
      <c r="D75" s="17"/>
      <c r="E75" s="20" t="b">
        <f>E2</f>
        <v>1</v>
      </c>
      <c r="F75" s="17"/>
      <c r="G75" s="20" t="b">
        <f>G18</f>
        <v>1</v>
      </c>
      <c r="H75" s="20" t="b">
        <f>H2</f>
        <v>1</v>
      </c>
      <c r="I75" s="17"/>
      <c r="J75" s="17"/>
      <c r="K75" s="20" t="b">
        <f>K16</f>
        <v>1</v>
      </c>
      <c r="L75" s="17"/>
      <c r="M75" s="17"/>
      <c r="N75" s="17"/>
      <c r="O75" s="17"/>
      <c r="P75" s="109" t="b">
        <f t="shared" si="3"/>
        <v>1</v>
      </c>
      <c r="Q75" s="114" t="s">
        <v>266</v>
      </c>
    </row>
    <row r="76" spans="1:17">
      <c r="A76" s="57" t="b">
        <f t="shared" si="2"/>
        <v>0</v>
      </c>
      <c r="B76" s="20" t="b">
        <f>B2</f>
        <v>1</v>
      </c>
      <c r="C76" s="17"/>
      <c r="D76" s="20" t="b">
        <f>D10</f>
        <v>0</v>
      </c>
      <c r="E76" s="17"/>
      <c r="F76" s="17"/>
      <c r="G76" s="20" t="b">
        <f>G18</f>
        <v>1</v>
      </c>
      <c r="H76" s="20" t="b">
        <f>H2</f>
        <v>1</v>
      </c>
      <c r="I76" s="17"/>
      <c r="J76" s="17"/>
      <c r="K76" s="20" t="b">
        <f>K16</f>
        <v>1</v>
      </c>
      <c r="L76" s="17"/>
      <c r="M76" s="17"/>
      <c r="N76" s="17"/>
      <c r="O76" s="17"/>
      <c r="P76" s="109" t="b">
        <f t="shared" si="3"/>
        <v>0</v>
      </c>
      <c r="Q76" s="114" t="s">
        <v>267</v>
      </c>
    </row>
    <row r="77" spans="1:17">
      <c r="A77" s="57" t="b">
        <f t="shared" si="2"/>
        <v>0</v>
      </c>
      <c r="B77" s="20" t="b">
        <f>B2</f>
        <v>1</v>
      </c>
      <c r="C77" s="17"/>
      <c r="D77" s="20" t="b">
        <f>D10</f>
        <v>0</v>
      </c>
      <c r="E77" s="17"/>
      <c r="F77" s="17"/>
      <c r="G77" s="20" t="b">
        <f>G18</f>
        <v>1</v>
      </c>
      <c r="H77" s="20" t="b">
        <f>H2</f>
        <v>1</v>
      </c>
      <c r="I77" s="17"/>
      <c r="J77" s="17"/>
      <c r="K77" s="17"/>
      <c r="L77" s="17"/>
      <c r="M77" s="17"/>
      <c r="N77" s="17"/>
      <c r="O77" s="17"/>
      <c r="P77" s="109" t="b">
        <f t="shared" si="3"/>
        <v>0</v>
      </c>
      <c r="Q77" s="114" t="s">
        <v>268</v>
      </c>
    </row>
    <row r="78" spans="1:17">
      <c r="A78" s="57" t="b">
        <f t="shared" si="2"/>
        <v>0</v>
      </c>
      <c r="B78" s="20" t="b">
        <f>B2</f>
        <v>1</v>
      </c>
      <c r="C78" s="17"/>
      <c r="D78" s="17"/>
      <c r="E78" s="20" t="b">
        <f>E2</f>
        <v>1</v>
      </c>
      <c r="F78" s="17"/>
      <c r="G78" s="17"/>
      <c r="H78" s="20" t="b">
        <f>H2</f>
        <v>1</v>
      </c>
      <c r="I78" s="20" t="b">
        <f>I4</f>
        <v>0</v>
      </c>
      <c r="J78" s="17"/>
      <c r="K78" s="20" t="b">
        <f>K16</f>
        <v>1</v>
      </c>
      <c r="L78" s="17"/>
      <c r="M78" s="17"/>
      <c r="N78" s="17"/>
      <c r="O78" s="17"/>
      <c r="P78" s="109" t="b">
        <f t="shared" si="3"/>
        <v>0</v>
      </c>
      <c r="Q78" s="114" t="s">
        <v>269</v>
      </c>
    </row>
    <row r="79" spans="1:17">
      <c r="A79" s="58" t="b">
        <f t="shared" si="2"/>
        <v>0</v>
      </c>
      <c r="B79" s="16"/>
      <c r="C79" s="16"/>
      <c r="D79" s="16"/>
      <c r="E79" s="16"/>
      <c r="F79" s="16"/>
      <c r="G79" s="16"/>
      <c r="H79" s="16"/>
      <c r="I79" s="16"/>
      <c r="J79" s="16"/>
      <c r="K79" s="16"/>
      <c r="L79" s="16"/>
      <c r="M79" s="16"/>
      <c r="N79" s="16"/>
      <c r="O79" s="16"/>
      <c r="P79" s="75"/>
      <c r="Q79" s="115"/>
    </row>
    <row r="80" spans="1:17">
      <c r="A80" s="57" t="b">
        <f t="shared" si="2"/>
        <v>0</v>
      </c>
      <c r="B80" s="20" t="b">
        <f>B2</f>
        <v>1</v>
      </c>
      <c r="C80" s="17"/>
      <c r="D80" s="20" t="b">
        <f>D10</f>
        <v>0</v>
      </c>
      <c r="E80" s="17"/>
      <c r="F80" s="17"/>
      <c r="G80" s="20" t="b">
        <f>G18</f>
        <v>1</v>
      </c>
      <c r="H80" s="17"/>
      <c r="I80" s="17"/>
      <c r="J80" s="20" t="b">
        <f>J18</f>
        <v>1</v>
      </c>
      <c r="K80" s="17"/>
      <c r="L80" s="17"/>
      <c r="M80" s="17"/>
      <c r="N80" s="17"/>
      <c r="O80" s="17"/>
      <c r="P80" s="109" t="b">
        <f t="shared" si="3"/>
        <v>0</v>
      </c>
      <c r="Q80" s="116" t="s">
        <v>270</v>
      </c>
    </row>
    <row r="81" spans="1:17" ht="14.25" customHeight="1">
      <c r="A81" s="57" t="b">
        <f t="shared" ref="A81:A144" si="4">IF(P81=TRUE,Q81)</f>
        <v>0</v>
      </c>
      <c r="B81" s="20" t="b">
        <f>B2</f>
        <v>1</v>
      </c>
      <c r="C81" s="17"/>
      <c r="D81" s="20" t="b">
        <f>D10</f>
        <v>0</v>
      </c>
      <c r="E81" s="17"/>
      <c r="F81" s="17"/>
      <c r="G81" s="20" t="b">
        <f>G18</f>
        <v>1</v>
      </c>
      <c r="H81" s="17"/>
      <c r="I81" s="17"/>
      <c r="J81" s="20" t="b">
        <f>J18</f>
        <v>1</v>
      </c>
      <c r="K81" s="17"/>
      <c r="L81" s="17"/>
      <c r="M81" s="17"/>
      <c r="N81" s="17"/>
      <c r="O81" s="17"/>
      <c r="P81" s="109" t="b">
        <f t="shared" si="3"/>
        <v>0</v>
      </c>
      <c r="Q81" s="114" t="s">
        <v>271</v>
      </c>
    </row>
    <row r="82" spans="1:17" ht="14.25" customHeight="1">
      <c r="A82" s="57" t="b">
        <f t="shared" si="4"/>
        <v>0</v>
      </c>
      <c r="B82" s="20" t="b">
        <f>B2</f>
        <v>1</v>
      </c>
      <c r="C82" s="17"/>
      <c r="D82" s="20" t="b">
        <f>D10</f>
        <v>0</v>
      </c>
      <c r="E82" s="17"/>
      <c r="F82" s="17"/>
      <c r="G82" s="20" t="b">
        <f>G18</f>
        <v>1</v>
      </c>
      <c r="H82" s="17"/>
      <c r="I82" s="17"/>
      <c r="J82" s="20" t="b">
        <f>J18</f>
        <v>1</v>
      </c>
      <c r="K82" s="17"/>
      <c r="L82" s="17"/>
      <c r="M82" s="17"/>
      <c r="N82" s="17"/>
      <c r="O82" s="17"/>
      <c r="P82" s="109" t="b">
        <f t="shared" si="3"/>
        <v>0</v>
      </c>
      <c r="Q82" s="114" t="s">
        <v>272</v>
      </c>
    </row>
    <row r="83" spans="1:17" ht="14.25" customHeight="1">
      <c r="A83" s="57" t="b">
        <f t="shared" si="4"/>
        <v>0</v>
      </c>
      <c r="B83" s="20" t="b">
        <f>B2</f>
        <v>1</v>
      </c>
      <c r="C83" s="17"/>
      <c r="D83" s="20" t="b">
        <f>D10</f>
        <v>0</v>
      </c>
      <c r="E83" s="17"/>
      <c r="F83" s="17"/>
      <c r="G83" s="20" t="b">
        <f>G18</f>
        <v>1</v>
      </c>
      <c r="H83" s="17"/>
      <c r="I83" s="17"/>
      <c r="J83" s="20" t="b">
        <f>J18</f>
        <v>1</v>
      </c>
      <c r="K83" s="17"/>
      <c r="L83" s="17"/>
      <c r="M83" s="17"/>
      <c r="N83" s="17"/>
      <c r="O83" s="17"/>
      <c r="P83" s="109" t="b">
        <f t="shared" si="3"/>
        <v>0</v>
      </c>
      <c r="Q83" s="114" t="s">
        <v>273</v>
      </c>
    </row>
    <row r="84" spans="1:17" ht="14.25" customHeight="1">
      <c r="A84" s="57" t="b">
        <f t="shared" si="4"/>
        <v>0</v>
      </c>
      <c r="B84" s="20" t="b">
        <f>B2</f>
        <v>1</v>
      </c>
      <c r="C84" s="17"/>
      <c r="D84" s="20" t="b">
        <f>D10</f>
        <v>0</v>
      </c>
      <c r="E84" s="17"/>
      <c r="F84" s="17"/>
      <c r="G84" s="17"/>
      <c r="H84" s="17"/>
      <c r="I84" s="17"/>
      <c r="J84" s="20" t="b">
        <f>J18</f>
        <v>1</v>
      </c>
      <c r="K84" s="17"/>
      <c r="L84" s="17"/>
      <c r="M84" s="17"/>
      <c r="N84" s="17"/>
      <c r="O84" s="17"/>
      <c r="P84" s="109" t="b">
        <f t="shared" si="3"/>
        <v>0</v>
      </c>
      <c r="Q84" s="114" t="s">
        <v>274</v>
      </c>
    </row>
    <row r="85" spans="1:17" ht="14.25" customHeight="1">
      <c r="A85" s="57" t="b">
        <f t="shared" si="4"/>
        <v>0</v>
      </c>
      <c r="B85" s="20" t="b">
        <f>B2</f>
        <v>1</v>
      </c>
      <c r="C85" s="17"/>
      <c r="D85" s="20" t="b">
        <f>D10</f>
        <v>0</v>
      </c>
      <c r="E85" s="17"/>
      <c r="F85" s="17"/>
      <c r="G85" s="17"/>
      <c r="H85" s="17"/>
      <c r="I85" s="17"/>
      <c r="J85" s="20" t="b">
        <f>J18</f>
        <v>1</v>
      </c>
      <c r="K85" s="17"/>
      <c r="L85" s="17"/>
      <c r="M85" s="17"/>
      <c r="N85" s="17"/>
      <c r="O85" s="17"/>
      <c r="P85" s="109" t="b">
        <f t="shared" si="3"/>
        <v>0</v>
      </c>
      <c r="Q85" s="114" t="s">
        <v>275</v>
      </c>
    </row>
    <row r="86" spans="1:17" ht="14.25" customHeight="1">
      <c r="A86" s="57" t="str">
        <f t="shared" si="4"/>
        <v>ROBITUSSINDM COUGHGELS</v>
      </c>
      <c r="B86" s="20" t="b">
        <f>B2</f>
        <v>1</v>
      </c>
      <c r="C86" s="17"/>
      <c r="D86" s="17"/>
      <c r="E86" s="20" t="b">
        <f>E2</f>
        <v>1</v>
      </c>
      <c r="F86" s="17"/>
      <c r="G86" s="20" t="b">
        <f>G18</f>
        <v>1</v>
      </c>
      <c r="H86" s="17"/>
      <c r="I86" s="17"/>
      <c r="J86" s="17"/>
      <c r="K86" s="17"/>
      <c r="L86" s="17"/>
      <c r="M86" s="17"/>
      <c r="N86" s="17"/>
      <c r="O86" s="17"/>
      <c r="P86" s="109" t="b">
        <f t="shared" si="3"/>
        <v>1</v>
      </c>
      <c r="Q86" s="114" t="s">
        <v>276</v>
      </c>
    </row>
    <row r="87" spans="1:17" ht="14.25" customHeight="1">
      <c r="A87" s="57" t="b">
        <f t="shared" si="4"/>
        <v>0</v>
      </c>
      <c r="B87" s="20" t="b">
        <f>B2</f>
        <v>1</v>
      </c>
      <c r="C87" s="17"/>
      <c r="D87" s="20" t="b">
        <f>D10</f>
        <v>0</v>
      </c>
      <c r="E87" s="17"/>
      <c r="F87" s="17"/>
      <c r="G87" s="20" t="b">
        <f>G18</f>
        <v>1</v>
      </c>
      <c r="H87" s="20" t="b">
        <f>H2</f>
        <v>1</v>
      </c>
      <c r="I87" s="17"/>
      <c r="J87" s="17"/>
      <c r="K87" s="17"/>
      <c r="L87" s="17"/>
      <c r="M87" s="17"/>
      <c r="N87" s="17"/>
      <c r="O87" s="17"/>
      <c r="P87" s="109" t="b">
        <f t="shared" si="3"/>
        <v>0</v>
      </c>
      <c r="Q87" s="114" t="s">
        <v>277</v>
      </c>
    </row>
    <row r="88" spans="1:17" ht="14.25" customHeight="1">
      <c r="A88" s="57" t="b">
        <f t="shared" si="4"/>
        <v>0</v>
      </c>
      <c r="B88" s="20" t="b">
        <f>B2</f>
        <v>1</v>
      </c>
      <c r="C88" s="17"/>
      <c r="D88" s="20" t="b">
        <f>D10</f>
        <v>0</v>
      </c>
      <c r="E88" s="17"/>
      <c r="F88" s="17"/>
      <c r="G88" s="20" t="b">
        <f>G18</f>
        <v>1</v>
      </c>
      <c r="H88" s="17"/>
      <c r="I88" s="20" t="b">
        <f>I4</f>
        <v>0</v>
      </c>
      <c r="J88" s="20" t="b">
        <f>J18</f>
        <v>1</v>
      </c>
      <c r="K88" s="17"/>
      <c r="L88" s="17"/>
      <c r="M88" s="17"/>
      <c r="N88" s="17"/>
      <c r="O88" s="17"/>
      <c r="P88" s="109" t="b">
        <f t="shared" si="3"/>
        <v>0</v>
      </c>
      <c r="Q88" s="114" t="s">
        <v>278</v>
      </c>
    </row>
    <row r="89" spans="1:17" ht="14.25" customHeight="1">
      <c r="A89" s="57" t="b">
        <f t="shared" si="4"/>
        <v>0</v>
      </c>
      <c r="B89" s="20" t="b">
        <f>B2</f>
        <v>1</v>
      </c>
      <c r="C89" s="17"/>
      <c r="D89" s="20" t="b">
        <f>D10</f>
        <v>0</v>
      </c>
      <c r="E89" s="17"/>
      <c r="F89" s="17"/>
      <c r="G89" s="20" t="b">
        <f>G18</f>
        <v>1</v>
      </c>
      <c r="H89" s="17"/>
      <c r="I89" s="20" t="b">
        <f>I4</f>
        <v>0</v>
      </c>
      <c r="J89" s="20" t="b">
        <f>J18</f>
        <v>1</v>
      </c>
      <c r="K89" s="17"/>
      <c r="L89" s="17"/>
      <c r="M89" s="17"/>
      <c r="N89" s="17"/>
      <c r="O89" s="17"/>
      <c r="P89" s="109" t="b">
        <f t="shared" si="3"/>
        <v>0</v>
      </c>
      <c r="Q89" s="114" t="s">
        <v>279</v>
      </c>
    </row>
    <row r="90" spans="1:17" ht="14.25" customHeight="1">
      <c r="A90" s="57" t="b">
        <f t="shared" si="4"/>
        <v>0</v>
      </c>
      <c r="B90" s="20" t="b">
        <f>B2</f>
        <v>1</v>
      </c>
      <c r="C90" s="17"/>
      <c r="D90" s="20" t="b">
        <f>D10</f>
        <v>0</v>
      </c>
      <c r="E90" s="17"/>
      <c r="F90" s="17"/>
      <c r="G90" s="20" t="b">
        <f>G18</f>
        <v>1</v>
      </c>
      <c r="H90" s="17"/>
      <c r="I90" s="20" t="b">
        <f>I4</f>
        <v>0</v>
      </c>
      <c r="J90" s="17"/>
      <c r="K90" s="20" t="b">
        <f>K16</f>
        <v>1</v>
      </c>
      <c r="L90" s="17"/>
      <c r="M90" s="17"/>
      <c r="N90" s="17"/>
      <c r="O90" s="17"/>
      <c r="P90" s="109" t="b">
        <f t="shared" si="3"/>
        <v>0</v>
      </c>
      <c r="Q90" s="114" t="s">
        <v>280</v>
      </c>
    </row>
    <row r="91" spans="1:17" ht="14.25" customHeight="1">
      <c r="A91" s="57" t="b">
        <f t="shared" si="4"/>
        <v>0</v>
      </c>
      <c r="B91" s="20" t="b">
        <f>B2</f>
        <v>1</v>
      </c>
      <c r="C91" s="17"/>
      <c r="D91" s="20" t="b">
        <f>D10</f>
        <v>0</v>
      </c>
      <c r="E91" s="17"/>
      <c r="F91" s="17"/>
      <c r="G91" s="20" t="b">
        <f>G18</f>
        <v>1</v>
      </c>
      <c r="H91" s="20" t="b">
        <f>H2</f>
        <v>1</v>
      </c>
      <c r="I91" s="20" t="b">
        <f>I4</f>
        <v>0</v>
      </c>
      <c r="J91" s="17"/>
      <c r="K91" s="20" t="b">
        <f>K16</f>
        <v>1</v>
      </c>
      <c r="L91" s="17"/>
      <c r="M91" s="17"/>
      <c r="N91" s="17"/>
      <c r="O91" s="17"/>
      <c r="P91" s="109" t="b">
        <f t="shared" si="3"/>
        <v>0</v>
      </c>
      <c r="Q91" s="114" t="s">
        <v>281</v>
      </c>
    </row>
    <row r="92" spans="1:17" ht="14.25" customHeight="1">
      <c r="A92" s="57" t="b">
        <f t="shared" si="4"/>
        <v>0</v>
      </c>
      <c r="B92" s="20" t="b">
        <f>B2</f>
        <v>1</v>
      </c>
      <c r="C92" s="17"/>
      <c r="D92" s="17"/>
      <c r="E92" s="20" t="b">
        <f>E2</f>
        <v>1</v>
      </c>
      <c r="F92" s="17"/>
      <c r="G92" s="20" t="b">
        <f>G18</f>
        <v>1</v>
      </c>
      <c r="H92" s="17"/>
      <c r="I92" s="20" t="b">
        <f>I4</f>
        <v>0</v>
      </c>
      <c r="J92" s="17"/>
      <c r="K92" s="20" t="b">
        <f>K16</f>
        <v>1</v>
      </c>
      <c r="L92" s="17"/>
      <c r="M92" s="17"/>
      <c r="N92" s="17"/>
      <c r="O92" s="17"/>
      <c r="P92" s="109" t="b">
        <f t="shared" si="3"/>
        <v>0</v>
      </c>
      <c r="Q92" s="114" t="s">
        <v>282</v>
      </c>
    </row>
    <row r="93" spans="1:17" ht="14.25" customHeight="1">
      <c r="A93" s="57" t="b">
        <f t="shared" si="4"/>
        <v>0</v>
      </c>
      <c r="B93" s="20" t="b">
        <f>B2</f>
        <v>1</v>
      </c>
      <c r="C93" s="17"/>
      <c r="D93" s="17"/>
      <c r="E93" s="20" t="b">
        <f>E2</f>
        <v>1</v>
      </c>
      <c r="F93" s="17"/>
      <c r="G93" s="20" t="b">
        <f>G18</f>
        <v>1</v>
      </c>
      <c r="H93" s="20" t="b">
        <f>H2</f>
        <v>1</v>
      </c>
      <c r="I93" s="20" t="b">
        <f>I4</f>
        <v>0</v>
      </c>
      <c r="J93" s="17"/>
      <c r="K93" s="20" t="b">
        <f>K16</f>
        <v>1</v>
      </c>
      <c r="L93" s="17"/>
      <c r="M93" s="17"/>
      <c r="N93" s="17"/>
      <c r="O93" s="17"/>
      <c r="P93" s="109" t="b">
        <f t="shared" si="3"/>
        <v>0</v>
      </c>
      <c r="Q93" s="114" t="s">
        <v>283</v>
      </c>
    </row>
    <row r="94" spans="1:17" ht="14.25" customHeight="1">
      <c r="A94" s="57" t="b">
        <f t="shared" si="4"/>
        <v>0</v>
      </c>
      <c r="B94" s="17"/>
      <c r="C94" s="20" t="b">
        <f>C10</f>
        <v>0</v>
      </c>
      <c r="D94" s="20" t="b">
        <f>D10</f>
        <v>0</v>
      </c>
      <c r="E94" s="17"/>
      <c r="F94" s="17"/>
      <c r="G94" s="17"/>
      <c r="H94" s="20" t="b">
        <f>H2</f>
        <v>1</v>
      </c>
      <c r="I94" s="20" t="b">
        <f>I4</f>
        <v>0</v>
      </c>
      <c r="J94" s="17"/>
      <c r="K94" s="17"/>
      <c r="L94" s="17"/>
      <c r="M94" s="17"/>
      <c r="N94" s="17"/>
      <c r="O94" s="17"/>
      <c r="P94" s="109" t="b">
        <f t="shared" si="3"/>
        <v>0</v>
      </c>
      <c r="Q94" s="114" t="s">
        <v>284</v>
      </c>
    </row>
    <row r="95" spans="1:17" ht="14.25" customHeight="1">
      <c r="A95" s="57" t="b">
        <f t="shared" si="4"/>
        <v>0</v>
      </c>
      <c r="B95" s="17"/>
      <c r="C95" s="20" t="b">
        <f>C10</f>
        <v>0</v>
      </c>
      <c r="D95" s="20" t="b">
        <f>D10</f>
        <v>0</v>
      </c>
      <c r="E95" s="17"/>
      <c r="F95" s="17"/>
      <c r="G95" s="20" t="b">
        <f>G18</f>
        <v>1</v>
      </c>
      <c r="H95" s="17"/>
      <c r="I95" s="20" t="b">
        <f>I4</f>
        <v>0</v>
      </c>
      <c r="J95" s="17"/>
      <c r="K95" s="17"/>
      <c r="L95" s="17"/>
      <c r="M95" s="17"/>
      <c r="N95" s="17"/>
      <c r="O95" s="17"/>
      <c r="P95" s="109" t="b">
        <f t="shared" si="3"/>
        <v>0</v>
      </c>
      <c r="Q95" s="114" t="s">
        <v>285</v>
      </c>
    </row>
    <row r="96" spans="1:17" ht="14.25" customHeight="1">
      <c r="A96" s="57" t="b">
        <f t="shared" si="4"/>
        <v>0</v>
      </c>
      <c r="B96" s="17"/>
      <c r="C96" s="20" t="b">
        <f>C10</f>
        <v>0</v>
      </c>
      <c r="D96" s="20" t="b">
        <f>D10</f>
        <v>0</v>
      </c>
      <c r="E96" s="17"/>
      <c r="F96" s="17"/>
      <c r="G96" s="20" t="b">
        <f>G18</f>
        <v>1</v>
      </c>
      <c r="H96" s="20" t="b">
        <f>H2</f>
        <v>1</v>
      </c>
      <c r="I96" s="20" t="b">
        <f>I4</f>
        <v>0</v>
      </c>
      <c r="J96" s="17"/>
      <c r="K96" s="17"/>
      <c r="L96" s="17"/>
      <c r="M96" s="17"/>
      <c r="N96" s="17"/>
      <c r="O96" s="17"/>
      <c r="P96" s="109" t="b">
        <f t="shared" si="3"/>
        <v>0</v>
      </c>
      <c r="Q96" s="114" t="s">
        <v>286</v>
      </c>
    </row>
    <row r="97" spans="1:17" ht="14.25" customHeight="1">
      <c r="A97" s="58" t="b">
        <f t="shared" si="4"/>
        <v>0</v>
      </c>
      <c r="B97" s="16"/>
      <c r="C97" s="16"/>
      <c r="D97" s="16"/>
      <c r="E97" s="16"/>
      <c r="F97" s="16"/>
      <c r="G97" s="16"/>
      <c r="H97" s="16"/>
      <c r="I97" s="16"/>
      <c r="J97" s="16"/>
      <c r="K97" s="16"/>
      <c r="L97" s="16"/>
      <c r="M97" s="16"/>
      <c r="N97" s="16"/>
      <c r="O97" s="16"/>
      <c r="P97" s="75"/>
      <c r="Q97" s="115"/>
    </row>
    <row r="98" spans="1:17" ht="14.25" customHeight="1">
      <c r="A98" s="57" t="b">
        <f t="shared" si="4"/>
        <v>0</v>
      </c>
      <c r="B98" s="17"/>
      <c r="C98" s="20" t="b">
        <f>C10</f>
        <v>0</v>
      </c>
      <c r="D98" s="20" t="b">
        <f>D10</f>
        <v>0</v>
      </c>
      <c r="E98" s="17"/>
      <c r="F98" s="17"/>
      <c r="G98" s="17"/>
      <c r="H98" s="20" t="b">
        <f>H2</f>
        <v>1</v>
      </c>
      <c r="I98" s="20" t="b">
        <f>I4</f>
        <v>0</v>
      </c>
      <c r="J98" s="17"/>
      <c r="K98" s="17"/>
      <c r="L98" s="17"/>
      <c r="M98" s="17"/>
      <c r="N98" s="17"/>
      <c r="O98" s="17"/>
      <c r="P98" s="109" t="b">
        <f t="shared" si="3"/>
        <v>0</v>
      </c>
      <c r="Q98" s="114" t="s">
        <v>287</v>
      </c>
    </row>
    <row r="99" spans="1:17" ht="14.25" customHeight="1">
      <c r="A99" s="57" t="b">
        <f t="shared" si="4"/>
        <v>0</v>
      </c>
      <c r="B99" s="17"/>
      <c r="C99" s="20" t="b">
        <f>C10</f>
        <v>0</v>
      </c>
      <c r="D99" s="20" t="b">
        <f>D10</f>
        <v>0</v>
      </c>
      <c r="E99" s="17"/>
      <c r="F99" s="17"/>
      <c r="G99" s="20" t="b">
        <f>G18</f>
        <v>1</v>
      </c>
      <c r="H99" s="20" t="b">
        <f>H2</f>
        <v>1</v>
      </c>
      <c r="I99" s="20" t="b">
        <f>I4</f>
        <v>0</v>
      </c>
      <c r="J99" s="17"/>
      <c r="K99" s="17"/>
      <c r="L99" s="17"/>
      <c r="M99" s="17"/>
      <c r="N99" s="17"/>
      <c r="O99" s="17"/>
      <c r="P99" s="109" t="b">
        <f t="shared" si="3"/>
        <v>0</v>
      </c>
      <c r="Q99" s="114" t="s">
        <v>288</v>
      </c>
    </row>
    <row r="100" spans="1:17" ht="14.25" customHeight="1">
      <c r="A100" s="57" t="b">
        <f t="shared" si="4"/>
        <v>0</v>
      </c>
      <c r="B100" s="17"/>
      <c r="C100" s="20" t="b">
        <f>C10</f>
        <v>0</v>
      </c>
      <c r="D100" s="20" t="b">
        <f>D10</f>
        <v>0</v>
      </c>
      <c r="E100" s="17"/>
      <c r="F100" s="17"/>
      <c r="G100" s="20" t="b">
        <f>G18</f>
        <v>1</v>
      </c>
      <c r="H100" s="20" t="b">
        <f>H2</f>
        <v>1</v>
      </c>
      <c r="I100" s="20" t="b">
        <f>I4</f>
        <v>0</v>
      </c>
      <c r="J100" s="17"/>
      <c r="K100" s="17"/>
      <c r="L100" s="17"/>
      <c r="M100" s="17"/>
      <c r="N100" s="17"/>
      <c r="O100" s="17"/>
      <c r="P100" s="109" t="b">
        <f t="shared" si="3"/>
        <v>0</v>
      </c>
      <c r="Q100" s="114" t="s">
        <v>289</v>
      </c>
    </row>
    <row r="101" spans="1:17" ht="14.25" customHeight="1">
      <c r="A101" s="57" t="b">
        <f t="shared" si="4"/>
        <v>0</v>
      </c>
      <c r="B101" s="17"/>
      <c r="C101" s="20" t="b">
        <f>C10</f>
        <v>0</v>
      </c>
      <c r="D101" s="20" t="b">
        <f>D10</f>
        <v>0</v>
      </c>
      <c r="E101" s="17"/>
      <c r="F101" s="17"/>
      <c r="G101" s="17"/>
      <c r="H101" s="20" t="b">
        <f>H2</f>
        <v>1</v>
      </c>
      <c r="I101" s="20" t="b">
        <f>I4</f>
        <v>0</v>
      </c>
      <c r="J101" s="17"/>
      <c r="K101" s="20" t="b">
        <f>K16</f>
        <v>1</v>
      </c>
      <c r="L101" s="17"/>
      <c r="M101" s="20" t="b">
        <f>M20</f>
        <v>1</v>
      </c>
      <c r="N101" s="17"/>
      <c r="O101" s="17"/>
      <c r="P101" s="109" t="b">
        <f t="shared" si="3"/>
        <v>0</v>
      </c>
      <c r="Q101" s="114" t="s">
        <v>290</v>
      </c>
    </row>
    <row r="102" spans="1:17" ht="14.25" customHeight="1">
      <c r="A102" s="57" t="b">
        <f t="shared" si="4"/>
        <v>0</v>
      </c>
      <c r="B102" s="17"/>
      <c r="C102" s="20" t="b">
        <f>C10</f>
        <v>0</v>
      </c>
      <c r="D102" s="20" t="b">
        <f>D10</f>
        <v>0</v>
      </c>
      <c r="E102" s="17"/>
      <c r="F102" s="17"/>
      <c r="G102" s="20" t="b">
        <f>G18</f>
        <v>1</v>
      </c>
      <c r="H102" s="20" t="b">
        <f>H2</f>
        <v>1</v>
      </c>
      <c r="I102" s="20" t="b">
        <f>I4</f>
        <v>0</v>
      </c>
      <c r="J102" s="17"/>
      <c r="K102" s="17"/>
      <c r="L102" s="17"/>
      <c r="M102" s="17"/>
      <c r="N102" s="17"/>
      <c r="O102" s="17"/>
      <c r="P102" s="109" t="b">
        <f t="shared" si="3"/>
        <v>0</v>
      </c>
      <c r="Q102" s="114" t="s">
        <v>291</v>
      </c>
    </row>
    <row r="103" spans="1:17" ht="14.25" customHeight="1">
      <c r="A103" s="57" t="b">
        <f t="shared" si="4"/>
        <v>0</v>
      </c>
      <c r="B103" s="17"/>
      <c r="C103" s="20" t="b">
        <f>C10</f>
        <v>0</v>
      </c>
      <c r="D103" s="20" t="b">
        <f>D10</f>
        <v>0</v>
      </c>
      <c r="E103" s="17"/>
      <c r="F103" s="17"/>
      <c r="G103" s="17"/>
      <c r="H103" s="20" t="b">
        <f>H2</f>
        <v>1</v>
      </c>
      <c r="I103" s="20" t="b">
        <f>I4</f>
        <v>0</v>
      </c>
      <c r="J103" s="17"/>
      <c r="K103" s="17"/>
      <c r="L103" s="17"/>
      <c r="M103" s="17"/>
      <c r="N103" s="17"/>
      <c r="O103" s="17"/>
      <c r="P103" s="109" t="b">
        <f t="shared" si="3"/>
        <v>0</v>
      </c>
      <c r="Q103" s="114" t="s">
        <v>292</v>
      </c>
    </row>
    <row r="104" spans="1:17" ht="14.25" customHeight="1">
      <c r="A104" s="58" t="b">
        <f t="shared" si="4"/>
        <v>0</v>
      </c>
      <c r="B104" s="16"/>
      <c r="C104" s="16"/>
      <c r="D104" s="16"/>
      <c r="E104" s="16"/>
      <c r="F104" s="16"/>
      <c r="G104" s="16"/>
      <c r="H104" s="16"/>
      <c r="I104" s="16"/>
      <c r="J104" s="16"/>
      <c r="K104" s="16"/>
      <c r="L104" s="16"/>
      <c r="M104" s="16"/>
      <c r="N104" s="16"/>
      <c r="O104" s="16"/>
      <c r="P104" s="75"/>
      <c r="Q104" s="123"/>
    </row>
    <row r="105" spans="1:17" ht="14.25" customHeight="1">
      <c r="A105" s="57" t="b">
        <f t="shared" si="4"/>
        <v>0</v>
      </c>
      <c r="B105" s="20" t="b">
        <f>B2</f>
        <v>1</v>
      </c>
      <c r="C105" s="17"/>
      <c r="D105" s="20" t="b">
        <f>D10</f>
        <v>0</v>
      </c>
      <c r="E105" s="17"/>
      <c r="F105" s="17"/>
      <c r="G105" s="17"/>
      <c r="H105" s="20" t="b">
        <f>H2</f>
        <v>1</v>
      </c>
      <c r="I105" s="20" t="b">
        <f>I4</f>
        <v>0</v>
      </c>
      <c r="J105" s="17"/>
      <c r="K105" s="20" t="b">
        <f>K16</f>
        <v>1</v>
      </c>
      <c r="L105" s="17"/>
      <c r="M105" s="17"/>
      <c r="N105" s="17"/>
      <c r="O105" s="17"/>
      <c r="P105" s="109" t="b">
        <f t="shared" si="3"/>
        <v>0</v>
      </c>
      <c r="Q105" s="114" t="s">
        <v>293</v>
      </c>
    </row>
    <row r="106" spans="1:17" ht="14.25" customHeight="1">
      <c r="A106" s="57" t="b">
        <f t="shared" si="4"/>
        <v>0</v>
      </c>
      <c r="B106" s="20" t="b">
        <f>B2</f>
        <v>1</v>
      </c>
      <c r="C106" s="17"/>
      <c r="D106" s="20" t="b">
        <f>D10</f>
        <v>0</v>
      </c>
      <c r="E106" s="17"/>
      <c r="F106" s="17"/>
      <c r="G106" s="20" t="b">
        <f>G18</f>
        <v>1</v>
      </c>
      <c r="H106" s="17"/>
      <c r="I106" s="20" t="b">
        <f>I4</f>
        <v>0</v>
      </c>
      <c r="J106" s="17"/>
      <c r="K106" s="20" t="b">
        <f>K16</f>
        <v>1</v>
      </c>
      <c r="L106" s="17"/>
      <c r="M106" s="17"/>
      <c r="N106" s="17"/>
      <c r="O106" s="17"/>
      <c r="P106" s="109" t="b">
        <f t="shared" si="3"/>
        <v>0</v>
      </c>
      <c r="Q106" s="114" t="s">
        <v>294</v>
      </c>
    </row>
    <row r="107" spans="1:17" ht="14.25" customHeight="1">
      <c r="A107" s="57" t="b">
        <f t="shared" si="4"/>
        <v>0</v>
      </c>
      <c r="B107" s="20" t="b">
        <f>B2</f>
        <v>1</v>
      </c>
      <c r="C107" s="17"/>
      <c r="D107" s="20" t="b">
        <f>D10</f>
        <v>0</v>
      </c>
      <c r="E107" s="17"/>
      <c r="F107" s="17"/>
      <c r="G107" s="17"/>
      <c r="H107" s="20" t="b">
        <f>H2</f>
        <v>1</v>
      </c>
      <c r="I107" s="20" t="b">
        <f>I4</f>
        <v>0</v>
      </c>
      <c r="J107" s="17"/>
      <c r="K107" s="20" t="b">
        <f>K16</f>
        <v>1</v>
      </c>
      <c r="L107" s="17"/>
      <c r="M107" s="17"/>
      <c r="N107" s="17"/>
      <c r="O107" s="17"/>
      <c r="P107" s="109" t="b">
        <f t="shared" si="3"/>
        <v>0</v>
      </c>
      <c r="Q107" s="114" t="s">
        <v>295</v>
      </c>
    </row>
    <row r="108" spans="1:17" ht="14.25" customHeight="1">
      <c r="A108" s="57" t="b">
        <f t="shared" si="4"/>
        <v>0</v>
      </c>
      <c r="B108" s="20" t="b">
        <f>B2</f>
        <v>1</v>
      </c>
      <c r="C108" s="17"/>
      <c r="D108" s="20" t="b">
        <f>D10</f>
        <v>0</v>
      </c>
      <c r="E108" s="17"/>
      <c r="F108" s="17"/>
      <c r="G108" s="17"/>
      <c r="H108" s="20" t="b">
        <f>H2</f>
        <v>1</v>
      </c>
      <c r="I108" s="20" t="b">
        <f>I4</f>
        <v>0</v>
      </c>
      <c r="J108" s="17"/>
      <c r="K108" s="20" t="b">
        <f>K16</f>
        <v>1</v>
      </c>
      <c r="L108" s="17"/>
      <c r="M108" s="17"/>
      <c r="N108" s="17"/>
      <c r="O108" s="17"/>
      <c r="P108" s="109" t="b">
        <f t="shared" si="3"/>
        <v>0</v>
      </c>
      <c r="Q108" s="114" t="s">
        <v>296</v>
      </c>
    </row>
    <row r="109" spans="1:17" ht="14.25" customHeight="1">
      <c r="A109" s="57" t="b">
        <f t="shared" si="4"/>
        <v>0</v>
      </c>
      <c r="B109" s="20" t="b">
        <f>B2</f>
        <v>1</v>
      </c>
      <c r="C109" s="17"/>
      <c r="D109" s="20" t="b">
        <f>D10</f>
        <v>0</v>
      </c>
      <c r="E109" s="17"/>
      <c r="F109" s="17"/>
      <c r="G109" s="17"/>
      <c r="H109" s="20" t="b">
        <f>H2</f>
        <v>1</v>
      </c>
      <c r="I109" s="20" t="b">
        <f>I4</f>
        <v>0</v>
      </c>
      <c r="J109" s="17"/>
      <c r="K109" s="20" t="b">
        <f>K16</f>
        <v>1</v>
      </c>
      <c r="L109" s="17"/>
      <c r="M109" s="17"/>
      <c r="N109" s="17"/>
      <c r="O109" s="17"/>
      <c r="P109" s="109" t="b">
        <f t="shared" si="3"/>
        <v>0</v>
      </c>
      <c r="Q109" s="114" t="s">
        <v>297</v>
      </c>
    </row>
    <row r="110" spans="1:17" ht="14.25" customHeight="1">
      <c r="A110" s="57" t="b">
        <f t="shared" si="4"/>
        <v>0</v>
      </c>
      <c r="B110" s="20" t="b">
        <f>B2</f>
        <v>1</v>
      </c>
      <c r="C110" s="17"/>
      <c r="D110" s="20" t="b">
        <f>D10</f>
        <v>0</v>
      </c>
      <c r="E110" s="17"/>
      <c r="F110" s="17"/>
      <c r="G110" s="17"/>
      <c r="H110" s="20" t="b">
        <f>H2</f>
        <v>1</v>
      </c>
      <c r="I110" s="20" t="b">
        <f>I4</f>
        <v>0</v>
      </c>
      <c r="J110" s="17"/>
      <c r="K110" s="20" t="b">
        <f>K16</f>
        <v>1</v>
      </c>
      <c r="L110" s="17"/>
      <c r="M110" s="17"/>
      <c r="N110" s="17"/>
      <c r="O110" s="17"/>
      <c r="P110" s="109" t="b">
        <f t="shared" si="3"/>
        <v>0</v>
      </c>
      <c r="Q110" s="114" t="s">
        <v>298</v>
      </c>
    </row>
    <row r="111" spans="1:17" ht="14.25" customHeight="1">
      <c r="A111" s="57" t="b">
        <f t="shared" si="4"/>
        <v>0</v>
      </c>
      <c r="B111" s="20" t="b">
        <f>B2</f>
        <v>1</v>
      </c>
      <c r="C111" s="17"/>
      <c r="D111" s="20" t="b">
        <f>D10</f>
        <v>0</v>
      </c>
      <c r="E111" s="17"/>
      <c r="F111" s="17"/>
      <c r="G111" s="20" t="b">
        <f>G18</f>
        <v>1</v>
      </c>
      <c r="H111" s="20" t="b">
        <f>H2</f>
        <v>1</v>
      </c>
      <c r="I111" s="20" t="b">
        <f>I4</f>
        <v>0</v>
      </c>
      <c r="J111" s="17"/>
      <c r="K111" s="20" t="b">
        <f>K16</f>
        <v>1</v>
      </c>
      <c r="L111" s="17"/>
      <c r="M111" s="17"/>
      <c r="N111" s="17"/>
      <c r="O111" s="17"/>
      <c r="P111" s="109" t="b">
        <f t="shared" si="3"/>
        <v>0</v>
      </c>
      <c r="Q111" s="114" t="s">
        <v>299</v>
      </c>
    </row>
    <row r="112" spans="1:17" ht="14.25" customHeight="1">
      <c r="A112" s="57" t="b">
        <f t="shared" si="4"/>
        <v>0</v>
      </c>
      <c r="B112" s="20" t="b">
        <f>B2</f>
        <v>1</v>
      </c>
      <c r="C112" s="17"/>
      <c r="D112" s="20" t="b">
        <f>D10</f>
        <v>0</v>
      </c>
      <c r="E112" s="17"/>
      <c r="F112" s="17"/>
      <c r="G112" s="20" t="b">
        <f>G18</f>
        <v>1</v>
      </c>
      <c r="H112" s="17"/>
      <c r="I112" s="20" t="b">
        <f>I4</f>
        <v>0</v>
      </c>
      <c r="J112" s="17"/>
      <c r="K112" s="20" t="b">
        <f>K16</f>
        <v>1</v>
      </c>
      <c r="L112" s="17"/>
      <c r="M112" s="17"/>
      <c r="N112" s="17"/>
      <c r="O112" s="17"/>
      <c r="P112" s="109" t="b">
        <f t="shared" si="3"/>
        <v>0</v>
      </c>
      <c r="Q112" s="114" t="s">
        <v>300</v>
      </c>
    </row>
    <row r="113" spans="1:17" ht="14.25" customHeight="1">
      <c r="A113" s="57" t="b">
        <f t="shared" si="4"/>
        <v>0</v>
      </c>
      <c r="B113" s="20" t="b">
        <f>B2</f>
        <v>1</v>
      </c>
      <c r="C113" s="17"/>
      <c r="D113" s="20" t="b">
        <f>D10</f>
        <v>0</v>
      </c>
      <c r="E113" s="17"/>
      <c r="F113" s="17"/>
      <c r="G113" s="17"/>
      <c r="H113" s="17"/>
      <c r="I113" s="20" t="b">
        <f>I4</f>
        <v>0</v>
      </c>
      <c r="J113" s="17"/>
      <c r="K113" s="20" t="b">
        <f>K16</f>
        <v>1</v>
      </c>
      <c r="L113" s="17"/>
      <c r="M113" s="17"/>
      <c r="N113" s="17"/>
      <c r="O113" s="17"/>
      <c r="P113" s="109" t="b">
        <f t="shared" si="3"/>
        <v>0</v>
      </c>
      <c r="Q113" s="114" t="s">
        <v>301</v>
      </c>
    </row>
    <row r="114" spans="1:17" ht="14.25" customHeight="1">
      <c r="A114" s="58" t="b">
        <f t="shared" si="4"/>
        <v>0</v>
      </c>
      <c r="B114" s="16"/>
      <c r="C114" s="16"/>
      <c r="D114" s="16"/>
      <c r="E114" s="16"/>
      <c r="F114" s="16"/>
      <c r="G114" s="16"/>
      <c r="H114" s="16"/>
      <c r="I114" s="16"/>
      <c r="J114" s="16"/>
      <c r="K114" s="16"/>
      <c r="L114" s="16"/>
      <c r="M114" s="16"/>
      <c r="N114" s="16"/>
      <c r="O114" s="16"/>
      <c r="P114" s="75"/>
      <c r="Q114" s="115"/>
    </row>
    <row r="115" spans="1:17" ht="14.25" customHeight="1">
      <c r="A115" s="57" t="b">
        <f t="shared" si="4"/>
        <v>0</v>
      </c>
      <c r="B115" s="20" t="b">
        <f>B2</f>
        <v>1</v>
      </c>
      <c r="C115" s="17"/>
      <c r="D115" s="17"/>
      <c r="E115" s="20" t="b">
        <f>E2</f>
        <v>1</v>
      </c>
      <c r="F115" s="17"/>
      <c r="G115" s="20" t="b">
        <f>G18</f>
        <v>1</v>
      </c>
      <c r="H115" s="17"/>
      <c r="I115" s="20" t="b">
        <f>I4</f>
        <v>0</v>
      </c>
      <c r="J115" s="20" t="b">
        <f>J18</f>
        <v>1</v>
      </c>
      <c r="K115" s="20" t="b">
        <f>K16</f>
        <v>1</v>
      </c>
      <c r="L115" s="17"/>
      <c r="M115" s="17"/>
      <c r="N115" s="17"/>
      <c r="O115" s="17"/>
      <c r="P115" s="109" t="b">
        <f t="shared" si="3"/>
        <v>0</v>
      </c>
      <c r="Q115" s="117" t="s">
        <v>330</v>
      </c>
    </row>
    <row r="116" spans="1:17">
      <c r="A116" s="57" t="b">
        <f t="shared" si="4"/>
        <v>0</v>
      </c>
      <c r="B116" s="20" t="b">
        <f>B2</f>
        <v>1</v>
      </c>
      <c r="C116" s="17"/>
      <c r="D116" s="17"/>
      <c r="E116" s="20" t="b">
        <f>E2</f>
        <v>1</v>
      </c>
      <c r="F116" s="17"/>
      <c r="G116" s="20" t="b">
        <f>G18</f>
        <v>1</v>
      </c>
      <c r="H116" s="20" t="b">
        <f>H2</f>
        <v>1</v>
      </c>
      <c r="I116" s="20" t="b">
        <f>I4</f>
        <v>0</v>
      </c>
      <c r="J116" s="20" t="b">
        <f>J18</f>
        <v>1</v>
      </c>
      <c r="K116" s="20" t="b">
        <f>K16</f>
        <v>1</v>
      </c>
      <c r="L116" s="17"/>
      <c r="M116" s="17"/>
      <c r="N116" s="17"/>
      <c r="O116" s="17"/>
      <c r="P116" s="109" t="b">
        <f t="shared" si="3"/>
        <v>0</v>
      </c>
      <c r="Q116" s="117" t="s">
        <v>331</v>
      </c>
    </row>
    <row r="117" spans="1:17">
      <c r="A117" s="57" t="b">
        <f t="shared" si="4"/>
        <v>0</v>
      </c>
      <c r="B117" s="20" t="b">
        <f>B2</f>
        <v>1</v>
      </c>
      <c r="C117" s="17"/>
      <c r="D117" s="17"/>
      <c r="E117" s="20" t="b">
        <f>E2</f>
        <v>1</v>
      </c>
      <c r="F117" s="17"/>
      <c r="G117" s="20" t="b">
        <f>G18</f>
        <v>1</v>
      </c>
      <c r="H117" s="17"/>
      <c r="I117" s="20" t="b">
        <f>I4</f>
        <v>0</v>
      </c>
      <c r="J117" s="20" t="b">
        <f>J18</f>
        <v>1</v>
      </c>
      <c r="K117" s="20" t="b">
        <f>K16</f>
        <v>1</v>
      </c>
      <c r="L117" s="17"/>
      <c r="M117" s="17"/>
      <c r="N117" s="17"/>
      <c r="O117" s="17"/>
      <c r="P117" s="109" t="b">
        <f t="shared" si="3"/>
        <v>0</v>
      </c>
      <c r="Q117" s="117" t="s">
        <v>332</v>
      </c>
    </row>
    <row r="118" spans="1:17">
      <c r="A118" s="57" t="b">
        <f t="shared" si="4"/>
        <v>0</v>
      </c>
      <c r="B118" s="20" t="b">
        <f>B2</f>
        <v>1</v>
      </c>
      <c r="C118" s="17"/>
      <c r="D118" s="17"/>
      <c r="E118" s="20" t="b">
        <f>E2</f>
        <v>1</v>
      </c>
      <c r="F118" s="17"/>
      <c r="G118" s="17"/>
      <c r="H118" s="20" t="b">
        <f>H2</f>
        <v>1</v>
      </c>
      <c r="I118" s="20" t="b">
        <f>I4</f>
        <v>0</v>
      </c>
      <c r="J118" s="17"/>
      <c r="K118" s="20" t="b">
        <f>K16</f>
        <v>1</v>
      </c>
      <c r="L118" s="17"/>
      <c r="M118" s="17"/>
      <c r="N118" s="17"/>
      <c r="O118" s="17"/>
      <c r="P118" s="109" t="b">
        <f t="shared" si="3"/>
        <v>0</v>
      </c>
      <c r="Q118" s="117" t="s">
        <v>333</v>
      </c>
    </row>
    <row r="119" spans="1:17">
      <c r="A119" s="57" t="b">
        <f t="shared" si="4"/>
        <v>0</v>
      </c>
      <c r="B119" s="20" t="b">
        <f>B2</f>
        <v>1</v>
      </c>
      <c r="C119" s="17"/>
      <c r="D119" s="20" t="b">
        <f>D10</f>
        <v>0</v>
      </c>
      <c r="E119" s="17"/>
      <c r="F119" s="17"/>
      <c r="G119" s="20" t="b">
        <f>G18</f>
        <v>1</v>
      </c>
      <c r="H119" s="20" t="b">
        <f>H2</f>
        <v>1</v>
      </c>
      <c r="I119" s="20" t="b">
        <f>I4</f>
        <v>0</v>
      </c>
      <c r="J119" s="20" t="b">
        <f>J18</f>
        <v>1</v>
      </c>
      <c r="K119" s="20" t="b">
        <f>K16</f>
        <v>1</v>
      </c>
      <c r="L119" s="17"/>
      <c r="M119" s="20" t="b">
        <f>M20</f>
        <v>1</v>
      </c>
      <c r="N119" s="17"/>
      <c r="O119" s="17"/>
      <c r="P119" s="109" t="b">
        <f t="shared" si="3"/>
        <v>0</v>
      </c>
      <c r="Q119" s="117" t="s">
        <v>334</v>
      </c>
    </row>
    <row r="120" spans="1:17">
      <c r="A120" s="57" t="b">
        <f t="shared" si="4"/>
        <v>0</v>
      </c>
      <c r="B120" s="20" t="b">
        <f>B2</f>
        <v>1</v>
      </c>
      <c r="C120" s="17"/>
      <c r="D120" s="20" t="b">
        <f>D10</f>
        <v>0</v>
      </c>
      <c r="E120" s="17"/>
      <c r="F120" s="17"/>
      <c r="G120" s="20" t="b">
        <f>G18</f>
        <v>1</v>
      </c>
      <c r="H120" s="17"/>
      <c r="I120" s="20" t="b">
        <f>I4</f>
        <v>0</v>
      </c>
      <c r="J120" s="20" t="b">
        <f>J18</f>
        <v>1</v>
      </c>
      <c r="K120" s="20" t="b">
        <f>K16</f>
        <v>1</v>
      </c>
      <c r="L120" s="17"/>
      <c r="M120" s="20" t="b">
        <f>M20</f>
        <v>1</v>
      </c>
      <c r="N120" s="17"/>
      <c r="O120" s="17"/>
      <c r="P120" s="109" t="b">
        <f t="shared" si="3"/>
        <v>0</v>
      </c>
      <c r="Q120" s="117" t="s">
        <v>335</v>
      </c>
    </row>
    <row r="121" spans="1:17">
      <c r="A121" s="57" t="b">
        <f t="shared" si="4"/>
        <v>0</v>
      </c>
      <c r="B121" s="20" t="b">
        <f>B2</f>
        <v>1</v>
      </c>
      <c r="C121" s="17"/>
      <c r="D121" s="20" t="b">
        <f>D10</f>
        <v>0</v>
      </c>
      <c r="E121" s="17"/>
      <c r="F121" s="17"/>
      <c r="G121" s="20" t="b">
        <f>G18</f>
        <v>1</v>
      </c>
      <c r="H121" s="17"/>
      <c r="I121" s="20" t="b">
        <f>I4</f>
        <v>0</v>
      </c>
      <c r="J121" s="20" t="b">
        <f>J18</f>
        <v>1</v>
      </c>
      <c r="K121" s="20" t="b">
        <f>K16</f>
        <v>1</v>
      </c>
      <c r="L121" s="17"/>
      <c r="M121" s="20" t="b">
        <f>M20</f>
        <v>1</v>
      </c>
      <c r="N121" s="17"/>
      <c r="O121" s="17"/>
      <c r="P121" s="109" t="b">
        <f t="shared" si="3"/>
        <v>0</v>
      </c>
      <c r="Q121" s="117" t="s">
        <v>336</v>
      </c>
    </row>
    <row r="122" spans="1:17">
      <c r="A122" s="57" t="b">
        <f t="shared" si="4"/>
        <v>0</v>
      </c>
      <c r="B122" s="17"/>
      <c r="C122" s="20" t="b">
        <f>C10</f>
        <v>0</v>
      </c>
      <c r="D122" s="20" t="b">
        <f>D10</f>
        <v>0</v>
      </c>
      <c r="E122" s="17"/>
      <c r="F122" s="17"/>
      <c r="G122" s="20" t="b">
        <f>G18</f>
        <v>1</v>
      </c>
      <c r="H122" s="20" t="b">
        <f>H2</f>
        <v>1</v>
      </c>
      <c r="I122" s="17"/>
      <c r="J122" s="17"/>
      <c r="K122" s="20" t="b">
        <f>K16</f>
        <v>1</v>
      </c>
      <c r="L122" s="17"/>
      <c r="M122" s="17"/>
      <c r="N122" s="17"/>
      <c r="O122" s="17"/>
      <c r="P122" s="109" t="b">
        <f t="shared" si="3"/>
        <v>0</v>
      </c>
      <c r="Q122" s="117" t="s">
        <v>337</v>
      </c>
    </row>
    <row r="123" spans="1:17">
      <c r="A123" s="57" t="b">
        <f t="shared" si="4"/>
        <v>0</v>
      </c>
      <c r="B123" s="17"/>
      <c r="C123" s="20" t="b">
        <f>C10</f>
        <v>0</v>
      </c>
      <c r="D123" s="20" t="b">
        <f>D10</f>
        <v>0</v>
      </c>
      <c r="E123" s="17"/>
      <c r="F123" s="17"/>
      <c r="G123" s="20" t="b">
        <f>G18</f>
        <v>1</v>
      </c>
      <c r="H123" s="20" t="b">
        <f>H2</f>
        <v>1</v>
      </c>
      <c r="I123" s="20" t="b">
        <f>I4</f>
        <v>0</v>
      </c>
      <c r="J123" s="17"/>
      <c r="K123" s="20" t="b">
        <f>K16</f>
        <v>1</v>
      </c>
      <c r="L123" s="17"/>
      <c r="M123" s="17"/>
      <c r="N123" s="17"/>
      <c r="O123" s="17"/>
      <c r="P123" s="109" t="b">
        <f t="shared" si="3"/>
        <v>0</v>
      </c>
      <c r="Q123" s="117" t="s">
        <v>338</v>
      </c>
    </row>
    <row r="124" spans="1:17">
      <c r="A124" s="57" t="b">
        <f t="shared" si="4"/>
        <v>0</v>
      </c>
      <c r="B124" s="20" t="b">
        <f>B2</f>
        <v>1</v>
      </c>
      <c r="C124" s="17"/>
      <c r="D124" s="17"/>
      <c r="E124" s="20" t="b">
        <f>E2</f>
        <v>1</v>
      </c>
      <c r="F124" s="17"/>
      <c r="G124" s="20" t="b">
        <f>G18</f>
        <v>1</v>
      </c>
      <c r="H124" s="17"/>
      <c r="I124" s="20" t="b">
        <f>I4</f>
        <v>0</v>
      </c>
      <c r="J124" s="20" t="b">
        <f>J18</f>
        <v>1</v>
      </c>
      <c r="K124" s="20" t="b">
        <f>K16</f>
        <v>1</v>
      </c>
      <c r="L124" s="17"/>
      <c r="M124" s="17"/>
      <c r="N124" s="17"/>
      <c r="O124" s="17"/>
      <c r="P124" s="109" t="b">
        <f t="shared" si="3"/>
        <v>0</v>
      </c>
      <c r="Q124" s="117" t="s">
        <v>339</v>
      </c>
    </row>
    <row r="125" spans="1:17">
      <c r="A125" s="57" t="b">
        <f t="shared" si="4"/>
        <v>0</v>
      </c>
      <c r="B125" s="20" t="b">
        <f>B2</f>
        <v>1</v>
      </c>
      <c r="C125" s="17"/>
      <c r="D125" s="20" t="b">
        <f>D10</f>
        <v>0</v>
      </c>
      <c r="E125" s="17"/>
      <c r="F125" s="17"/>
      <c r="G125" s="20" t="b">
        <f>G18</f>
        <v>1</v>
      </c>
      <c r="H125" s="20" t="b">
        <f>H2</f>
        <v>1</v>
      </c>
      <c r="I125" s="20" t="b">
        <f>I4</f>
        <v>0</v>
      </c>
      <c r="J125" s="20" t="b">
        <f>J18</f>
        <v>1</v>
      </c>
      <c r="K125" s="20" t="b">
        <f>K16</f>
        <v>1</v>
      </c>
      <c r="L125" s="17"/>
      <c r="M125" s="20" t="b">
        <f>M20</f>
        <v>1</v>
      </c>
      <c r="N125" s="17"/>
      <c r="O125" s="17"/>
      <c r="P125" s="109" t="b">
        <f t="shared" si="3"/>
        <v>0</v>
      </c>
      <c r="Q125" s="117" t="s">
        <v>340</v>
      </c>
    </row>
    <row r="126" spans="1:17">
      <c r="A126" s="57" t="b">
        <f t="shared" si="4"/>
        <v>0</v>
      </c>
      <c r="B126" s="20" t="b">
        <f>B2</f>
        <v>1</v>
      </c>
      <c r="C126" s="17"/>
      <c r="D126" s="20" t="b">
        <f>D10</f>
        <v>0</v>
      </c>
      <c r="E126" s="17"/>
      <c r="F126" s="17"/>
      <c r="G126" s="20" t="b">
        <f>G18</f>
        <v>1</v>
      </c>
      <c r="H126" s="17"/>
      <c r="I126" s="20" t="b">
        <f>I4</f>
        <v>0</v>
      </c>
      <c r="J126" s="20" t="b">
        <f>J18</f>
        <v>1</v>
      </c>
      <c r="K126" s="20" t="b">
        <f>K16</f>
        <v>1</v>
      </c>
      <c r="L126" s="17"/>
      <c r="M126" s="17"/>
      <c r="N126" s="17"/>
      <c r="O126" s="17"/>
      <c r="P126" s="109" t="b">
        <f t="shared" si="3"/>
        <v>0</v>
      </c>
      <c r="Q126" s="117" t="s">
        <v>341</v>
      </c>
    </row>
    <row r="127" spans="1:17">
      <c r="A127" s="57" t="b">
        <f t="shared" si="4"/>
        <v>0</v>
      </c>
      <c r="B127" s="20" t="b">
        <f>B2</f>
        <v>1</v>
      </c>
      <c r="C127" s="17"/>
      <c r="D127" s="20" t="b">
        <f>D10</f>
        <v>0</v>
      </c>
      <c r="E127" s="17"/>
      <c r="F127" s="17"/>
      <c r="G127" s="20" t="b">
        <f>G18</f>
        <v>1</v>
      </c>
      <c r="H127" s="17"/>
      <c r="I127" s="17"/>
      <c r="J127" s="20" t="b">
        <f>J18</f>
        <v>1</v>
      </c>
      <c r="K127" s="17"/>
      <c r="L127" s="17"/>
      <c r="M127" s="20" t="b">
        <f>M20</f>
        <v>1</v>
      </c>
      <c r="N127" s="17"/>
      <c r="O127" s="17"/>
      <c r="P127" s="109" t="b">
        <f t="shared" si="3"/>
        <v>0</v>
      </c>
      <c r="Q127" s="117" t="s">
        <v>342</v>
      </c>
    </row>
    <row r="128" spans="1:17">
      <c r="A128" s="57" t="b">
        <f t="shared" si="4"/>
        <v>0</v>
      </c>
      <c r="B128" s="20" t="b">
        <f>B2</f>
        <v>1</v>
      </c>
      <c r="C128" s="17"/>
      <c r="D128" s="20" t="b">
        <f>D10</f>
        <v>0</v>
      </c>
      <c r="E128" s="17"/>
      <c r="F128" s="17"/>
      <c r="G128" s="17"/>
      <c r="H128" s="17"/>
      <c r="I128" s="17"/>
      <c r="J128" s="20" t="b">
        <f>J18</f>
        <v>1</v>
      </c>
      <c r="K128" s="17"/>
      <c r="L128" s="17"/>
      <c r="M128" s="20" t="b">
        <f>M20</f>
        <v>1</v>
      </c>
      <c r="N128" s="17"/>
      <c r="O128" s="17"/>
      <c r="P128" s="109" t="b">
        <f t="shared" si="3"/>
        <v>0</v>
      </c>
      <c r="Q128" s="117" t="s">
        <v>343</v>
      </c>
    </row>
    <row r="129" spans="1:17">
      <c r="A129" s="57" t="b">
        <f t="shared" si="4"/>
        <v>0</v>
      </c>
      <c r="B129" s="20" t="b">
        <f>B2</f>
        <v>1</v>
      </c>
      <c r="C129" s="17"/>
      <c r="D129" s="20" t="b">
        <f>D10</f>
        <v>0</v>
      </c>
      <c r="E129" s="17"/>
      <c r="F129" s="17"/>
      <c r="G129" s="20" t="b">
        <f>G18</f>
        <v>1</v>
      </c>
      <c r="H129" s="17"/>
      <c r="I129" s="17"/>
      <c r="J129" s="20" t="b">
        <f>J18</f>
        <v>1</v>
      </c>
      <c r="K129" s="17"/>
      <c r="L129" s="17"/>
      <c r="M129" s="20" t="b">
        <f>M20</f>
        <v>1</v>
      </c>
      <c r="N129" s="17"/>
      <c r="O129" s="17"/>
      <c r="P129" s="109" t="b">
        <f t="shared" si="3"/>
        <v>0</v>
      </c>
      <c r="Q129" s="117" t="s">
        <v>549</v>
      </c>
    </row>
    <row r="130" spans="1:17">
      <c r="A130" s="57" t="b">
        <f t="shared" si="4"/>
        <v>0</v>
      </c>
      <c r="B130" s="20" t="b">
        <f>B2</f>
        <v>1</v>
      </c>
      <c r="C130" s="17"/>
      <c r="D130" s="20" t="b">
        <f>D10</f>
        <v>0</v>
      </c>
      <c r="E130" s="17"/>
      <c r="F130" s="17"/>
      <c r="G130" s="17"/>
      <c r="H130" s="17"/>
      <c r="I130" s="17"/>
      <c r="J130" s="20" t="b">
        <f>J18</f>
        <v>1</v>
      </c>
      <c r="K130" s="17"/>
      <c r="L130" s="17"/>
      <c r="M130" s="20" t="b">
        <f>M20</f>
        <v>1</v>
      </c>
      <c r="N130" s="17"/>
      <c r="O130" s="17"/>
      <c r="P130" s="109" t="b">
        <f t="shared" si="3"/>
        <v>0</v>
      </c>
      <c r="Q130" s="117" t="s">
        <v>344</v>
      </c>
    </row>
    <row r="131" spans="1:17">
      <c r="A131" s="57" t="b">
        <f t="shared" si="4"/>
        <v>0</v>
      </c>
      <c r="B131" s="20" t="b">
        <f>B2</f>
        <v>1</v>
      </c>
      <c r="C131" s="17"/>
      <c r="D131" s="20" t="b">
        <f>D10</f>
        <v>0</v>
      </c>
      <c r="E131" s="17"/>
      <c r="F131" s="17"/>
      <c r="G131" s="20" t="b">
        <f>G18</f>
        <v>1</v>
      </c>
      <c r="H131" s="17"/>
      <c r="I131" s="17"/>
      <c r="J131" s="20" t="b">
        <f>J18</f>
        <v>1</v>
      </c>
      <c r="K131" s="17"/>
      <c r="L131" s="17"/>
      <c r="M131" s="20" t="b">
        <f>M20</f>
        <v>1</v>
      </c>
      <c r="N131" s="17"/>
      <c r="O131" s="17"/>
      <c r="P131" s="109" t="b">
        <f t="shared" ref="P131:P158" si="5">AND(B131:O131)</f>
        <v>0</v>
      </c>
      <c r="Q131" s="117" t="s">
        <v>345</v>
      </c>
    </row>
    <row r="132" spans="1:17">
      <c r="A132" s="57" t="b">
        <f t="shared" si="4"/>
        <v>0</v>
      </c>
      <c r="B132" s="20" t="b">
        <f>B2</f>
        <v>1</v>
      </c>
      <c r="C132" s="17"/>
      <c r="D132" s="20" t="b">
        <f>D10</f>
        <v>0</v>
      </c>
      <c r="E132" s="17"/>
      <c r="F132" s="17"/>
      <c r="G132" s="20" t="b">
        <f>G18</f>
        <v>1</v>
      </c>
      <c r="H132" s="17"/>
      <c r="I132" s="20" t="b">
        <f>I4</f>
        <v>0</v>
      </c>
      <c r="J132" s="20" t="b">
        <f>J18</f>
        <v>1</v>
      </c>
      <c r="K132" s="17"/>
      <c r="L132" s="17"/>
      <c r="M132" s="20" t="b">
        <f>M20</f>
        <v>1</v>
      </c>
      <c r="N132" s="17"/>
      <c r="O132" s="17"/>
      <c r="P132" s="109" t="b">
        <f t="shared" si="5"/>
        <v>0</v>
      </c>
      <c r="Q132" s="117" t="s">
        <v>346</v>
      </c>
    </row>
    <row r="133" spans="1:17">
      <c r="A133" s="57" t="b">
        <f t="shared" si="4"/>
        <v>0</v>
      </c>
      <c r="B133" s="20" t="b">
        <f>B2</f>
        <v>1</v>
      </c>
      <c r="C133" s="17"/>
      <c r="D133" s="20" t="b">
        <f>D10</f>
        <v>0</v>
      </c>
      <c r="E133" s="17"/>
      <c r="F133" s="17"/>
      <c r="G133" s="20" t="b">
        <f>G18</f>
        <v>1</v>
      </c>
      <c r="H133" s="17"/>
      <c r="I133" s="20" t="b">
        <f>I4</f>
        <v>0</v>
      </c>
      <c r="J133" s="20" t="b">
        <f>J18</f>
        <v>1</v>
      </c>
      <c r="K133" s="17"/>
      <c r="L133" s="17"/>
      <c r="M133" s="20" t="b">
        <f>M20</f>
        <v>1</v>
      </c>
      <c r="N133" s="17"/>
      <c r="O133" s="17"/>
      <c r="P133" s="109" t="b">
        <f t="shared" si="5"/>
        <v>0</v>
      </c>
      <c r="Q133" s="117" t="s">
        <v>347</v>
      </c>
    </row>
    <row r="134" spans="1:17">
      <c r="A134" s="57" t="b">
        <f t="shared" si="4"/>
        <v>0</v>
      </c>
      <c r="B134" s="20" t="b">
        <f>B2</f>
        <v>1</v>
      </c>
      <c r="C134" s="17"/>
      <c r="D134" s="20" t="b">
        <f>D10</f>
        <v>0</v>
      </c>
      <c r="E134" s="17"/>
      <c r="F134" s="17"/>
      <c r="G134" s="17"/>
      <c r="H134" s="20" t="b">
        <f>H2</f>
        <v>1</v>
      </c>
      <c r="I134" s="17"/>
      <c r="J134" s="17"/>
      <c r="K134" s="17"/>
      <c r="L134" s="17"/>
      <c r="M134" s="17"/>
      <c r="N134" s="17"/>
      <c r="O134" s="17"/>
      <c r="P134" s="109" t="b">
        <f t="shared" si="5"/>
        <v>0</v>
      </c>
      <c r="Q134" s="117" t="s">
        <v>348</v>
      </c>
    </row>
    <row r="135" spans="1:17">
      <c r="A135" s="57" t="b">
        <f t="shared" si="4"/>
        <v>0</v>
      </c>
      <c r="B135" s="20" t="b">
        <f>B2</f>
        <v>1</v>
      </c>
      <c r="C135" s="17"/>
      <c r="D135" s="20" t="b">
        <f>D10</f>
        <v>0</v>
      </c>
      <c r="E135" s="17"/>
      <c r="F135" s="17"/>
      <c r="G135" s="20" t="b">
        <f>G18</f>
        <v>1</v>
      </c>
      <c r="H135" s="17"/>
      <c r="I135" s="17"/>
      <c r="J135" s="17"/>
      <c r="K135" s="17"/>
      <c r="L135" s="17"/>
      <c r="M135" s="20" t="b">
        <f>M20</f>
        <v>1</v>
      </c>
      <c r="N135" s="17"/>
      <c r="O135" s="17"/>
      <c r="P135" s="109" t="b">
        <f t="shared" si="5"/>
        <v>0</v>
      </c>
      <c r="Q135" s="117" t="s">
        <v>349</v>
      </c>
    </row>
    <row r="136" spans="1:17">
      <c r="A136" s="57" t="b">
        <f t="shared" si="4"/>
        <v>0</v>
      </c>
      <c r="B136" s="17"/>
      <c r="C136" s="20" t="b">
        <f>C10</f>
        <v>0</v>
      </c>
      <c r="D136" s="20" t="b">
        <f>D10</f>
        <v>0</v>
      </c>
      <c r="E136" s="17"/>
      <c r="F136" s="17"/>
      <c r="G136" s="20" t="b">
        <f>G18</f>
        <v>1</v>
      </c>
      <c r="H136" s="17"/>
      <c r="I136" s="20" t="b">
        <f>I4</f>
        <v>0</v>
      </c>
      <c r="J136" s="17"/>
      <c r="K136" s="17"/>
      <c r="L136" s="17"/>
      <c r="M136" s="17"/>
      <c r="N136" s="17"/>
      <c r="O136" s="17"/>
      <c r="P136" s="109" t="b">
        <f t="shared" si="5"/>
        <v>0</v>
      </c>
      <c r="Q136" s="117" t="s">
        <v>351</v>
      </c>
    </row>
    <row r="137" spans="1:17">
      <c r="A137" s="57" t="b">
        <f t="shared" si="4"/>
        <v>0</v>
      </c>
      <c r="B137" s="17"/>
      <c r="C137" s="20" t="b">
        <f>C10</f>
        <v>0</v>
      </c>
      <c r="D137" s="20" t="b">
        <f>D10</f>
        <v>0</v>
      </c>
      <c r="E137" s="17"/>
      <c r="F137" s="17"/>
      <c r="G137" s="17"/>
      <c r="H137" s="20" t="b">
        <f>H2</f>
        <v>1</v>
      </c>
      <c r="I137" s="17"/>
      <c r="J137" s="17"/>
      <c r="K137" s="17"/>
      <c r="L137" s="17"/>
      <c r="M137" s="17"/>
      <c r="N137" s="17"/>
      <c r="O137" s="17"/>
      <c r="P137" s="109" t="b">
        <f t="shared" si="5"/>
        <v>0</v>
      </c>
      <c r="Q137" s="117" t="s">
        <v>352</v>
      </c>
    </row>
    <row r="138" spans="1:17">
      <c r="A138" s="57" t="b">
        <f t="shared" si="4"/>
        <v>0</v>
      </c>
      <c r="B138" s="17"/>
      <c r="C138" s="20" t="b">
        <f>C10</f>
        <v>0</v>
      </c>
      <c r="D138" s="20" t="b">
        <f>D10</f>
        <v>0</v>
      </c>
      <c r="E138" s="17"/>
      <c r="F138" s="17"/>
      <c r="G138" s="20" t="b">
        <f>G18</f>
        <v>1</v>
      </c>
      <c r="H138" s="17"/>
      <c r="I138" s="17"/>
      <c r="J138" s="17"/>
      <c r="K138" s="17"/>
      <c r="L138" s="17"/>
      <c r="M138" s="17"/>
      <c r="N138" s="17"/>
      <c r="O138" s="17"/>
      <c r="P138" s="109" t="b">
        <f t="shared" si="5"/>
        <v>0</v>
      </c>
      <c r="Q138" s="117" t="s">
        <v>353</v>
      </c>
    </row>
    <row r="139" spans="1:17">
      <c r="A139" s="57" t="b">
        <f t="shared" si="4"/>
        <v>0</v>
      </c>
      <c r="B139" s="20" t="b">
        <f>B2</f>
        <v>1</v>
      </c>
      <c r="C139" s="17"/>
      <c r="D139" s="20" t="b">
        <f>D10</f>
        <v>0</v>
      </c>
      <c r="E139" s="17"/>
      <c r="F139" s="17"/>
      <c r="G139" s="20" t="b">
        <f>G18</f>
        <v>1</v>
      </c>
      <c r="H139" s="17"/>
      <c r="I139" s="17"/>
      <c r="J139" s="17"/>
      <c r="K139" s="17"/>
      <c r="L139" s="17"/>
      <c r="M139" s="20" t="b">
        <f>M20</f>
        <v>1</v>
      </c>
      <c r="N139" s="17"/>
      <c r="O139" s="17"/>
      <c r="P139" s="109" t="b">
        <f t="shared" si="5"/>
        <v>0</v>
      </c>
      <c r="Q139" s="117" t="s">
        <v>350</v>
      </c>
    </row>
    <row r="140" spans="1:17">
      <c r="A140" s="57" t="b">
        <f t="shared" si="4"/>
        <v>0</v>
      </c>
      <c r="B140" s="20" t="b">
        <f>B2</f>
        <v>1</v>
      </c>
      <c r="C140" s="17"/>
      <c r="D140" s="17"/>
      <c r="E140" s="20" t="b">
        <f>E2</f>
        <v>1</v>
      </c>
      <c r="F140" s="17"/>
      <c r="G140" s="17"/>
      <c r="H140" s="20" t="b">
        <f>H2</f>
        <v>1</v>
      </c>
      <c r="I140" s="20" t="b">
        <f>I4</f>
        <v>0</v>
      </c>
      <c r="J140" s="17"/>
      <c r="K140" s="20" t="b">
        <f>K16</f>
        <v>1</v>
      </c>
      <c r="L140" s="17"/>
      <c r="M140" s="17"/>
      <c r="N140" s="17"/>
      <c r="O140" s="17"/>
      <c r="P140" s="109" t="b">
        <f t="shared" si="5"/>
        <v>0</v>
      </c>
      <c r="Q140" s="117" t="s">
        <v>354</v>
      </c>
    </row>
    <row r="141" spans="1:17">
      <c r="A141" s="57" t="b">
        <f t="shared" si="4"/>
        <v>0</v>
      </c>
      <c r="B141" s="20" t="b">
        <f>B2</f>
        <v>1</v>
      </c>
      <c r="C141" s="17"/>
      <c r="D141" s="17"/>
      <c r="E141" s="20" t="b">
        <f>E2</f>
        <v>1</v>
      </c>
      <c r="F141" s="17"/>
      <c r="G141" s="17"/>
      <c r="H141" s="20" t="b">
        <f>H2</f>
        <v>1</v>
      </c>
      <c r="I141" s="20" t="b">
        <f>I4</f>
        <v>0</v>
      </c>
      <c r="J141" s="17"/>
      <c r="K141" s="20" t="b">
        <f>K16</f>
        <v>1</v>
      </c>
      <c r="L141" s="17"/>
      <c r="M141" s="17"/>
      <c r="N141" s="17"/>
      <c r="O141" s="17"/>
      <c r="P141" s="109" t="b">
        <f t="shared" si="5"/>
        <v>0</v>
      </c>
      <c r="Q141" s="117" t="s">
        <v>355</v>
      </c>
    </row>
    <row r="142" spans="1:17">
      <c r="A142" s="57" t="b">
        <f t="shared" si="4"/>
        <v>0</v>
      </c>
      <c r="B142" s="20" t="b">
        <f>B2</f>
        <v>1</v>
      </c>
      <c r="C142" s="17"/>
      <c r="D142" s="20" t="b">
        <f>D10</f>
        <v>0</v>
      </c>
      <c r="E142" s="17"/>
      <c r="F142" s="17"/>
      <c r="G142" s="17"/>
      <c r="H142" s="17"/>
      <c r="I142" s="17"/>
      <c r="J142" s="20" t="b">
        <f>J18</f>
        <v>1</v>
      </c>
      <c r="K142" s="17"/>
      <c r="L142" s="17"/>
      <c r="M142" s="20" t="b">
        <f>M20</f>
        <v>1</v>
      </c>
      <c r="N142" s="17"/>
      <c r="O142" s="17"/>
      <c r="P142" s="109" t="b">
        <f t="shared" si="5"/>
        <v>0</v>
      </c>
      <c r="Q142" s="117" t="s">
        <v>356</v>
      </c>
    </row>
    <row r="143" spans="1:17">
      <c r="A143" s="57" t="b">
        <f t="shared" si="4"/>
        <v>0</v>
      </c>
      <c r="B143" s="20" t="b">
        <f>B2</f>
        <v>1</v>
      </c>
      <c r="C143" s="17"/>
      <c r="D143" s="17"/>
      <c r="E143" s="20" t="b">
        <f>E2</f>
        <v>1</v>
      </c>
      <c r="F143" s="17"/>
      <c r="G143" s="17"/>
      <c r="H143" s="17"/>
      <c r="I143" s="17"/>
      <c r="J143" s="17"/>
      <c r="K143" s="17"/>
      <c r="L143" s="17"/>
      <c r="M143" s="17"/>
      <c r="N143" s="20" t="b">
        <f>AND('Cough &amp; Cold Criteria'!B23,'Cough &amp; Cold Criteria'!C13)</f>
        <v>0</v>
      </c>
      <c r="O143" s="20" t="b">
        <f>AND('Cough &amp; Cold Criteria'!B23)</f>
        <v>0</v>
      </c>
      <c r="P143" s="109" t="b">
        <f t="shared" si="5"/>
        <v>0</v>
      </c>
      <c r="Q143" s="117" t="s">
        <v>357</v>
      </c>
    </row>
    <row r="144" spans="1:17">
      <c r="A144" s="58" t="b">
        <f t="shared" si="4"/>
        <v>0</v>
      </c>
      <c r="B144" s="16"/>
      <c r="C144" s="16"/>
      <c r="D144" s="16"/>
      <c r="E144" s="16"/>
      <c r="F144" s="16"/>
      <c r="G144" s="16"/>
      <c r="H144" s="16"/>
      <c r="I144" s="16"/>
      <c r="J144" s="16"/>
      <c r="K144" s="16"/>
      <c r="L144" s="16"/>
      <c r="M144" s="16"/>
      <c r="N144" s="16"/>
      <c r="O144" s="16"/>
      <c r="P144" s="75"/>
      <c r="Q144" s="115"/>
    </row>
    <row r="145" spans="1:17">
      <c r="A145" s="57" t="b">
        <f t="shared" ref="A145:A158" si="6">IF(P145=TRUE,Q145)</f>
        <v>0</v>
      </c>
      <c r="B145" s="20" t="b">
        <f>B2</f>
        <v>1</v>
      </c>
      <c r="C145" s="17"/>
      <c r="D145" s="17"/>
      <c r="E145" s="20" t="b">
        <f>E2</f>
        <v>1</v>
      </c>
      <c r="F145" s="17"/>
      <c r="G145" s="17"/>
      <c r="H145" s="17"/>
      <c r="I145" s="17"/>
      <c r="J145" s="17"/>
      <c r="K145" s="17"/>
      <c r="L145" s="17"/>
      <c r="M145" s="17"/>
      <c r="N145" s="17"/>
      <c r="O145" s="20" t="b">
        <f>O143</f>
        <v>0</v>
      </c>
      <c r="P145" s="109" t="b">
        <f t="shared" si="5"/>
        <v>0</v>
      </c>
      <c r="Q145" s="118" t="s">
        <v>358</v>
      </c>
    </row>
    <row r="146" spans="1:17">
      <c r="A146" s="57" t="b">
        <f t="shared" si="6"/>
        <v>0</v>
      </c>
      <c r="B146" s="20" t="b">
        <f>B2</f>
        <v>1</v>
      </c>
      <c r="C146" s="17"/>
      <c r="D146" s="17"/>
      <c r="E146" s="20" t="b">
        <f>E2</f>
        <v>1</v>
      </c>
      <c r="F146" s="17"/>
      <c r="G146" s="17"/>
      <c r="H146" s="17"/>
      <c r="I146" s="17"/>
      <c r="J146" s="17"/>
      <c r="K146" s="17"/>
      <c r="L146" s="17"/>
      <c r="M146" s="17"/>
      <c r="N146" s="20" t="b">
        <f>N143</f>
        <v>0</v>
      </c>
      <c r="O146" s="20" t="b">
        <f>O143</f>
        <v>0</v>
      </c>
      <c r="P146" s="109" t="b">
        <f t="shared" si="5"/>
        <v>0</v>
      </c>
      <c r="Q146" s="118" t="s">
        <v>360</v>
      </c>
    </row>
    <row r="147" spans="1:17">
      <c r="A147" s="57" t="b">
        <f t="shared" si="6"/>
        <v>0</v>
      </c>
      <c r="B147" s="20" t="b">
        <f>B2</f>
        <v>1</v>
      </c>
      <c r="C147" s="17"/>
      <c r="D147" s="17"/>
      <c r="E147" s="20" t="b">
        <f>E2</f>
        <v>1</v>
      </c>
      <c r="F147" s="17"/>
      <c r="G147" s="17"/>
      <c r="H147" s="17"/>
      <c r="I147" s="17"/>
      <c r="J147" s="17"/>
      <c r="K147" s="17"/>
      <c r="L147" s="17"/>
      <c r="M147" s="17"/>
      <c r="N147" s="20" t="b">
        <f>N143</f>
        <v>0</v>
      </c>
      <c r="O147" s="20" t="b">
        <f>O143</f>
        <v>0</v>
      </c>
      <c r="P147" s="109" t="b">
        <f t="shared" si="5"/>
        <v>0</v>
      </c>
      <c r="Q147" s="118" t="s">
        <v>361</v>
      </c>
    </row>
    <row r="148" spans="1:17">
      <c r="A148" s="58" t="b">
        <f t="shared" si="6"/>
        <v>0</v>
      </c>
      <c r="B148" s="16"/>
      <c r="C148" s="16"/>
      <c r="D148" s="16"/>
      <c r="E148" s="16"/>
      <c r="F148" s="16"/>
      <c r="G148" s="16"/>
      <c r="H148" s="16"/>
      <c r="I148" s="16"/>
      <c r="J148" s="16"/>
      <c r="K148" s="16"/>
      <c r="L148" s="16"/>
      <c r="M148" s="16"/>
      <c r="N148" s="16"/>
      <c r="O148" s="16"/>
      <c r="P148" s="75"/>
      <c r="Q148" s="115"/>
    </row>
    <row r="149" spans="1:17">
      <c r="A149" s="57" t="b">
        <f t="shared" si="6"/>
        <v>0</v>
      </c>
      <c r="B149" s="20" t="b">
        <f>B2</f>
        <v>1</v>
      </c>
      <c r="C149" s="17"/>
      <c r="D149" s="17"/>
      <c r="E149" s="20" t="b">
        <f>E2</f>
        <v>1</v>
      </c>
      <c r="F149" s="17"/>
      <c r="G149" s="17"/>
      <c r="H149" s="17"/>
      <c r="I149" s="17"/>
      <c r="J149" s="17"/>
      <c r="K149" s="17"/>
      <c r="L149" s="17"/>
      <c r="M149" s="17"/>
      <c r="N149" s="17"/>
      <c r="O149" s="20" t="b">
        <f>O143</f>
        <v>0</v>
      </c>
      <c r="P149" s="109" t="b">
        <f t="shared" si="5"/>
        <v>0</v>
      </c>
      <c r="Q149" s="114" t="s">
        <v>363</v>
      </c>
    </row>
    <row r="150" spans="1:17">
      <c r="A150" s="57" t="b">
        <f t="shared" si="6"/>
        <v>0</v>
      </c>
      <c r="B150" s="20" t="b">
        <f>B2</f>
        <v>1</v>
      </c>
      <c r="C150" s="17"/>
      <c r="D150" s="17"/>
      <c r="E150" s="20" t="b">
        <f>E2</f>
        <v>1</v>
      </c>
      <c r="F150" s="17"/>
      <c r="G150" s="17"/>
      <c r="H150" s="17"/>
      <c r="I150" s="17"/>
      <c r="J150" s="17"/>
      <c r="K150" s="17"/>
      <c r="L150" s="17"/>
      <c r="M150" s="17"/>
      <c r="N150" s="17"/>
      <c r="O150" s="20" t="b">
        <f>O143</f>
        <v>0</v>
      </c>
      <c r="P150" s="109" t="b">
        <f t="shared" si="5"/>
        <v>0</v>
      </c>
      <c r="Q150" s="114" t="s">
        <v>364</v>
      </c>
    </row>
    <row r="151" spans="1:17">
      <c r="A151" s="57" t="b">
        <f t="shared" si="6"/>
        <v>0</v>
      </c>
      <c r="B151" s="20" t="b">
        <f>B2</f>
        <v>1</v>
      </c>
      <c r="C151" s="17"/>
      <c r="D151" s="17"/>
      <c r="E151" s="20" t="b">
        <f>E2</f>
        <v>1</v>
      </c>
      <c r="F151" s="17"/>
      <c r="G151" s="17"/>
      <c r="H151" s="17"/>
      <c r="I151" s="17"/>
      <c r="J151" s="17"/>
      <c r="K151" s="17"/>
      <c r="L151" s="17"/>
      <c r="M151" s="20" t="b">
        <f>M20</f>
        <v>1</v>
      </c>
      <c r="N151" s="17"/>
      <c r="O151" s="20" t="b">
        <f>O143</f>
        <v>0</v>
      </c>
      <c r="P151" s="109" t="b">
        <f t="shared" si="5"/>
        <v>0</v>
      </c>
      <c r="Q151" s="114" t="s">
        <v>365</v>
      </c>
    </row>
    <row r="152" spans="1:17">
      <c r="A152" s="57" t="b">
        <f t="shared" si="6"/>
        <v>0</v>
      </c>
      <c r="B152" s="20" t="b">
        <f>B2</f>
        <v>1</v>
      </c>
      <c r="C152" s="17"/>
      <c r="D152" s="17"/>
      <c r="E152" s="20" t="b">
        <f>E2</f>
        <v>1</v>
      </c>
      <c r="F152" s="17"/>
      <c r="G152" s="17"/>
      <c r="H152" s="17"/>
      <c r="I152" s="17"/>
      <c r="J152" s="17"/>
      <c r="K152" s="17"/>
      <c r="L152" s="17"/>
      <c r="M152" s="20" t="b">
        <f>M20</f>
        <v>1</v>
      </c>
      <c r="N152" s="17"/>
      <c r="O152" s="20" t="b">
        <f>O143</f>
        <v>0</v>
      </c>
      <c r="P152" s="109" t="b">
        <f t="shared" si="5"/>
        <v>0</v>
      </c>
      <c r="Q152" s="114" t="s">
        <v>366</v>
      </c>
    </row>
    <row r="153" spans="1:17">
      <c r="A153" s="57" t="b">
        <f t="shared" si="6"/>
        <v>0</v>
      </c>
      <c r="B153" s="20" t="b">
        <f>B2</f>
        <v>1</v>
      </c>
      <c r="C153" s="17"/>
      <c r="D153" s="17"/>
      <c r="E153" s="20" t="b">
        <f>E2</f>
        <v>1</v>
      </c>
      <c r="F153" s="17"/>
      <c r="G153" s="17"/>
      <c r="H153" s="17"/>
      <c r="I153" s="17"/>
      <c r="J153" s="17"/>
      <c r="K153" s="17"/>
      <c r="L153" s="17"/>
      <c r="M153" s="20" t="b">
        <f>M20</f>
        <v>1</v>
      </c>
      <c r="N153" s="20" t="b">
        <f>N143</f>
        <v>0</v>
      </c>
      <c r="O153" s="17"/>
      <c r="P153" s="109" t="b">
        <f t="shared" si="5"/>
        <v>0</v>
      </c>
      <c r="Q153" s="114" t="s">
        <v>367</v>
      </c>
    </row>
    <row r="154" spans="1:17">
      <c r="A154" s="57" t="b">
        <f t="shared" si="6"/>
        <v>0</v>
      </c>
      <c r="B154" s="20" t="b">
        <f>B2</f>
        <v>1</v>
      </c>
      <c r="C154" s="17"/>
      <c r="D154" s="17"/>
      <c r="E154" s="20" t="b">
        <f>E2</f>
        <v>1</v>
      </c>
      <c r="F154" s="17"/>
      <c r="G154" s="17"/>
      <c r="H154" s="17"/>
      <c r="I154" s="17"/>
      <c r="J154" s="17"/>
      <c r="K154" s="17"/>
      <c r="L154" s="17"/>
      <c r="M154" s="17"/>
      <c r="N154" s="17"/>
      <c r="O154" s="20" t="b">
        <f>O143</f>
        <v>0</v>
      </c>
      <c r="P154" s="109" t="b">
        <f t="shared" si="5"/>
        <v>0</v>
      </c>
      <c r="Q154" s="114" t="s">
        <v>368</v>
      </c>
    </row>
    <row r="155" spans="1:17">
      <c r="A155" s="57" t="b">
        <f t="shared" si="6"/>
        <v>0</v>
      </c>
      <c r="B155" s="20" t="b">
        <f>B2</f>
        <v>1</v>
      </c>
      <c r="C155" s="17"/>
      <c r="D155" s="17"/>
      <c r="E155" s="20" t="b">
        <f>E2</f>
        <v>1</v>
      </c>
      <c r="F155" s="17"/>
      <c r="G155" s="17"/>
      <c r="H155" s="17"/>
      <c r="I155" s="17"/>
      <c r="J155" s="17"/>
      <c r="K155" s="17"/>
      <c r="L155" s="17"/>
      <c r="M155" s="20" t="b">
        <f>M20</f>
        <v>1</v>
      </c>
      <c r="N155" s="20" t="b">
        <f>N143</f>
        <v>0</v>
      </c>
      <c r="O155" s="17"/>
      <c r="P155" s="109" t="b">
        <f t="shared" si="5"/>
        <v>0</v>
      </c>
      <c r="Q155" s="114" t="s">
        <v>369</v>
      </c>
    </row>
    <row r="156" spans="1:17">
      <c r="A156" s="57" t="b">
        <f t="shared" si="6"/>
        <v>0</v>
      </c>
      <c r="B156" s="20" t="b">
        <f>B2</f>
        <v>1</v>
      </c>
      <c r="C156" s="17"/>
      <c r="D156" s="17"/>
      <c r="E156" s="20" t="b">
        <f>E2</f>
        <v>1</v>
      </c>
      <c r="F156" s="17"/>
      <c r="G156" s="17"/>
      <c r="H156" s="17"/>
      <c r="I156" s="17"/>
      <c r="J156" s="17"/>
      <c r="K156" s="17"/>
      <c r="L156" s="17"/>
      <c r="M156" s="17"/>
      <c r="N156" s="17"/>
      <c r="O156" s="20" t="b">
        <f>O143</f>
        <v>0</v>
      </c>
      <c r="P156" s="109" t="b">
        <f t="shared" si="5"/>
        <v>0</v>
      </c>
      <c r="Q156" s="114" t="s">
        <v>370</v>
      </c>
    </row>
    <row r="157" spans="1:17">
      <c r="A157" s="57" t="b">
        <f t="shared" si="6"/>
        <v>0</v>
      </c>
      <c r="B157" s="20" t="b">
        <f>B2</f>
        <v>1</v>
      </c>
      <c r="C157" s="17"/>
      <c r="D157" s="17"/>
      <c r="E157" s="20" t="b">
        <f>E2</f>
        <v>1</v>
      </c>
      <c r="F157" s="17"/>
      <c r="G157" s="17"/>
      <c r="H157" s="17"/>
      <c r="I157" s="17"/>
      <c r="J157" s="17"/>
      <c r="K157" s="17"/>
      <c r="L157" s="17"/>
      <c r="M157" s="20" t="b">
        <f>M20</f>
        <v>1</v>
      </c>
      <c r="N157" s="20" t="b">
        <f>N143</f>
        <v>0</v>
      </c>
      <c r="O157" s="17"/>
      <c r="P157" s="109" t="b">
        <f t="shared" si="5"/>
        <v>0</v>
      </c>
      <c r="Q157" s="114" t="s">
        <v>371</v>
      </c>
    </row>
    <row r="158" spans="1:17">
      <c r="A158" s="57" t="b">
        <f t="shared" si="6"/>
        <v>0</v>
      </c>
      <c r="B158" s="20" t="b">
        <f>B2</f>
        <v>1</v>
      </c>
      <c r="C158" s="17"/>
      <c r="D158" s="17"/>
      <c r="E158" s="20" t="b">
        <f>E2</f>
        <v>1</v>
      </c>
      <c r="F158" s="17"/>
      <c r="G158" s="17"/>
      <c r="H158" s="17"/>
      <c r="I158" s="17"/>
      <c r="J158" s="17"/>
      <c r="K158" s="17"/>
      <c r="L158" s="17"/>
      <c r="M158" s="20" t="b">
        <f>M20</f>
        <v>1</v>
      </c>
      <c r="N158" s="20" t="b">
        <f>N143</f>
        <v>0</v>
      </c>
      <c r="O158" s="17"/>
      <c r="P158" s="109" t="b">
        <f t="shared" si="5"/>
        <v>0</v>
      </c>
      <c r="Q158" s="114" t="s">
        <v>372</v>
      </c>
    </row>
    <row r="159" spans="1:17">
      <c r="A159" s="16"/>
      <c r="B159" s="16"/>
      <c r="C159" s="16"/>
      <c r="D159" s="16"/>
      <c r="E159" s="16"/>
      <c r="F159" s="16"/>
      <c r="G159" s="16"/>
      <c r="H159" s="16"/>
      <c r="I159" s="16"/>
      <c r="J159" s="16"/>
      <c r="K159" s="16"/>
      <c r="L159" s="16"/>
      <c r="M159" s="16"/>
      <c r="N159" s="16"/>
      <c r="O159" s="16"/>
      <c r="P159" s="27"/>
      <c r="Q159" s="115"/>
    </row>
    <row r="160" spans="1:17">
      <c r="A160" s="21"/>
      <c r="B160" s="21"/>
      <c r="C160" s="21"/>
      <c r="D160" s="21"/>
      <c r="E160" s="21"/>
      <c r="F160" s="21"/>
      <c r="I160" s="21"/>
      <c r="J160" s="21"/>
      <c r="K160" s="21"/>
      <c r="Q160" s="114"/>
    </row>
    <row r="161" spans="1:17">
      <c r="A161" s="21"/>
      <c r="B161" s="21"/>
      <c r="C161" s="21"/>
      <c r="D161" s="21"/>
      <c r="E161" s="21"/>
      <c r="F161" s="21"/>
      <c r="I161" s="21"/>
      <c r="J161" s="21"/>
      <c r="K161" s="21"/>
      <c r="Q161" s="114"/>
    </row>
    <row r="162" spans="1:17">
      <c r="A162" s="21"/>
      <c r="B162" s="21"/>
      <c r="C162" s="21"/>
      <c r="D162" s="21"/>
      <c r="E162" s="21"/>
      <c r="F162" s="21"/>
      <c r="I162" s="21"/>
      <c r="J162" s="21"/>
      <c r="K162" s="21"/>
      <c r="Q162" s="114"/>
    </row>
    <row r="163" spans="1:17">
      <c r="A163" s="21"/>
      <c r="B163" s="21"/>
      <c r="C163" s="21"/>
      <c r="D163" s="21"/>
      <c r="E163" s="21"/>
      <c r="F163" s="21"/>
      <c r="I163" s="21"/>
      <c r="J163" s="21"/>
      <c r="K163" s="21"/>
      <c r="Q163" s="114"/>
    </row>
    <row r="164" spans="1:17">
      <c r="A164" s="21"/>
      <c r="B164" s="21"/>
      <c r="C164" s="21"/>
      <c r="D164" s="21"/>
      <c r="E164" s="21"/>
      <c r="F164" s="21"/>
      <c r="I164" s="21"/>
      <c r="J164" s="21"/>
      <c r="K164" s="21"/>
      <c r="Q164" s="114"/>
    </row>
    <row r="165" spans="1:17">
      <c r="A165" s="21"/>
      <c r="B165" s="21"/>
      <c r="C165" s="21"/>
      <c r="D165" s="21"/>
      <c r="E165" s="21"/>
      <c r="F165" s="21"/>
      <c r="I165" s="21"/>
      <c r="J165" s="21"/>
      <c r="K165" s="21"/>
      <c r="Q165" s="114"/>
    </row>
    <row r="166" spans="1:17">
      <c r="A166" s="21"/>
      <c r="B166" s="21"/>
      <c r="C166" s="21"/>
      <c r="D166" s="21"/>
      <c r="E166" s="21"/>
      <c r="F166" s="21"/>
      <c r="I166" s="21"/>
      <c r="J166" s="21"/>
      <c r="K166" s="21"/>
      <c r="Q166" s="114"/>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Products</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Nolan McAllister</cp:lastModifiedBy>
  <cp:lastPrinted>2020-04-06T19:06:48Z</cp:lastPrinted>
  <dcterms:created xsi:type="dcterms:W3CDTF">2020-01-19T07:17:02Z</dcterms:created>
  <dcterms:modified xsi:type="dcterms:W3CDTF">2022-11-26T03:01:56Z</dcterms:modified>
</cp:coreProperties>
</file>